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mrat.kar/git/manapristine/db/accounts/"/>
    </mc:Choice>
  </mc:AlternateContent>
  <xr:revisionPtr revIDLastSave="0" documentId="13_ncr:1_{32DA5CB4-5580-C24F-9A4C-A2D5CCA28853}" xr6:coauthVersionLast="47" xr6:coauthVersionMax="47" xr10:uidLastSave="{00000000-0000-0000-0000-000000000000}"/>
  <bookViews>
    <workbookView xWindow="0" yWindow="600" windowWidth="38400" windowHeight="19840" firstSheet="16" activeTab="21" xr2:uid="{00000000-000D-0000-FFFF-FFFF00000000}"/>
  </bookViews>
  <sheets>
    <sheet name="Apr2025-EXPENSE" sheetId="1" r:id="rId1"/>
    <sheet name="Apr2025-COLLECTION" sheetId="2" r:id="rId2"/>
    <sheet name="May2025-EXPENSE" sheetId="3" r:id="rId3"/>
    <sheet name="May2025-COLLECTION" sheetId="4" r:id="rId4"/>
    <sheet name="June2025-EXPENSE" sheetId="5" r:id="rId5"/>
    <sheet name="June2025-COLLECTION" sheetId="6" r:id="rId6"/>
    <sheet name="July2025-EXPENSE" sheetId="7" r:id="rId7"/>
    <sheet name="July2025-EXPENSE-Flatwise" sheetId="8" state="hidden" r:id="rId8"/>
    <sheet name="July2025-EXPENSE-Flatwise-Trans" sheetId="9" state="hidden" r:id="rId9"/>
    <sheet name="July2025-COLLECTION" sheetId="10" r:id="rId10"/>
    <sheet name="Aug2025-EXPENSE" sheetId="11" r:id="rId11"/>
    <sheet name="Aug2025-COLLECTION" sheetId="12" r:id="rId12"/>
    <sheet name="Sep2025-EXPENSE" sheetId="13" r:id="rId13"/>
    <sheet name="Sep2025-COLLECTION" sheetId="14" r:id="rId14"/>
    <sheet name="Oct2025-EXPENSE" sheetId="15" r:id="rId15"/>
    <sheet name="Oct2025-COLLECTION" sheetId="16" r:id="rId16"/>
    <sheet name="Nov2025-EXPENSE" sheetId="17" r:id="rId17"/>
    <sheet name="Nov2025-COLLECTION" sheetId="18" r:id="rId18"/>
    <sheet name="Dec2025-EXPENSE" sheetId="19" r:id="rId19"/>
    <sheet name="Dec2025-COLLECTION" sheetId="20" r:id="rId20"/>
    <sheet name="Jan2026-EXPENSE" sheetId="21" r:id="rId21"/>
    <sheet name="Jan2026-COLLECTION" sheetId="22" r:id="rId22"/>
    <sheet name="Feb2026-COLLECTION" sheetId="23" r:id="rId23"/>
    <sheet name="Feb2026-EXPENSE" sheetId="24" r:id="rId24"/>
    <sheet name="Mar2026-EXPENSE" sheetId="25" r:id="rId25"/>
    <sheet name="Mar2026-COLLECTION" sheetId="26" r:id="rId26"/>
    <sheet name="ANNUAL-EXPENSE-DETAILS" sheetId="27" r:id="rId27"/>
    <sheet name="INCOME-EXPENSE-CYCLES" sheetId="28" r:id="rId28"/>
    <sheet name="INCOME-EXPENSE-CYCLES-2025-26" sheetId="29" state="hidden" r:id="rId29"/>
    <sheet name="Copy of INCOME-EXPENSE-CYCLES 1" sheetId="30" state="hidden" r:id="rId30"/>
    <sheet name="Copy of INCOME-EXPENSE-CYCLES" sheetId="31" state="hidden" r:id="rId31"/>
    <sheet name="Sheet30" sheetId="32" r:id="rId32"/>
    <sheet name="Flatwise Income Expense" sheetId="33" state="hidden" r:id="rId33"/>
    <sheet name="Expense" sheetId="34" state="hidden" r:id="rId34"/>
    <sheet name="Income" sheetId="35" state="hidden" r:id="rId35"/>
    <sheet name="Sheet4" sheetId="36" state="hidden" r:id="rId36"/>
    <sheet name="TOTAL DUES" sheetId="37" state="hidden" r:id="rId37"/>
    <sheet name="Betterment Corpus" sheetId="38" state="hidden" r:id="rId38"/>
    <sheet name="2013-till-date-connected" sheetId="39" state="hidden" r:id="rId39"/>
    <sheet name="Sheet27" sheetId="40" state="hidden" r:id="rId40"/>
  </sheets>
  <definedNames>
    <definedName name="_xlnm._FilterDatabase" localSheetId="36" hidden="1">'TOTAL DUES'!$A$1:$G$66</definedName>
    <definedName name="Z_A291B9CC_9FDF_46C9_BFD4_774D92B85D47_.wvu.FilterData" localSheetId="7" hidden="1">'July2025-EXPENSE-Flatwise'!$A$1:$BN$61</definedName>
    <definedName name="Z_C4B61514_58E1_45A0_9AB3_765E539BE84D_.wvu.FilterData" localSheetId="30" hidden="1">'Copy of INCOME-EXPENSE-CYCLES'!$A$2:$BF$67</definedName>
    <definedName name="Z_C4B61514_58E1_45A0_9AB3_765E539BE84D_.wvu.FilterData" localSheetId="29" hidden="1">'Copy of INCOME-EXPENSE-CYCLES 1'!$A$2:$BH$67</definedName>
    <definedName name="Z_C4B61514_58E1_45A0_9AB3_765E539BE84D_.wvu.FilterData" localSheetId="27" hidden="1">'INCOME-EXPENSE-CYCLES'!$A$2:$BD$67</definedName>
    <definedName name="Z_C4B61514_58E1_45A0_9AB3_765E539BE84D_.wvu.FilterData" localSheetId="28" hidden="1">'INCOME-EXPENSE-CYCLES-2025-26'!$A$2:$BF$67</definedName>
  </definedNames>
  <calcPr calcId="191029"/>
  <customWorkbookViews>
    <customWorkbookView name="Flatwise Expenses - July 2025" guid="{A291B9CC-9FDF-46C9-BFD4-774D92B85D47}" maximized="1" windowWidth="0" windowHeight="0" activeSheetId="0"/>
    <customWorkbookView name="Filter 1" guid="{C4B61514-58E1-45A0-9AB3-765E539BE84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2" i="22" l="1"/>
  <c r="K4" i="39"/>
  <c r="H4" i="39"/>
  <c r="G4" i="39"/>
  <c r="T1" i="36"/>
  <c r="U1" i="36" s="1"/>
  <c r="Q1" i="36"/>
  <c r="R1" i="36" s="1"/>
  <c r="O1" i="36"/>
  <c r="L1" i="36"/>
  <c r="K1" i="36"/>
  <c r="I1" i="36"/>
  <c r="F1" i="36"/>
  <c r="A1086" i="35"/>
  <c r="C1119" i="33" s="1"/>
  <c r="A1085" i="35"/>
  <c r="C1118" i="33" s="1"/>
  <c r="A1084" i="35"/>
  <c r="A1083" i="35"/>
  <c r="A1082" i="35"/>
  <c r="A1081" i="35"/>
  <c r="C1114" i="33" s="1"/>
  <c r="A1080" i="35"/>
  <c r="C1113" i="33" s="1"/>
  <c r="A1079" i="35"/>
  <c r="C1112" i="33" s="1"/>
  <c r="A1078" i="35"/>
  <c r="C1111" i="33" s="1"/>
  <c r="A1077" i="35"/>
  <c r="C1110" i="33" s="1"/>
  <c r="A1076" i="35"/>
  <c r="C1109" i="33" s="1"/>
  <c r="A1075" i="35"/>
  <c r="C1108" i="33" s="1"/>
  <c r="A1074" i="35"/>
  <c r="C1107" i="33" s="1"/>
  <c r="A1069" i="35"/>
  <c r="C1102" i="33" s="1"/>
  <c r="A1068" i="35"/>
  <c r="A1067" i="35"/>
  <c r="A1066" i="35"/>
  <c r="A1065" i="35"/>
  <c r="C1098" i="33" s="1"/>
  <c r="A1064" i="35"/>
  <c r="C1097" i="33" s="1"/>
  <c r="A1063" i="35"/>
  <c r="C1096" i="33" s="1"/>
  <c r="A1062" i="35"/>
  <c r="C1095" i="33" s="1"/>
  <c r="A1061" i="35"/>
  <c r="C1094" i="33" s="1"/>
  <c r="A1060" i="35"/>
  <c r="C1093" i="33" s="1"/>
  <c r="A1059" i="35"/>
  <c r="C1092" i="33" s="1"/>
  <c r="A1058" i="35"/>
  <c r="C1091" i="33" s="1"/>
  <c r="A1057" i="35"/>
  <c r="C1090" i="33" s="1"/>
  <c r="A1052" i="35"/>
  <c r="A1051" i="35"/>
  <c r="A1050" i="35"/>
  <c r="A1049" i="35"/>
  <c r="A1048" i="35"/>
  <c r="A1047" i="35"/>
  <c r="C1080" i="33" s="1"/>
  <c r="A1046" i="35"/>
  <c r="C1079" i="33" s="1"/>
  <c r="A1045" i="35"/>
  <c r="C1078" i="33" s="1"/>
  <c r="A1044" i="35"/>
  <c r="C1077" i="33" s="1"/>
  <c r="A1043" i="35"/>
  <c r="C1076" i="33" s="1"/>
  <c r="A1042" i="35"/>
  <c r="C1075" i="33" s="1"/>
  <c r="A1041" i="35"/>
  <c r="C1074" i="33" s="1"/>
  <c r="A1040" i="35"/>
  <c r="A1035" i="35"/>
  <c r="A1034" i="35"/>
  <c r="A1033" i="35"/>
  <c r="C1066" i="33" s="1"/>
  <c r="A1032" i="35"/>
  <c r="C1065" i="33" s="1"/>
  <c r="A1031" i="35"/>
  <c r="C1064" i="33" s="1"/>
  <c r="A1030" i="35"/>
  <c r="C1063" i="33" s="1"/>
  <c r="A1029" i="35"/>
  <c r="C1062" i="33" s="1"/>
  <c r="A1028" i="35"/>
  <c r="C1061" i="33" s="1"/>
  <c r="A1027" i="35"/>
  <c r="C1060" i="33" s="1"/>
  <c r="A1026" i="35"/>
  <c r="C1059" i="33" s="1"/>
  <c r="A1025" i="35"/>
  <c r="C1058" i="33" s="1"/>
  <c r="A1024" i="35"/>
  <c r="A1023" i="35"/>
  <c r="A1018" i="35"/>
  <c r="A1017" i="35"/>
  <c r="A1016" i="35"/>
  <c r="C1049" i="33" s="1"/>
  <c r="A1015" i="35"/>
  <c r="A1014" i="35"/>
  <c r="C1047" i="33" s="1"/>
  <c r="A1013" i="35"/>
  <c r="C1046" i="33" s="1"/>
  <c r="A1012" i="35"/>
  <c r="C1045" i="33" s="1"/>
  <c r="A1011" i="35"/>
  <c r="C1044" i="33" s="1"/>
  <c r="A1010" i="35"/>
  <c r="C1043" i="33" s="1"/>
  <c r="A1009" i="35"/>
  <c r="C1042" i="33" s="1"/>
  <c r="A1008" i="35"/>
  <c r="A1007" i="35"/>
  <c r="A1006" i="35"/>
  <c r="A1001" i="35"/>
  <c r="A1000" i="35"/>
  <c r="C1033" i="33" s="1"/>
  <c r="A999" i="35"/>
  <c r="C1032" i="33" s="1"/>
  <c r="A998" i="35"/>
  <c r="C1031" i="33" s="1"/>
  <c r="A997" i="35"/>
  <c r="C1030" i="33" s="1"/>
  <c r="A996" i="35"/>
  <c r="C1029" i="33" s="1"/>
  <c r="A995" i="35"/>
  <c r="C1028" i="33" s="1"/>
  <c r="A994" i="35"/>
  <c r="C1027" i="33" s="1"/>
  <c r="A993" i="35"/>
  <c r="C1026" i="33" s="1"/>
  <c r="A992" i="35"/>
  <c r="A991" i="35"/>
  <c r="A990" i="35"/>
  <c r="A989" i="35"/>
  <c r="A984" i="35"/>
  <c r="C1017" i="33" s="1"/>
  <c r="A983" i="35"/>
  <c r="C1016" i="33" s="1"/>
  <c r="A982" i="35"/>
  <c r="C1015" i="33" s="1"/>
  <c r="A981" i="35"/>
  <c r="C1014" i="33" s="1"/>
  <c r="A980" i="35"/>
  <c r="C1013" i="33" s="1"/>
  <c r="A979" i="35"/>
  <c r="C1012" i="33" s="1"/>
  <c r="A978" i="35"/>
  <c r="C1011" i="33" s="1"/>
  <c r="A977" i="35"/>
  <c r="C1010" i="33" s="1"/>
  <c r="A976" i="35"/>
  <c r="A975" i="35"/>
  <c r="A974" i="35"/>
  <c r="A973" i="35"/>
  <c r="C1006" i="33" s="1"/>
  <c r="A972" i="35"/>
  <c r="C1005" i="33" s="1"/>
  <c r="A967" i="35"/>
  <c r="C1000" i="33" s="1"/>
  <c r="A966" i="35"/>
  <c r="C999" i="33" s="1"/>
  <c r="A965" i="35"/>
  <c r="C998" i="33" s="1"/>
  <c r="A964" i="35"/>
  <c r="C997" i="33" s="1"/>
  <c r="A963" i="35"/>
  <c r="A962" i="35"/>
  <c r="C995" i="33" s="1"/>
  <c r="A961" i="35"/>
  <c r="C994" i="33" s="1"/>
  <c r="A960" i="35"/>
  <c r="A959" i="35"/>
  <c r="A958" i="35"/>
  <c r="A957" i="35"/>
  <c r="A956" i="35"/>
  <c r="C989" i="33" s="1"/>
  <c r="A955" i="35"/>
  <c r="C988" i="33" s="1"/>
  <c r="A950" i="35"/>
  <c r="C983" i="33" s="1"/>
  <c r="A949" i="35"/>
  <c r="C982" i="33" s="1"/>
  <c r="A948" i="35"/>
  <c r="C981" i="33" s="1"/>
  <c r="A947" i="35"/>
  <c r="C980" i="33" s="1"/>
  <c r="A946" i="35"/>
  <c r="C979" i="33" s="1"/>
  <c r="A945" i="35"/>
  <c r="C978" i="33" s="1"/>
  <c r="A944" i="35"/>
  <c r="A943" i="35"/>
  <c r="A942" i="35"/>
  <c r="A941" i="35"/>
  <c r="C974" i="33" s="1"/>
  <c r="A940" i="35"/>
  <c r="C973" i="33" s="1"/>
  <c r="A939" i="35"/>
  <c r="C972" i="33" s="1"/>
  <c r="A938" i="35"/>
  <c r="C971" i="33" s="1"/>
  <c r="A933" i="35"/>
  <c r="C966" i="33" s="1"/>
  <c r="A932" i="35"/>
  <c r="C965" i="33" s="1"/>
  <c r="A931" i="35"/>
  <c r="C964" i="33" s="1"/>
  <c r="A930" i="35"/>
  <c r="C963" i="33" s="1"/>
  <c r="A929" i="35"/>
  <c r="C962" i="33" s="1"/>
  <c r="A928" i="35"/>
  <c r="A927" i="35"/>
  <c r="A926" i="35"/>
  <c r="A925" i="35"/>
  <c r="C958" i="33" s="1"/>
  <c r="A924" i="35"/>
  <c r="C957" i="33" s="1"/>
  <c r="A923" i="35"/>
  <c r="C956" i="33" s="1"/>
  <c r="A922" i="35"/>
  <c r="C955" i="33" s="1"/>
  <c r="A921" i="35"/>
  <c r="C954" i="33" s="1"/>
  <c r="A916" i="35"/>
  <c r="C949" i="33" s="1"/>
  <c r="A915" i="35"/>
  <c r="C948" i="33" s="1"/>
  <c r="A914" i="35"/>
  <c r="C947" i="33" s="1"/>
  <c r="A913" i="35"/>
  <c r="C946" i="33" s="1"/>
  <c r="A912" i="35"/>
  <c r="A911" i="35"/>
  <c r="A910" i="35"/>
  <c r="A909" i="35"/>
  <c r="A908" i="35"/>
  <c r="C941" i="33" s="1"/>
  <c r="A907" i="35"/>
  <c r="C940" i="33" s="1"/>
  <c r="A906" i="35"/>
  <c r="C939" i="33" s="1"/>
  <c r="A905" i="35"/>
  <c r="C938" i="33" s="1"/>
  <c r="A904" i="35"/>
  <c r="C937" i="33" s="1"/>
  <c r="A899" i="35"/>
  <c r="C932" i="33" s="1"/>
  <c r="A898" i="35"/>
  <c r="C931" i="33" s="1"/>
  <c r="A897" i="35"/>
  <c r="C930" i="33" s="1"/>
  <c r="A896" i="35"/>
  <c r="A895" i="35"/>
  <c r="A894" i="35"/>
  <c r="A893" i="35"/>
  <c r="A892" i="35"/>
  <c r="A891" i="35"/>
  <c r="C924" i="33" s="1"/>
  <c r="A890" i="35"/>
  <c r="C923" i="33" s="1"/>
  <c r="A889" i="35"/>
  <c r="C922" i="33" s="1"/>
  <c r="A888" i="35"/>
  <c r="C921" i="33" s="1"/>
  <c r="A887" i="35"/>
  <c r="C920" i="33" s="1"/>
  <c r="A882" i="35"/>
  <c r="C915" i="33" s="1"/>
  <c r="A881" i="35"/>
  <c r="C914" i="33" s="1"/>
  <c r="A880" i="35"/>
  <c r="A879" i="35"/>
  <c r="A878" i="35"/>
  <c r="A877" i="35"/>
  <c r="C910" i="33" s="1"/>
  <c r="A876" i="35"/>
  <c r="C909" i="33" s="1"/>
  <c r="A875" i="35"/>
  <c r="C908" i="33" s="1"/>
  <c r="A874" i="35"/>
  <c r="C907" i="33" s="1"/>
  <c r="A873" i="35"/>
  <c r="C906" i="33" s="1"/>
  <c r="A872" i="35"/>
  <c r="C905" i="33" s="1"/>
  <c r="A871" i="35"/>
  <c r="C904" i="33" s="1"/>
  <c r="A870" i="35"/>
  <c r="C903" i="33" s="1"/>
  <c r="A865" i="35"/>
  <c r="C898" i="33" s="1"/>
  <c r="A864" i="35"/>
  <c r="A863" i="35"/>
  <c r="A862" i="35"/>
  <c r="A861" i="35"/>
  <c r="C894" i="33" s="1"/>
  <c r="A860" i="35"/>
  <c r="C893" i="33" s="1"/>
  <c r="A859" i="35"/>
  <c r="C892" i="33" s="1"/>
  <c r="A858" i="35"/>
  <c r="C891" i="33" s="1"/>
  <c r="A857" i="35"/>
  <c r="C890" i="33" s="1"/>
  <c r="A856" i="35"/>
  <c r="C889" i="33" s="1"/>
  <c r="A855" i="35"/>
  <c r="C888" i="33" s="1"/>
  <c r="A854" i="35"/>
  <c r="C887" i="33" s="1"/>
  <c r="A853" i="35"/>
  <c r="C886" i="33" s="1"/>
  <c r="A848" i="35"/>
  <c r="A847" i="35"/>
  <c r="A846" i="35"/>
  <c r="A845" i="35"/>
  <c r="A844" i="35"/>
  <c r="C877" i="33" s="1"/>
  <c r="A843" i="35"/>
  <c r="C876" i="33" s="1"/>
  <c r="A842" i="35"/>
  <c r="C875" i="33" s="1"/>
  <c r="A841" i="35"/>
  <c r="C874" i="33" s="1"/>
  <c r="A840" i="35"/>
  <c r="C873" i="33" s="1"/>
  <c r="A839" i="35"/>
  <c r="C872" i="33" s="1"/>
  <c r="A838" i="35"/>
  <c r="C871" i="33" s="1"/>
  <c r="A837" i="35"/>
  <c r="C870" i="33" s="1"/>
  <c r="A836" i="35"/>
  <c r="A831" i="35"/>
  <c r="A830" i="35"/>
  <c r="A829" i="35"/>
  <c r="C862" i="33" s="1"/>
  <c r="A828" i="35"/>
  <c r="C861" i="33" s="1"/>
  <c r="A827" i="35"/>
  <c r="C860" i="33" s="1"/>
  <c r="A826" i="35"/>
  <c r="C859" i="33" s="1"/>
  <c r="A825" i="35"/>
  <c r="C858" i="33" s="1"/>
  <c r="A824" i="35"/>
  <c r="C857" i="33" s="1"/>
  <c r="A823" i="35"/>
  <c r="C856" i="33" s="1"/>
  <c r="A822" i="35"/>
  <c r="C855" i="33" s="1"/>
  <c r="A821" i="35"/>
  <c r="C854" i="33" s="1"/>
  <c r="A820" i="35"/>
  <c r="A819" i="35"/>
  <c r="A814" i="35"/>
  <c r="A813" i="35"/>
  <c r="A812" i="35"/>
  <c r="C845" i="33" s="1"/>
  <c r="A811" i="35"/>
  <c r="A810" i="35"/>
  <c r="C843" i="33" s="1"/>
  <c r="A809" i="35"/>
  <c r="C842" i="33" s="1"/>
  <c r="A808" i="35"/>
  <c r="C841" i="33" s="1"/>
  <c r="A807" i="35"/>
  <c r="C840" i="33" s="1"/>
  <c r="A806" i="35"/>
  <c r="C839" i="33" s="1"/>
  <c r="A805" i="35"/>
  <c r="C838" i="33" s="1"/>
  <c r="A804" i="35"/>
  <c r="A803" i="35"/>
  <c r="A802" i="35"/>
  <c r="A797" i="35"/>
  <c r="C830" i="33" s="1"/>
  <c r="A796" i="35"/>
  <c r="A795" i="35"/>
  <c r="C828" i="33" s="1"/>
  <c r="A794" i="35"/>
  <c r="C827" i="33" s="1"/>
  <c r="A793" i="35"/>
  <c r="C826" i="33" s="1"/>
  <c r="A792" i="35"/>
  <c r="C825" i="33" s="1"/>
  <c r="A791" i="35"/>
  <c r="C824" i="33" s="1"/>
  <c r="A790" i="35"/>
  <c r="C823" i="33" s="1"/>
  <c r="A789" i="35"/>
  <c r="C822" i="33" s="1"/>
  <c r="A788" i="35"/>
  <c r="A787" i="35"/>
  <c r="A786" i="35"/>
  <c r="A785" i="35"/>
  <c r="C818" i="33" s="1"/>
  <c r="A780" i="35"/>
  <c r="C813" i="33" s="1"/>
  <c r="A779" i="35"/>
  <c r="C812" i="33" s="1"/>
  <c r="A778" i="35"/>
  <c r="C811" i="33" s="1"/>
  <c r="A777" i="35"/>
  <c r="C810" i="33" s="1"/>
  <c r="A776" i="35"/>
  <c r="C809" i="33" s="1"/>
  <c r="A775" i="35"/>
  <c r="C808" i="33" s="1"/>
  <c r="A774" i="35"/>
  <c r="C807" i="33" s="1"/>
  <c r="A773" i="35"/>
  <c r="C806" i="33" s="1"/>
  <c r="A772" i="35"/>
  <c r="A771" i="35"/>
  <c r="A770" i="35"/>
  <c r="A769" i="35"/>
  <c r="A768" i="35"/>
  <c r="C801" i="33" s="1"/>
  <c r="A763" i="35"/>
  <c r="C796" i="33" s="1"/>
  <c r="A762" i="35"/>
  <c r="C795" i="33" s="1"/>
  <c r="A761" i="35"/>
  <c r="C794" i="33" s="1"/>
  <c r="A760" i="35"/>
  <c r="C793" i="33" s="1"/>
  <c r="A759" i="35"/>
  <c r="C792" i="33" s="1"/>
  <c r="A758" i="35"/>
  <c r="C791" i="33" s="1"/>
  <c r="A757" i="35"/>
  <c r="C790" i="33" s="1"/>
  <c r="A756" i="35"/>
  <c r="A755" i="35"/>
  <c r="A754" i="35"/>
  <c r="A753" i="35"/>
  <c r="C786" i="33" s="1"/>
  <c r="A752" i="35"/>
  <c r="C785" i="33" s="1"/>
  <c r="A751" i="35"/>
  <c r="C784" i="33" s="1"/>
  <c r="A746" i="35"/>
  <c r="C779" i="33" s="1"/>
  <c r="A745" i="35"/>
  <c r="C778" i="33" s="1"/>
  <c r="A744" i="35"/>
  <c r="C777" i="33" s="1"/>
  <c r="A743" i="35"/>
  <c r="C776" i="33" s="1"/>
  <c r="A742" i="35"/>
  <c r="C775" i="33" s="1"/>
  <c r="A741" i="35"/>
  <c r="C774" i="33" s="1"/>
  <c r="A740" i="35"/>
  <c r="A739" i="35"/>
  <c r="A738" i="35"/>
  <c r="A737" i="35"/>
  <c r="C770" i="33" s="1"/>
  <c r="A736" i="35"/>
  <c r="C769" i="33" s="1"/>
  <c r="A735" i="35"/>
  <c r="C768" i="33" s="1"/>
  <c r="A734" i="35"/>
  <c r="C767" i="33" s="1"/>
  <c r="A729" i="35"/>
  <c r="C762" i="33" s="1"/>
  <c r="A728" i="35"/>
  <c r="C761" i="33" s="1"/>
  <c r="A727" i="35"/>
  <c r="C760" i="33" s="1"/>
  <c r="A726" i="35"/>
  <c r="C759" i="33" s="1"/>
  <c r="A725" i="35"/>
  <c r="C758" i="33" s="1"/>
  <c r="A724" i="35"/>
  <c r="A723" i="35"/>
  <c r="A722" i="35"/>
  <c r="A721" i="35"/>
  <c r="A720" i="35"/>
  <c r="C753" i="33" s="1"/>
  <c r="A719" i="35"/>
  <c r="C752" i="33" s="1"/>
  <c r="A718" i="35"/>
  <c r="C751" i="33" s="1"/>
  <c r="A717" i="35"/>
  <c r="C750" i="33" s="1"/>
  <c r="A712" i="35"/>
  <c r="C745" i="33" s="1"/>
  <c r="A711" i="35"/>
  <c r="C744" i="33" s="1"/>
  <c r="A710" i="35"/>
  <c r="C743" i="33" s="1"/>
  <c r="A709" i="35"/>
  <c r="C742" i="33" s="1"/>
  <c r="A708" i="35"/>
  <c r="A707" i="35"/>
  <c r="A706" i="35"/>
  <c r="A705" i="35"/>
  <c r="C738" i="33" s="1"/>
  <c r="A704" i="35"/>
  <c r="C737" i="33" s="1"/>
  <c r="A703" i="35"/>
  <c r="C736" i="33" s="1"/>
  <c r="A702" i="35"/>
  <c r="C735" i="33" s="1"/>
  <c r="A701" i="35"/>
  <c r="C734" i="33" s="1"/>
  <c r="A700" i="35"/>
  <c r="C733" i="33" s="1"/>
  <c r="A695" i="35"/>
  <c r="C728" i="33" s="1"/>
  <c r="A694" i="35"/>
  <c r="C727" i="33" s="1"/>
  <c r="A693" i="35"/>
  <c r="C726" i="33" s="1"/>
  <c r="A692" i="35"/>
  <c r="A691" i="35"/>
  <c r="A690" i="35"/>
  <c r="A689" i="35"/>
  <c r="C722" i="33" s="1"/>
  <c r="A688" i="35"/>
  <c r="C721" i="33" s="1"/>
  <c r="A687" i="35"/>
  <c r="C720" i="33" s="1"/>
  <c r="A686" i="35"/>
  <c r="C719" i="33" s="1"/>
  <c r="A685" i="35"/>
  <c r="C718" i="33" s="1"/>
  <c r="A684" i="35"/>
  <c r="C717" i="33" s="1"/>
  <c r="A683" i="35"/>
  <c r="C716" i="33" s="1"/>
  <c r="A678" i="35"/>
  <c r="C711" i="33" s="1"/>
  <c r="A677" i="35"/>
  <c r="C710" i="33" s="1"/>
  <c r="A676" i="35"/>
  <c r="A675" i="35"/>
  <c r="A674" i="35"/>
  <c r="A673" i="35"/>
  <c r="A672" i="35"/>
  <c r="A671" i="35"/>
  <c r="C704" i="33" s="1"/>
  <c r="A670" i="35"/>
  <c r="C703" i="33" s="1"/>
  <c r="A669" i="35"/>
  <c r="C702" i="33" s="1"/>
  <c r="A668" i="35"/>
  <c r="C701" i="33" s="1"/>
  <c r="A667" i="35"/>
  <c r="C700" i="33" s="1"/>
  <c r="A666" i="35"/>
  <c r="C699" i="33" s="1"/>
  <c r="A661" i="35"/>
  <c r="C694" i="33" s="1"/>
  <c r="A660" i="35"/>
  <c r="A659" i="35"/>
  <c r="A658" i="35"/>
  <c r="A657" i="35"/>
  <c r="A656" i="35"/>
  <c r="C689" i="33" s="1"/>
  <c r="A655" i="35"/>
  <c r="C688" i="33" s="1"/>
  <c r="A654" i="35"/>
  <c r="C687" i="33" s="1"/>
  <c r="A653" i="35"/>
  <c r="C686" i="33" s="1"/>
  <c r="A652" i="35"/>
  <c r="C685" i="33" s="1"/>
  <c r="A651" i="35"/>
  <c r="C684" i="33" s="1"/>
  <c r="A650" i="35"/>
  <c r="C683" i="33" s="1"/>
  <c r="A649" i="35"/>
  <c r="C682" i="33" s="1"/>
  <c r="A644" i="35"/>
  <c r="A643" i="35"/>
  <c r="A642" i="35"/>
  <c r="A641" i="35"/>
  <c r="C674" i="33" s="1"/>
  <c r="A640" i="35"/>
  <c r="A639" i="35"/>
  <c r="C672" i="33" s="1"/>
  <c r="A638" i="35"/>
  <c r="C671" i="33" s="1"/>
  <c r="A637" i="35"/>
  <c r="C670" i="33" s="1"/>
  <c r="A636" i="35"/>
  <c r="C669" i="33" s="1"/>
  <c r="A635" i="35"/>
  <c r="C668" i="33" s="1"/>
  <c r="A634" i="35"/>
  <c r="C667" i="33" s="1"/>
  <c r="A633" i="35"/>
  <c r="C666" i="33" s="1"/>
  <c r="A632" i="35"/>
  <c r="A627" i="35"/>
  <c r="A626" i="35"/>
  <c r="A625" i="35"/>
  <c r="A624" i="35"/>
  <c r="C657" i="33" s="1"/>
  <c r="A623" i="35"/>
  <c r="C656" i="33" s="1"/>
  <c r="A622" i="35"/>
  <c r="C655" i="33" s="1"/>
  <c r="A621" i="35"/>
  <c r="C654" i="33" s="1"/>
  <c r="A620" i="35"/>
  <c r="C653" i="33" s="1"/>
  <c r="A619" i="35"/>
  <c r="C652" i="33" s="1"/>
  <c r="A618" i="35"/>
  <c r="C651" i="33" s="1"/>
  <c r="A617" i="35"/>
  <c r="C650" i="33" s="1"/>
  <c r="A616" i="35"/>
  <c r="A615" i="35"/>
  <c r="A610" i="35"/>
  <c r="A609" i="35"/>
  <c r="A608" i="35"/>
  <c r="C641" i="33" s="1"/>
  <c r="A607" i="35"/>
  <c r="A606" i="35"/>
  <c r="C639" i="33" s="1"/>
  <c r="A605" i="35"/>
  <c r="C638" i="33" s="1"/>
  <c r="A604" i="35"/>
  <c r="C637" i="33" s="1"/>
  <c r="A603" i="35"/>
  <c r="C636" i="33" s="1"/>
  <c r="A602" i="35"/>
  <c r="C635" i="33" s="1"/>
  <c r="A601" i="35"/>
  <c r="C634" i="33" s="1"/>
  <c r="A600" i="35"/>
  <c r="A599" i="35"/>
  <c r="A598" i="35"/>
  <c r="A593" i="35"/>
  <c r="C626" i="33" s="1"/>
  <c r="A592" i="35"/>
  <c r="C625" i="33" s="1"/>
  <c r="A591" i="35"/>
  <c r="C624" i="33" s="1"/>
  <c r="A590" i="35"/>
  <c r="C623" i="33" s="1"/>
  <c r="A589" i="35"/>
  <c r="C622" i="33" s="1"/>
  <c r="A588" i="35"/>
  <c r="C621" i="33" s="1"/>
  <c r="A587" i="35"/>
  <c r="C620" i="33" s="1"/>
  <c r="A586" i="35"/>
  <c r="C619" i="33" s="1"/>
  <c r="A585" i="35"/>
  <c r="C618" i="33" s="1"/>
  <c r="A584" i="35"/>
  <c r="A583" i="35"/>
  <c r="A582" i="35"/>
  <c r="A581" i="35"/>
  <c r="C614" i="33" s="1"/>
  <c r="A576" i="35"/>
  <c r="A575" i="35"/>
  <c r="C608" i="33" s="1"/>
  <c r="A574" i="35"/>
  <c r="C607" i="33" s="1"/>
  <c r="A573" i="35"/>
  <c r="C606" i="33" s="1"/>
  <c r="A572" i="35"/>
  <c r="C605" i="33" s="1"/>
  <c r="A571" i="35"/>
  <c r="C604" i="33" s="1"/>
  <c r="A570" i="35"/>
  <c r="C603" i="33" s="1"/>
  <c r="A569" i="35"/>
  <c r="C602" i="33" s="1"/>
  <c r="A568" i="35"/>
  <c r="A567" i="35"/>
  <c r="A566" i="35"/>
  <c r="A565" i="35"/>
  <c r="C598" i="33" s="1"/>
  <c r="A564" i="35"/>
  <c r="C597" i="33" s="1"/>
  <c r="A559" i="35"/>
  <c r="A558" i="35"/>
  <c r="A557" i="35"/>
  <c r="C590" i="33" s="1"/>
  <c r="A556" i="35"/>
  <c r="C589" i="33" s="1"/>
  <c r="A555" i="35"/>
  <c r="C588" i="33" s="1"/>
  <c r="A554" i="35"/>
  <c r="C587" i="33" s="1"/>
  <c r="A553" i="35"/>
  <c r="C586" i="33" s="1"/>
  <c r="A552" i="35"/>
  <c r="A551" i="35"/>
  <c r="A550" i="35"/>
  <c r="A549" i="35"/>
  <c r="A548" i="35"/>
  <c r="C581" i="33" s="1"/>
  <c r="A547" i="35"/>
  <c r="A542" i="35"/>
  <c r="C575" i="33" s="1"/>
  <c r="A541" i="35"/>
  <c r="C574" i="33" s="1"/>
  <c r="A540" i="35"/>
  <c r="C573" i="33" s="1"/>
  <c r="A539" i="35"/>
  <c r="C572" i="33" s="1"/>
  <c r="A538" i="35"/>
  <c r="C571" i="33" s="1"/>
  <c r="A537" i="35"/>
  <c r="C570" i="33" s="1"/>
  <c r="A536" i="35"/>
  <c r="A535" i="35"/>
  <c r="A534" i="35"/>
  <c r="A533" i="35"/>
  <c r="C566" i="33" s="1"/>
  <c r="A532" i="35"/>
  <c r="C565" i="33" s="1"/>
  <c r="A531" i="35"/>
  <c r="C564" i="33" s="1"/>
  <c r="A530" i="35"/>
  <c r="C563" i="33" s="1"/>
  <c r="A525" i="35"/>
  <c r="C558" i="33" s="1"/>
  <c r="A524" i="35"/>
  <c r="C557" i="33" s="1"/>
  <c r="A523" i="35"/>
  <c r="C556" i="33" s="1"/>
  <c r="A522" i="35"/>
  <c r="C555" i="33" s="1"/>
  <c r="A521" i="35"/>
  <c r="C554" i="33" s="1"/>
  <c r="A520" i="35"/>
  <c r="A519" i="35"/>
  <c r="A518" i="35"/>
  <c r="A517" i="35"/>
  <c r="C550" i="33" s="1"/>
  <c r="A516" i="35"/>
  <c r="C549" i="33" s="1"/>
  <c r="A515" i="35"/>
  <c r="C548" i="33" s="1"/>
  <c r="A514" i="35"/>
  <c r="C547" i="33" s="1"/>
  <c r="A513" i="35"/>
  <c r="C546" i="33" s="1"/>
  <c r="A508" i="35"/>
  <c r="C541" i="33" s="1"/>
  <c r="A507" i="35"/>
  <c r="C540" i="33" s="1"/>
  <c r="A506" i="35"/>
  <c r="C539" i="33" s="1"/>
  <c r="A505" i="35"/>
  <c r="C538" i="33" s="1"/>
  <c r="A504" i="35"/>
  <c r="A503" i="35"/>
  <c r="A502" i="35"/>
  <c r="A501" i="35"/>
  <c r="C534" i="33" s="1"/>
  <c r="A500" i="35"/>
  <c r="C533" i="33" s="1"/>
  <c r="A499" i="35"/>
  <c r="C532" i="33" s="1"/>
  <c r="A498" i="35"/>
  <c r="C531" i="33" s="1"/>
  <c r="A497" i="35"/>
  <c r="C530" i="33" s="1"/>
  <c r="A496" i="35"/>
  <c r="C529" i="33" s="1"/>
  <c r="A491" i="35"/>
  <c r="C524" i="33" s="1"/>
  <c r="A490" i="35"/>
  <c r="C523" i="33" s="1"/>
  <c r="A489" i="35"/>
  <c r="C522" i="33" s="1"/>
  <c r="A488" i="35"/>
  <c r="A487" i="35"/>
  <c r="A486" i="35"/>
  <c r="A485" i="35"/>
  <c r="A484" i="35"/>
  <c r="A483" i="35"/>
  <c r="C516" i="33" s="1"/>
  <c r="A482" i="35"/>
  <c r="C515" i="33" s="1"/>
  <c r="A481" i="35"/>
  <c r="C514" i="33" s="1"/>
  <c r="A480" i="35"/>
  <c r="C513" i="33" s="1"/>
  <c r="A479" i="35"/>
  <c r="C512" i="33" s="1"/>
  <c r="A474" i="35"/>
  <c r="C507" i="33" s="1"/>
  <c r="A473" i="35"/>
  <c r="C506" i="33" s="1"/>
  <c r="A472" i="35"/>
  <c r="A471" i="35"/>
  <c r="A470" i="35"/>
  <c r="A469" i="35"/>
  <c r="C502" i="33" s="1"/>
  <c r="A468" i="35"/>
  <c r="C501" i="33" s="1"/>
  <c r="A467" i="35"/>
  <c r="C500" i="33" s="1"/>
  <c r="A466" i="35"/>
  <c r="C499" i="33" s="1"/>
  <c r="A465" i="35"/>
  <c r="C498" i="33" s="1"/>
  <c r="A464" i="35"/>
  <c r="C497" i="33" s="1"/>
  <c r="A463" i="35"/>
  <c r="C496" i="33" s="1"/>
  <c r="A462" i="35"/>
  <c r="C495" i="33" s="1"/>
  <c r="A457" i="35"/>
  <c r="C490" i="33" s="1"/>
  <c r="A456" i="35"/>
  <c r="A455" i="35"/>
  <c r="A454" i="35"/>
  <c r="A453" i="35"/>
  <c r="A452" i="35"/>
  <c r="C485" i="33" s="1"/>
  <c r="A451" i="35"/>
  <c r="C484" i="33" s="1"/>
  <c r="A450" i="35"/>
  <c r="C483" i="33" s="1"/>
  <c r="A449" i="35"/>
  <c r="C482" i="33" s="1"/>
  <c r="A448" i="35"/>
  <c r="C481" i="33" s="1"/>
  <c r="A447" i="35"/>
  <c r="C480" i="33" s="1"/>
  <c r="A446" i="35"/>
  <c r="C479" i="33" s="1"/>
  <c r="A445" i="35"/>
  <c r="C478" i="33" s="1"/>
  <c r="A440" i="35"/>
  <c r="A439" i="35"/>
  <c r="A438" i="35"/>
  <c r="A437" i="35"/>
  <c r="A436" i="35"/>
  <c r="C469" i="33" s="1"/>
  <c r="A435" i="35"/>
  <c r="C468" i="33" s="1"/>
  <c r="A434" i="35"/>
  <c r="C467" i="33" s="1"/>
  <c r="A433" i="35"/>
  <c r="C466" i="33" s="1"/>
  <c r="A432" i="35"/>
  <c r="C465" i="33" s="1"/>
  <c r="A431" i="35"/>
  <c r="A430" i="35"/>
  <c r="C463" i="33" s="1"/>
  <c r="A429" i="35"/>
  <c r="C462" i="33" s="1"/>
  <c r="A428" i="35"/>
  <c r="A423" i="35"/>
  <c r="A422" i="35"/>
  <c r="A421" i="35"/>
  <c r="C454" i="33" s="1"/>
  <c r="A420" i="35"/>
  <c r="C453" i="33" s="1"/>
  <c r="A419" i="35"/>
  <c r="C452" i="33" s="1"/>
  <c r="A418" i="35"/>
  <c r="C451" i="33" s="1"/>
  <c r="A417" i="35"/>
  <c r="C450" i="33" s="1"/>
  <c r="A416" i="35"/>
  <c r="C449" i="33" s="1"/>
  <c r="A415" i="35"/>
  <c r="C448" i="33" s="1"/>
  <c r="A414" i="35"/>
  <c r="C447" i="33" s="1"/>
  <c r="A413" i="35"/>
  <c r="C446" i="33" s="1"/>
  <c r="A412" i="35"/>
  <c r="A411" i="35"/>
  <c r="A406" i="35"/>
  <c r="A405" i="35"/>
  <c r="A404" i="35"/>
  <c r="C437" i="33" s="1"/>
  <c r="A403" i="35"/>
  <c r="C436" i="33" s="1"/>
  <c r="A402" i="35"/>
  <c r="C435" i="33" s="1"/>
  <c r="A401" i="35"/>
  <c r="C434" i="33" s="1"/>
  <c r="A400" i="35"/>
  <c r="C433" i="33" s="1"/>
  <c r="A399" i="35"/>
  <c r="C432" i="33" s="1"/>
  <c r="A398" i="35"/>
  <c r="C431" i="33" s="1"/>
  <c r="A397" i="35"/>
  <c r="C430" i="33" s="1"/>
  <c r="A396" i="35"/>
  <c r="A395" i="35"/>
  <c r="A394" i="35"/>
  <c r="A389" i="35"/>
  <c r="C422" i="33" s="1"/>
  <c r="A388" i="35"/>
  <c r="C421" i="33" s="1"/>
  <c r="A387" i="35"/>
  <c r="C420" i="33" s="1"/>
  <c r="A386" i="35"/>
  <c r="C419" i="33" s="1"/>
  <c r="A385" i="35"/>
  <c r="C418" i="33" s="1"/>
  <c r="A384" i="35"/>
  <c r="C417" i="33" s="1"/>
  <c r="A383" i="35"/>
  <c r="C416" i="33" s="1"/>
  <c r="A382" i="35"/>
  <c r="C415" i="33" s="1"/>
  <c r="A381" i="35"/>
  <c r="C414" i="33" s="1"/>
  <c r="A380" i="35"/>
  <c r="A379" i="35"/>
  <c r="A378" i="35"/>
  <c r="A377" i="35"/>
  <c r="C410" i="33" s="1"/>
  <c r="A372" i="35"/>
  <c r="C405" i="33" s="1"/>
  <c r="A371" i="35"/>
  <c r="C404" i="33" s="1"/>
  <c r="A370" i="35"/>
  <c r="C403" i="33" s="1"/>
  <c r="A369" i="35"/>
  <c r="C402" i="33" s="1"/>
  <c r="A368" i="35"/>
  <c r="C401" i="33" s="1"/>
  <c r="A367" i="35"/>
  <c r="C400" i="33" s="1"/>
  <c r="A366" i="35"/>
  <c r="C399" i="33" s="1"/>
  <c r="A365" i="35"/>
  <c r="C398" i="33" s="1"/>
  <c r="A364" i="35"/>
  <c r="A363" i="35"/>
  <c r="A362" i="35"/>
  <c r="A361" i="35"/>
  <c r="A360" i="35"/>
  <c r="C393" i="33" s="1"/>
  <c r="A355" i="35"/>
  <c r="C388" i="33" s="1"/>
  <c r="A354" i="35"/>
  <c r="A353" i="35"/>
  <c r="C386" i="33" s="1"/>
  <c r="A352" i="35"/>
  <c r="C385" i="33" s="1"/>
  <c r="A351" i="35"/>
  <c r="A350" i="35"/>
  <c r="C383" i="33" s="1"/>
  <c r="A349" i="35"/>
  <c r="C382" i="33" s="1"/>
  <c r="A348" i="35"/>
  <c r="A347" i="35"/>
  <c r="A346" i="35"/>
  <c r="A345" i="35"/>
  <c r="A344" i="35"/>
  <c r="C377" i="33" s="1"/>
  <c r="A343" i="35"/>
  <c r="C376" i="33" s="1"/>
  <c r="A338" i="35"/>
  <c r="C371" i="33" s="1"/>
  <c r="A337" i="35"/>
  <c r="C370" i="33" s="1"/>
  <c r="A336" i="35"/>
  <c r="C369" i="33" s="1"/>
  <c r="A335" i="35"/>
  <c r="C368" i="33" s="1"/>
  <c r="A334" i="35"/>
  <c r="C367" i="33" s="1"/>
  <c r="A333" i="35"/>
  <c r="C366" i="33" s="1"/>
  <c r="A332" i="35"/>
  <c r="A331" i="35"/>
  <c r="A330" i="35"/>
  <c r="A329" i="35"/>
  <c r="A328" i="35"/>
  <c r="C361" i="33" s="1"/>
  <c r="A327" i="35"/>
  <c r="C360" i="33" s="1"/>
  <c r="A326" i="35"/>
  <c r="C359" i="33" s="1"/>
  <c r="A321" i="35"/>
  <c r="C354" i="33" s="1"/>
  <c r="A320" i="35"/>
  <c r="C353" i="33" s="1"/>
  <c r="A319" i="35"/>
  <c r="C352" i="33" s="1"/>
  <c r="A318" i="35"/>
  <c r="C351" i="33" s="1"/>
  <c r="A317" i="35"/>
  <c r="C350" i="33" s="1"/>
  <c r="A316" i="35"/>
  <c r="A315" i="35"/>
  <c r="A314" i="35"/>
  <c r="A313" i="35"/>
  <c r="A312" i="35"/>
  <c r="C345" i="33" s="1"/>
  <c r="A311" i="35"/>
  <c r="C344" i="33" s="1"/>
  <c r="A310" i="35"/>
  <c r="C343" i="33" s="1"/>
  <c r="A309" i="35"/>
  <c r="C342" i="33" s="1"/>
  <c r="A304" i="35"/>
  <c r="C337" i="33" s="1"/>
  <c r="A303" i="35"/>
  <c r="C336" i="33" s="1"/>
  <c r="A302" i="35"/>
  <c r="C335" i="33" s="1"/>
  <c r="A301" i="35"/>
  <c r="C334" i="33" s="1"/>
  <c r="A300" i="35"/>
  <c r="A299" i="35"/>
  <c r="A298" i="35"/>
  <c r="A297" i="35"/>
  <c r="A296" i="35"/>
  <c r="C329" i="33" s="1"/>
  <c r="A295" i="35"/>
  <c r="C328" i="33" s="1"/>
  <c r="A294" i="35"/>
  <c r="C327" i="33" s="1"/>
  <c r="A293" i="35"/>
  <c r="C326" i="33" s="1"/>
  <c r="A292" i="35"/>
  <c r="C325" i="33" s="1"/>
  <c r="A287" i="35"/>
  <c r="C320" i="33" s="1"/>
  <c r="A286" i="35"/>
  <c r="C319" i="33" s="1"/>
  <c r="A285" i="35"/>
  <c r="C318" i="33" s="1"/>
  <c r="A284" i="35"/>
  <c r="A283" i="35"/>
  <c r="A282" i="35"/>
  <c r="A281" i="35"/>
  <c r="A280" i="35"/>
  <c r="C313" i="33" s="1"/>
  <c r="A279" i="35"/>
  <c r="A278" i="35"/>
  <c r="C311" i="33" s="1"/>
  <c r="A277" i="35"/>
  <c r="C310" i="33" s="1"/>
  <c r="A276" i="35"/>
  <c r="C309" i="33" s="1"/>
  <c r="A275" i="35"/>
  <c r="C308" i="33" s="1"/>
  <c r="A270" i="35"/>
  <c r="C303" i="33" s="1"/>
  <c r="A269" i="35"/>
  <c r="C302" i="33" s="1"/>
  <c r="A268" i="35"/>
  <c r="A267" i="35"/>
  <c r="A266" i="35"/>
  <c r="A265" i="35"/>
  <c r="A264" i="35"/>
  <c r="C297" i="33" s="1"/>
  <c r="A263" i="35"/>
  <c r="C296" i="33" s="1"/>
  <c r="A262" i="35"/>
  <c r="C295" i="33" s="1"/>
  <c r="A261" i="35"/>
  <c r="C294" i="33" s="1"/>
  <c r="A260" i="35"/>
  <c r="C293" i="33" s="1"/>
  <c r="A259" i="35"/>
  <c r="C292" i="33" s="1"/>
  <c r="A258" i="35"/>
  <c r="C291" i="33" s="1"/>
  <c r="A253" i="35"/>
  <c r="C286" i="33" s="1"/>
  <c r="A252" i="35"/>
  <c r="A251" i="35"/>
  <c r="A250" i="35"/>
  <c r="A249" i="35"/>
  <c r="A248" i="35"/>
  <c r="C281" i="33" s="1"/>
  <c r="A247" i="35"/>
  <c r="C280" i="33" s="1"/>
  <c r="A246" i="35"/>
  <c r="C279" i="33" s="1"/>
  <c r="A245" i="35"/>
  <c r="C278" i="33" s="1"/>
  <c r="A244" i="35"/>
  <c r="C277" i="33" s="1"/>
  <c r="A243" i="35"/>
  <c r="A242" i="35"/>
  <c r="C275" i="33" s="1"/>
  <c r="A241" i="35"/>
  <c r="C274" i="33" s="1"/>
  <c r="A236" i="35"/>
  <c r="A235" i="35"/>
  <c r="A234" i="35"/>
  <c r="A233" i="35"/>
  <c r="C266" i="33" s="1"/>
  <c r="A232" i="35"/>
  <c r="C265" i="33" s="1"/>
  <c r="A231" i="35"/>
  <c r="C264" i="33" s="1"/>
  <c r="A230" i="35"/>
  <c r="C263" i="33" s="1"/>
  <c r="A229" i="35"/>
  <c r="C262" i="33" s="1"/>
  <c r="A228" i="35"/>
  <c r="C261" i="33" s="1"/>
  <c r="A227" i="35"/>
  <c r="C260" i="33" s="1"/>
  <c r="A226" i="35"/>
  <c r="C259" i="33" s="1"/>
  <c r="A225" i="35"/>
  <c r="C258" i="33" s="1"/>
  <c r="A224" i="35"/>
  <c r="A219" i="35"/>
  <c r="A218" i="35"/>
  <c r="A217" i="35"/>
  <c r="C250" i="33" s="1"/>
  <c r="A216" i="35"/>
  <c r="C249" i="33" s="1"/>
  <c r="A215" i="35"/>
  <c r="C248" i="33" s="1"/>
  <c r="A214" i="35"/>
  <c r="C247" i="33" s="1"/>
  <c r="A213" i="35"/>
  <c r="C246" i="33" s="1"/>
  <c r="A212" i="35"/>
  <c r="C245" i="33" s="1"/>
  <c r="A211" i="35"/>
  <c r="C244" i="33" s="1"/>
  <c r="A210" i="35"/>
  <c r="C243" i="33" s="1"/>
  <c r="A209" i="35"/>
  <c r="C242" i="33" s="1"/>
  <c r="A208" i="35"/>
  <c r="A207" i="35"/>
  <c r="A202" i="35"/>
  <c r="A201" i="35"/>
  <c r="A200" i="35"/>
  <c r="C233" i="33" s="1"/>
  <c r="A199" i="35"/>
  <c r="C232" i="33" s="1"/>
  <c r="A198" i="35"/>
  <c r="C231" i="33" s="1"/>
  <c r="A197" i="35"/>
  <c r="C230" i="33" s="1"/>
  <c r="A196" i="35"/>
  <c r="C229" i="33" s="1"/>
  <c r="A195" i="35"/>
  <c r="C228" i="33" s="1"/>
  <c r="A194" i="35"/>
  <c r="C227" i="33" s="1"/>
  <c r="A193" i="35"/>
  <c r="C226" i="33" s="1"/>
  <c r="A192" i="35"/>
  <c r="A191" i="35"/>
  <c r="A190" i="35"/>
  <c r="A185" i="35"/>
  <c r="A184" i="35"/>
  <c r="C217" i="33" s="1"/>
  <c r="A183" i="35"/>
  <c r="C216" i="33" s="1"/>
  <c r="A182" i="35"/>
  <c r="C215" i="33" s="1"/>
  <c r="A181" i="35"/>
  <c r="C214" i="33" s="1"/>
  <c r="A180" i="35"/>
  <c r="C213" i="33" s="1"/>
  <c r="A179" i="35"/>
  <c r="C212" i="33" s="1"/>
  <c r="A178" i="35"/>
  <c r="C211" i="33" s="1"/>
  <c r="A177" i="35"/>
  <c r="C210" i="33" s="1"/>
  <c r="A176" i="35"/>
  <c r="A175" i="35"/>
  <c r="A174" i="35"/>
  <c r="A173" i="35"/>
  <c r="A168" i="35"/>
  <c r="C201" i="33" s="1"/>
  <c r="A167" i="35"/>
  <c r="C200" i="33" s="1"/>
  <c r="A166" i="35"/>
  <c r="C199" i="33" s="1"/>
  <c r="A165" i="35"/>
  <c r="C198" i="33" s="1"/>
  <c r="A164" i="35"/>
  <c r="C197" i="33" s="1"/>
  <c r="A163" i="35"/>
  <c r="C196" i="33" s="1"/>
  <c r="A162" i="35"/>
  <c r="C195" i="33" s="1"/>
  <c r="A161" i="35"/>
  <c r="C194" i="33" s="1"/>
  <c r="A160" i="35"/>
  <c r="A159" i="35"/>
  <c r="A158" i="35"/>
  <c r="A157" i="35"/>
  <c r="A156" i="35"/>
  <c r="C189" i="33" s="1"/>
  <c r="A151" i="35"/>
  <c r="C184" i="33" s="1"/>
  <c r="A150" i="35"/>
  <c r="A149" i="35"/>
  <c r="C182" i="33" s="1"/>
  <c r="A148" i="35"/>
  <c r="C181" i="33" s="1"/>
  <c r="A147" i="35"/>
  <c r="A146" i="35"/>
  <c r="C179" i="33" s="1"/>
  <c r="A145" i="35"/>
  <c r="C178" i="33" s="1"/>
  <c r="A144" i="35"/>
  <c r="A143" i="35"/>
  <c r="A142" i="35"/>
  <c r="A141" i="35"/>
  <c r="C174" i="33" s="1"/>
  <c r="A140" i="35"/>
  <c r="C173" i="33" s="1"/>
  <c r="A139" i="35"/>
  <c r="C172" i="33" s="1"/>
  <c r="A134" i="35"/>
  <c r="C167" i="33" s="1"/>
  <c r="A133" i="35"/>
  <c r="C166" i="33" s="1"/>
  <c r="A132" i="35"/>
  <c r="C165" i="33" s="1"/>
  <c r="A131" i="35"/>
  <c r="C164" i="33" s="1"/>
  <c r="A130" i="35"/>
  <c r="C163" i="33" s="1"/>
  <c r="A129" i="35"/>
  <c r="C162" i="33" s="1"/>
  <c r="A128" i="35"/>
  <c r="A127" i="35"/>
  <c r="C160" i="33" s="1"/>
  <c r="A126" i="35"/>
  <c r="A125" i="35"/>
  <c r="A124" i="35"/>
  <c r="C157" i="33" s="1"/>
  <c r="A123" i="35"/>
  <c r="C156" i="33" s="1"/>
  <c r="A122" i="35"/>
  <c r="C155" i="33" s="1"/>
  <c r="A117" i="35"/>
  <c r="C150" i="33" s="1"/>
  <c r="A116" i="35"/>
  <c r="C149" i="33" s="1"/>
  <c r="A115" i="35"/>
  <c r="C148" i="33" s="1"/>
  <c r="A114" i="35"/>
  <c r="C147" i="33" s="1"/>
  <c r="A113" i="35"/>
  <c r="C146" i="33" s="1"/>
  <c r="A112" i="35"/>
  <c r="A111" i="35"/>
  <c r="A110" i="35"/>
  <c r="A109" i="35"/>
  <c r="A108" i="35"/>
  <c r="C141" i="33" s="1"/>
  <c r="A107" i="35"/>
  <c r="C140" i="33" s="1"/>
  <c r="A106" i="35"/>
  <c r="C139" i="33" s="1"/>
  <c r="A105" i="35"/>
  <c r="C138" i="33" s="1"/>
  <c r="A100" i="35"/>
  <c r="C133" i="33" s="1"/>
  <c r="A99" i="35"/>
  <c r="C132" i="33" s="1"/>
  <c r="A98" i="35"/>
  <c r="C131" i="33" s="1"/>
  <c r="A97" i="35"/>
  <c r="C130" i="33" s="1"/>
  <c r="A96" i="35"/>
  <c r="A95" i="35"/>
  <c r="A94" i="35"/>
  <c r="A93" i="35"/>
  <c r="C126" i="33" s="1"/>
  <c r="A92" i="35"/>
  <c r="C125" i="33" s="1"/>
  <c r="A91" i="35"/>
  <c r="C124" i="33" s="1"/>
  <c r="A90" i="35"/>
  <c r="C123" i="33" s="1"/>
  <c r="A89" i="35"/>
  <c r="C122" i="33" s="1"/>
  <c r="A88" i="35"/>
  <c r="C121" i="33" s="1"/>
  <c r="A83" i="35"/>
  <c r="A82" i="35"/>
  <c r="C115" i="33" s="1"/>
  <c r="A81" i="35"/>
  <c r="C114" i="33" s="1"/>
  <c r="A80" i="35"/>
  <c r="A79" i="35"/>
  <c r="A78" i="35"/>
  <c r="A77" i="35"/>
  <c r="A76" i="35"/>
  <c r="C109" i="33" s="1"/>
  <c r="A75" i="35"/>
  <c r="C108" i="33" s="1"/>
  <c r="A74" i="35"/>
  <c r="C107" i="33" s="1"/>
  <c r="A73" i="35"/>
  <c r="C106" i="33" s="1"/>
  <c r="A72" i="35"/>
  <c r="C105" i="33" s="1"/>
  <c r="A71" i="35"/>
  <c r="D66" i="35"/>
  <c r="A66" i="35"/>
  <c r="C99" i="33" s="1"/>
  <c r="A65" i="35"/>
  <c r="A64" i="35"/>
  <c r="A63" i="35"/>
  <c r="A62" i="35"/>
  <c r="C95" i="33" s="1"/>
  <c r="A61" i="35"/>
  <c r="C94" i="33" s="1"/>
  <c r="A60" i="35"/>
  <c r="C93" i="33" s="1"/>
  <c r="A59" i="35"/>
  <c r="C92" i="33" s="1"/>
  <c r="A58" i="35"/>
  <c r="C91" i="33" s="1"/>
  <c r="A57" i="35"/>
  <c r="C90" i="33" s="1"/>
  <c r="A56" i="35"/>
  <c r="C89" i="33" s="1"/>
  <c r="A55" i="35"/>
  <c r="C88" i="33" s="1"/>
  <c r="A54" i="35"/>
  <c r="C87" i="33" s="1"/>
  <c r="A49" i="35"/>
  <c r="A48" i="35"/>
  <c r="A47" i="35"/>
  <c r="A46" i="35"/>
  <c r="C79" i="33" s="1"/>
  <c r="A45" i="35"/>
  <c r="C78" i="33" s="1"/>
  <c r="A44" i="35"/>
  <c r="C77" i="33" s="1"/>
  <c r="A43" i="35"/>
  <c r="C76" i="33" s="1"/>
  <c r="A42" i="35"/>
  <c r="C75" i="33" s="1"/>
  <c r="A41" i="35"/>
  <c r="C74" i="33" s="1"/>
  <c r="A40" i="35"/>
  <c r="C73" i="33" s="1"/>
  <c r="A39" i="35"/>
  <c r="C72" i="33" s="1"/>
  <c r="A38" i="35"/>
  <c r="C71" i="33" s="1"/>
  <c r="A37" i="35"/>
  <c r="A32" i="35"/>
  <c r="A31" i="35"/>
  <c r="A30" i="35"/>
  <c r="C63" i="33" s="1"/>
  <c r="A29" i="35"/>
  <c r="C62" i="33" s="1"/>
  <c r="A28" i="35"/>
  <c r="C61" i="33" s="1"/>
  <c r="A27" i="35"/>
  <c r="C60" i="33" s="1"/>
  <c r="A26" i="35"/>
  <c r="C59" i="33" s="1"/>
  <c r="A25" i="35"/>
  <c r="C58" i="33" s="1"/>
  <c r="A24" i="35"/>
  <c r="C57" i="33" s="1"/>
  <c r="A23" i="35"/>
  <c r="C56" i="33" s="1"/>
  <c r="A22" i="35"/>
  <c r="C55" i="33" s="1"/>
  <c r="A21" i="35"/>
  <c r="A20" i="35"/>
  <c r="A15" i="35"/>
  <c r="A14" i="35"/>
  <c r="A13" i="35"/>
  <c r="A12" i="35"/>
  <c r="C45" i="33" s="1"/>
  <c r="A11" i="35"/>
  <c r="C44" i="33" s="1"/>
  <c r="A10" i="35"/>
  <c r="C43" i="33" s="1"/>
  <c r="A9" i="35"/>
  <c r="C42" i="33" s="1"/>
  <c r="A8" i="35"/>
  <c r="A7" i="35"/>
  <c r="C40" i="33" s="1"/>
  <c r="A6" i="35"/>
  <c r="C39" i="33" s="1"/>
  <c r="A5" i="35"/>
  <c r="A4" i="35"/>
  <c r="A3" i="35"/>
  <c r="A1" i="35"/>
  <c r="A1085" i="34"/>
  <c r="A1084" i="34"/>
  <c r="B1117" i="33" s="1"/>
  <c r="A1083" i="34"/>
  <c r="B1116" i="33" s="1"/>
  <c r="A1082" i="34"/>
  <c r="B1115" i="33" s="1"/>
  <c r="A1081" i="34"/>
  <c r="B1114" i="33" s="1"/>
  <c r="A1080" i="34"/>
  <c r="B1113" i="33" s="1"/>
  <c r="A1079" i="34"/>
  <c r="B1112" i="33" s="1"/>
  <c r="A1078" i="34"/>
  <c r="B1111" i="33" s="1"/>
  <c r="A1077" i="34"/>
  <c r="A1076" i="34"/>
  <c r="B1109" i="33" s="1"/>
  <c r="A1075" i="34"/>
  <c r="A1074" i="34"/>
  <c r="B1107" i="33" s="1"/>
  <c r="A1073" i="34"/>
  <c r="A1072" i="34"/>
  <c r="B1105" i="33" s="1"/>
  <c r="A1068" i="34"/>
  <c r="B1101" i="33" s="1"/>
  <c r="A1067" i="34"/>
  <c r="B1100" i="33" s="1"/>
  <c r="A1066" i="34"/>
  <c r="B1099" i="33" s="1"/>
  <c r="A1065" i="34"/>
  <c r="B1098" i="33" s="1"/>
  <c r="A1064" i="34"/>
  <c r="B1097" i="33" s="1"/>
  <c r="A1063" i="34"/>
  <c r="B1096" i="33" s="1"/>
  <c r="A1062" i="34"/>
  <c r="A1061" i="34"/>
  <c r="B1094" i="33" s="1"/>
  <c r="A1060" i="34"/>
  <c r="A1059" i="34"/>
  <c r="B1092" i="33" s="1"/>
  <c r="A1058" i="34"/>
  <c r="B1091" i="33" s="1"/>
  <c r="A1057" i="34"/>
  <c r="B1090" i="33" s="1"/>
  <c r="A1056" i="34"/>
  <c r="A1055" i="34"/>
  <c r="B1088" i="33" s="1"/>
  <c r="A1051" i="34"/>
  <c r="B1084" i="33" s="1"/>
  <c r="A1050" i="34"/>
  <c r="B1083" i="33" s="1"/>
  <c r="A1049" i="34"/>
  <c r="B1082" i="33" s="1"/>
  <c r="A1048" i="34"/>
  <c r="B1081" i="33" s="1"/>
  <c r="A1047" i="34"/>
  <c r="A1046" i="34"/>
  <c r="A1045" i="34"/>
  <c r="A1044" i="34"/>
  <c r="B1077" i="33" s="1"/>
  <c r="A1043" i="34"/>
  <c r="B1076" i="33" s="1"/>
  <c r="A1042" i="34"/>
  <c r="B1075" i="33" s="1"/>
  <c r="A1041" i="34"/>
  <c r="B1074" i="33" s="1"/>
  <c r="A1040" i="34"/>
  <c r="B1073" i="33" s="1"/>
  <c r="A1039" i="34"/>
  <c r="B1072" i="33" s="1"/>
  <c r="A1038" i="34"/>
  <c r="B1071" i="33" s="1"/>
  <c r="A1034" i="34"/>
  <c r="B1067" i="33" s="1"/>
  <c r="A1033" i="34"/>
  <c r="B1066" i="33" s="1"/>
  <c r="A1032" i="34"/>
  <c r="A1031" i="34"/>
  <c r="A1030" i="34"/>
  <c r="A1029" i="34"/>
  <c r="A1028" i="34"/>
  <c r="B1061" i="33" s="1"/>
  <c r="A1027" i="34"/>
  <c r="B1060" i="33" s="1"/>
  <c r="A1026" i="34"/>
  <c r="B1059" i="33" s="1"/>
  <c r="A1025" i="34"/>
  <c r="B1058" i="33" s="1"/>
  <c r="A1024" i="34"/>
  <c r="B1057" i="33" s="1"/>
  <c r="A1023" i="34"/>
  <c r="B1056" i="33" s="1"/>
  <c r="A1022" i="34"/>
  <c r="B1055" i="33" s="1"/>
  <c r="A1021" i="34"/>
  <c r="B1054" i="33" s="1"/>
  <c r="A1017" i="34"/>
  <c r="A1016" i="34"/>
  <c r="B1049" i="33" s="1"/>
  <c r="A1015" i="34"/>
  <c r="B1048" i="33" s="1"/>
  <c r="A1014" i="34"/>
  <c r="B1047" i="33" s="1"/>
  <c r="A1013" i="34"/>
  <c r="B1046" i="33" s="1"/>
  <c r="A1012" i="34"/>
  <c r="B1045" i="33" s="1"/>
  <c r="A1011" i="34"/>
  <c r="B1044" i="33" s="1"/>
  <c r="A1010" i="34"/>
  <c r="B1043" i="33" s="1"/>
  <c r="A1009" i="34"/>
  <c r="B1042" i="33" s="1"/>
  <c r="A1008" i="34"/>
  <c r="B1041" i="33" s="1"/>
  <c r="A1007" i="34"/>
  <c r="B1040" i="33" s="1"/>
  <c r="A1006" i="34"/>
  <c r="B1039" i="33" s="1"/>
  <c r="A1005" i="34"/>
  <c r="B1038" i="33" s="1"/>
  <c r="A1004" i="34"/>
  <c r="B1037" i="33" s="1"/>
  <c r="A1000" i="34"/>
  <c r="A999" i="34"/>
  <c r="B1032" i="33" s="1"/>
  <c r="A998" i="34"/>
  <c r="B1031" i="33" s="1"/>
  <c r="A997" i="34"/>
  <c r="B1030" i="33" s="1"/>
  <c r="A996" i="34"/>
  <c r="B1029" i="33" s="1"/>
  <c r="A995" i="34"/>
  <c r="B1028" i="33" s="1"/>
  <c r="A994" i="34"/>
  <c r="B1027" i="33" s="1"/>
  <c r="A993" i="34"/>
  <c r="B1026" i="33" s="1"/>
  <c r="A992" i="34"/>
  <c r="B1025" i="33" s="1"/>
  <c r="A991" i="34"/>
  <c r="B1024" i="33" s="1"/>
  <c r="A990" i="34"/>
  <c r="B1023" i="33" s="1"/>
  <c r="A989" i="34"/>
  <c r="B1022" i="33" s="1"/>
  <c r="A988" i="34"/>
  <c r="A987" i="34"/>
  <c r="B1020" i="33" s="1"/>
  <c r="A983" i="34"/>
  <c r="B1016" i="33" s="1"/>
  <c r="A982" i="34"/>
  <c r="B1015" i="33" s="1"/>
  <c r="A981" i="34"/>
  <c r="B1014" i="33" s="1"/>
  <c r="A980" i="34"/>
  <c r="B1013" i="33" s="1"/>
  <c r="A979" i="34"/>
  <c r="B1012" i="33" s="1"/>
  <c r="A978" i="34"/>
  <c r="B1011" i="33" s="1"/>
  <c r="A977" i="34"/>
  <c r="B1010" i="33" s="1"/>
  <c r="A976" i="34"/>
  <c r="B1009" i="33" s="1"/>
  <c r="A975" i="34"/>
  <c r="A974" i="34"/>
  <c r="A973" i="34"/>
  <c r="A972" i="34"/>
  <c r="B1005" i="33" s="1"/>
  <c r="A971" i="34"/>
  <c r="B1004" i="33" s="1"/>
  <c r="A970" i="34"/>
  <c r="B1003" i="33" s="1"/>
  <c r="A966" i="34"/>
  <c r="B999" i="33" s="1"/>
  <c r="A965" i="34"/>
  <c r="B998" i="33" s="1"/>
  <c r="A964" i="34"/>
  <c r="B997" i="33" s="1"/>
  <c r="A963" i="34"/>
  <c r="B996" i="33" s="1"/>
  <c r="A962" i="34"/>
  <c r="B995" i="33" s="1"/>
  <c r="A961" i="34"/>
  <c r="B994" i="33" s="1"/>
  <c r="A960" i="34"/>
  <c r="A959" i="34"/>
  <c r="A958" i="34"/>
  <c r="A957" i="34"/>
  <c r="A956" i="34"/>
  <c r="A955" i="34"/>
  <c r="B988" i="33" s="1"/>
  <c r="A954" i="34"/>
  <c r="B987" i="33" s="1"/>
  <c r="A953" i="34"/>
  <c r="B986" i="33" s="1"/>
  <c r="A949" i="34"/>
  <c r="B982" i="33" s="1"/>
  <c r="A948" i="34"/>
  <c r="B981" i="33" s="1"/>
  <c r="A947" i="34"/>
  <c r="B980" i="33" s="1"/>
  <c r="A946" i="34"/>
  <c r="B979" i="33" s="1"/>
  <c r="A945" i="34"/>
  <c r="A944" i="34"/>
  <c r="A943" i="34"/>
  <c r="A942" i="34"/>
  <c r="B975" i="33" s="1"/>
  <c r="A941" i="34"/>
  <c r="B974" i="33" s="1"/>
  <c r="A940" i="34"/>
  <c r="B973" i="33" s="1"/>
  <c r="A939" i="34"/>
  <c r="B972" i="33" s="1"/>
  <c r="A938" i="34"/>
  <c r="B971" i="33" s="1"/>
  <c r="A937" i="34"/>
  <c r="B970" i="33" s="1"/>
  <c r="A936" i="34"/>
  <c r="B969" i="33" s="1"/>
  <c r="A932" i="34"/>
  <c r="B965" i="33" s="1"/>
  <c r="A931" i="34"/>
  <c r="B964" i="33" s="1"/>
  <c r="A930" i="34"/>
  <c r="A929" i="34"/>
  <c r="A928" i="34"/>
  <c r="B961" i="33" s="1"/>
  <c r="A927" i="34"/>
  <c r="B960" i="33" s="1"/>
  <c r="A926" i="34"/>
  <c r="B959" i="33" s="1"/>
  <c r="A925" i="34"/>
  <c r="B958" i="33" s="1"/>
  <c r="A924" i="34"/>
  <c r="B957" i="33" s="1"/>
  <c r="A923" i="34"/>
  <c r="B956" i="33" s="1"/>
  <c r="A922" i="34"/>
  <c r="B955" i="33" s="1"/>
  <c r="A921" i="34"/>
  <c r="B954" i="33" s="1"/>
  <c r="A920" i="34"/>
  <c r="B953" i="33" s="1"/>
  <c r="A919" i="34"/>
  <c r="B952" i="33" s="1"/>
  <c r="A915" i="34"/>
  <c r="B948" i="33" s="1"/>
  <c r="A914" i="34"/>
  <c r="B947" i="33" s="1"/>
  <c r="A913" i="34"/>
  <c r="A912" i="34"/>
  <c r="B945" i="33" s="1"/>
  <c r="A911" i="34"/>
  <c r="B944" i="33" s="1"/>
  <c r="A910" i="34"/>
  <c r="B943" i="33" s="1"/>
  <c r="A909" i="34"/>
  <c r="B942" i="33" s="1"/>
  <c r="A908" i="34"/>
  <c r="B941" i="33" s="1"/>
  <c r="A907" i="34"/>
  <c r="B940" i="33" s="1"/>
  <c r="A906" i="34"/>
  <c r="B939" i="33" s="1"/>
  <c r="A905" i="34"/>
  <c r="B938" i="33" s="1"/>
  <c r="A904" i="34"/>
  <c r="B937" i="33" s="1"/>
  <c r="A903" i="34"/>
  <c r="A902" i="34"/>
  <c r="A898" i="34"/>
  <c r="A897" i="34"/>
  <c r="A896" i="34"/>
  <c r="A895" i="34"/>
  <c r="B928" i="33" s="1"/>
  <c r="A894" i="34"/>
  <c r="B927" i="33" s="1"/>
  <c r="A893" i="34"/>
  <c r="B926" i="33" s="1"/>
  <c r="A892" i="34"/>
  <c r="B925" i="33" s="1"/>
  <c r="A891" i="34"/>
  <c r="B924" i="33" s="1"/>
  <c r="A890" i="34"/>
  <c r="B923" i="33" s="1"/>
  <c r="A889" i="34"/>
  <c r="B922" i="33" s="1"/>
  <c r="A888" i="34"/>
  <c r="A887" i="34"/>
  <c r="A886" i="34"/>
  <c r="A885" i="34"/>
  <c r="A881" i="34"/>
  <c r="B914" i="33" s="1"/>
  <c r="A880" i="34"/>
  <c r="B913" i="33" s="1"/>
  <c r="A879" i="34"/>
  <c r="B912" i="33" s="1"/>
  <c r="A878" i="34"/>
  <c r="B911" i="33" s="1"/>
  <c r="A877" i="34"/>
  <c r="B910" i="33" s="1"/>
  <c r="A876" i="34"/>
  <c r="B909" i="33" s="1"/>
  <c r="A875" i="34"/>
  <c r="B908" i="33" s="1"/>
  <c r="A874" i="34"/>
  <c r="B907" i="33" s="1"/>
  <c r="A873" i="34"/>
  <c r="A872" i="34"/>
  <c r="A871" i="34"/>
  <c r="B904" i="33" s="1"/>
  <c r="A870" i="34"/>
  <c r="B903" i="33" s="1"/>
  <c r="A869" i="34"/>
  <c r="B902" i="33" s="1"/>
  <c r="A868" i="34"/>
  <c r="B901" i="33" s="1"/>
  <c r="A864" i="34"/>
  <c r="B897" i="33" s="1"/>
  <c r="A863" i="34"/>
  <c r="B896" i="33" s="1"/>
  <c r="A862" i="34"/>
  <c r="B895" i="33" s="1"/>
  <c r="A861" i="34"/>
  <c r="B894" i="33" s="1"/>
  <c r="A860" i="34"/>
  <c r="B893" i="33" s="1"/>
  <c r="A859" i="34"/>
  <c r="B892" i="33" s="1"/>
  <c r="A858" i="34"/>
  <c r="B891" i="33" s="1"/>
  <c r="A857" i="34"/>
  <c r="B890" i="33" s="1"/>
  <c r="A856" i="34"/>
  <c r="B889" i="33" s="1"/>
  <c r="A855" i="34"/>
  <c r="B888" i="33" s="1"/>
  <c r="A854" i="34"/>
  <c r="A853" i="34"/>
  <c r="B886" i="33" s="1"/>
  <c r="A852" i="34"/>
  <c r="B885" i="33" s="1"/>
  <c r="A851" i="34"/>
  <c r="B884" i="33" s="1"/>
  <c r="A847" i="34"/>
  <c r="B880" i="33" s="1"/>
  <c r="A846" i="34"/>
  <c r="B879" i="33" s="1"/>
  <c r="A845" i="34"/>
  <c r="B878" i="33" s="1"/>
  <c r="A844" i="34"/>
  <c r="B877" i="33" s="1"/>
  <c r="A843" i="34"/>
  <c r="B876" i="33" s="1"/>
  <c r="A842" i="34"/>
  <c r="B875" i="33" s="1"/>
  <c r="A841" i="34"/>
  <c r="A840" i="34"/>
  <c r="B873" i="33" s="1"/>
  <c r="A839" i="34"/>
  <c r="B872" i="33" s="1"/>
  <c r="A838" i="34"/>
  <c r="B871" i="33" s="1"/>
  <c r="A837" i="34"/>
  <c r="B870" i="33" s="1"/>
  <c r="A836" i="34"/>
  <c r="B869" i="33" s="1"/>
  <c r="A835" i="34"/>
  <c r="B868" i="33" s="1"/>
  <c r="A834" i="34"/>
  <c r="B867" i="33" s="1"/>
  <c r="A830" i="34"/>
  <c r="B863" i="33" s="1"/>
  <c r="A829" i="34"/>
  <c r="B862" i="33" s="1"/>
  <c r="A828" i="34"/>
  <c r="A827" i="34"/>
  <c r="A826" i="34"/>
  <c r="A825" i="34"/>
  <c r="A824" i="34"/>
  <c r="B857" i="33" s="1"/>
  <c r="A823" i="34"/>
  <c r="B856" i="33" s="1"/>
  <c r="A822" i="34"/>
  <c r="B855" i="33" s="1"/>
  <c r="A821" i="34"/>
  <c r="B854" i="33" s="1"/>
  <c r="A820" i="34"/>
  <c r="B853" i="33" s="1"/>
  <c r="A819" i="34"/>
  <c r="B852" i="33" s="1"/>
  <c r="A818" i="34"/>
  <c r="B851" i="33" s="1"/>
  <c r="A817" i="34"/>
  <c r="B850" i="33" s="1"/>
  <c r="A813" i="34"/>
  <c r="A812" i="34"/>
  <c r="A811" i="34"/>
  <c r="A810" i="34"/>
  <c r="B843" i="33" s="1"/>
  <c r="A809" i="34"/>
  <c r="B842" i="33" s="1"/>
  <c r="A808" i="34"/>
  <c r="B841" i="33" s="1"/>
  <c r="A807" i="34"/>
  <c r="B840" i="33" s="1"/>
  <c r="A806" i="34"/>
  <c r="B839" i="33" s="1"/>
  <c r="A805" i="34"/>
  <c r="B838" i="33" s="1"/>
  <c r="A804" i="34"/>
  <c r="B837" i="33" s="1"/>
  <c r="A803" i="34"/>
  <c r="B836" i="33" s="1"/>
  <c r="A802" i="34"/>
  <c r="B835" i="33" s="1"/>
  <c r="A801" i="34"/>
  <c r="A800" i="34"/>
  <c r="A796" i="34"/>
  <c r="B829" i="33" s="1"/>
  <c r="A795" i="34"/>
  <c r="B828" i="33" s="1"/>
  <c r="A794" i="34"/>
  <c r="B827" i="33" s="1"/>
  <c r="A793" i="34"/>
  <c r="B826" i="33" s="1"/>
  <c r="A792" i="34"/>
  <c r="B825" i="33" s="1"/>
  <c r="A791" i="34"/>
  <c r="B824" i="33" s="1"/>
  <c r="A790" i="34"/>
  <c r="B823" i="33" s="1"/>
  <c r="A789" i="34"/>
  <c r="B822" i="33" s="1"/>
  <c r="A788" i="34"/>
  <c r="B821" i="33" s="1"/>
  <c r="A787" i="34"/>
  <c r="B820" i="33" s="1"/>
  <c r="A786" i="34"/>
  <c r="B819" i="33" s="1"/>
  <c r="A785" i="34"/>
  <c r="B818" i="33" s="1"/>
  <c r="A784" i="34"/>
  <c r="B817" i="33" s="1"/>
  <c r="A783" i="34"/>
  <c r="B816" i="33" s="1"/>
  <c r="A779" i="34"/>
  <c r="B812" i="33" s="1"/>
  <c r="A778" i="34"/>
  <c r="B811" i="33" s="1"/>
  <c r="A777" i="34"/>
  <c r="B810" i="33" s="1"/>
  <c r="A776" i="34"/>
  <c r="B809" i="33" s="1"/>
  <c r="A775" i="34"/>
  <c r="B808" i="33" s="1"/>
  <c r="A774" i="34"/>
  <c r="B807" i="33" s="1"/>
  <c r="A773" i="34"/>
  <c r="B806" i="33" s="1"/>
  <c r="A772" i="34"/>
  <c r="B805" i="33" s="1"/>
  <c r="A771" i="34"/>
  <c r="B804" i="33" s="1"/>
  <c r="A770" i="34"/>
  <c r="B803" i="33" s="1"/>
  <c r="A769" i="34"/>
  <c r="O768" i="34"/>
  <c r="A768" i="34"/>
  <c r="B801" i="33" s="1"/>
  <c r="O767" i="34"/>
  <c r="A767" i="34"/>
  <c r="B800" i="33" s="1"/>
  <c r="O766" i="34"/>
  <c r="A766" i="34"/>
  <c r="B799" i="33" s="1"/>
  <c r="O765" i="34"/>
  <c r="O764" i="34"/>
  <c r="O763" i="34"/>
  <c r="O762" i="34"/>
  <c r="A762" i="34"/>
  <c r="O761" i="34"/>
  <c r="A761" i="34"/>
  <c r="O760" i="34"/>
  <c r="A760" i="34"/>
  <c r="B793" i="33" s="1"/>
  <c r="O759" i="34"/>
  <c r="A759" i="34"/>
  <c r="B792" i="33" s="1"/>
  <c r="O758" i="34"/>
  <c r="A758" i="34"/>
  <c r="B791" i="33" s="1"/>
  <c r="O757" i="34"/>
  <c r="A757" i="34"/>
  <c r="B790" i="33" s="1"/>
  <c r="O756" i="34"/>
  <c r="A756" i="34"/>
  <c r="O755" i="34"/>
  <c r="A755" i="34"/>
  <c r="B788" i="33" s="1"/>
  <c r="O754" i="34"/>
  <c r="A754" i="34"/>
  <c r="B787" i="33" s="1"/>
  <c r="O753" i="34"/>
  <c r="A753" i="34"/>
  <c r="B786" i="33" s="1"/>
  <c r="O752" i="34"/>
  <c r="A752" i="34"/>
  <c r="B785" i="33" s="1"/>
  <c r="O751" i="34"/>
  <c r="A751" i="34"/>
  <c r="B784" i="33" s="1"/>
  <c r="O750" i="34"/>
  <c r="A750" i="34"/>
  <c r="O749" i="34"/>
  <c r="A749" i="34"/>
  <c r="B782" i="33" s="1"/>
  <c r="O748" i="34"/>
  <c r="O747" i="34"/>
  <c r="O746" i="34"/>
  <c r="O745" i="34"/>
  <c r="A745" i="34"/>
  <c r="B778" i="33" s="1"/>
  <c r="O744" i="34"/>
  <c r="A744" i="34"/>
  <c r="B777" i="33" s="1"/>
  <c r="O743" i="34"/>
  <c r="A743" i="34"/>
  <c r="O742" i="34"/>
  <c r="A742" i="34"/>
  <c r="B775" i="33" s="1"/>
  <c r="O741" i="34"/>
  <c r="A741" i="34"/>
  <c r="B774" i="33" s="1"/>
  <c r="O740" i="34"/>
  <c r="A740" i="34"/>
  <c r="B773" i="33" s="1"/>
  <c r="O739" i="34"/>
  <c r="A739" i="34"/>
  <c r="B772" i="33" s="1"/>
  <c r="O738" i="34"/>
  <c r="A738" i="34"/>
  <c r="B771" i="33" s="1"/>
  <c r="O737" i="34"/>
  <c r="A737" i="34"/>
  <c r="B770" i="33" s="1"/>
  <c r="O736" i="34"/>
  <c r="A736" i="34"/>
  <c r="O735" i="34"/>
  <c r="A735" i="34"/>
  <c r="B768" i="33" s="1"/>
  <c r="O734" i="34"/>
  <c r="A734" i="34"/>
  <c r="B767" i="33" s="1"/>
  <c r="O733" i="34"/>
  <c r="A733" i="34"/>
  <c r="B766" i="33" s="1"/>
  <c r="O732" i="34"/>
  <c r="A732" i="34"/>
  <c r="B765" i="33" s="1"/>
  <c r="O731" i="34"/>
  <c r="O730" i="34"/>
  <c r="O729" i="34"/>
  <c r="O728" i="34"/>
  <c r="A728" i="34"/>
  <c r="B761" i="33" s="1"/>
  <c r="O727" i="34"/>
  <c r="A727" i="34"/>
  <c r="B760" i="33" s="1"/>
  <c r="O726" i="34"/>
  <c r="A726" i="34"/>
  <c r="B759" i="33" s="1"/>
  <c r="O725" i="34"/>
  <c r="A725" i="34"/>
  <c r="B758" i="33" s="1"/>
  <c r="O724" i="34"/>
  <c r="A724" i="34"/>
  <c r="B757" i="33" s="1"/>
  <c r="O723" i="34"/>
  <c r="A723" i="34"/>
  <c r="B756" i="33" s="1"/>
  <c r="O722" i="34"/>
  <c r="A722" i="34"/>
  <c r="O721" i="34"/>
  <c r="A721" i="34"/>
  <c r="B754" i="33" s="1"/>
  <c r="O720" i="34"/>
  <c r="A720" i="34"/>
  <c r="B753" i="33" s="1"/>
  <c r="O719" i="34"/>
  <c r="A719" i="34"/>
  <c r="B752" i="33" s="1"/>
  <c r="O718" i="34"/>
  <c r="A718" i="34"/>
  <c r="B751" i="33" s="1"/>
  <c r="O717" i="34"/>
  <c r="A717" i="34"/>
  <c r="B750" i="33" s="1"/>
  <c r="O716" i="34"/>
  <c r="A716" i="34"/>
  <c r="B749" i="33" s="1"/>
  <c r="O715" i="34"/>
  <c r="A715" i="34"/>
  <c r="B748" i="33" s="1"/>
  <c r="O714" i="34"/>
  <c r="O713" i="34"/>
  <c r="O712" i="34"/>
  <c r="O711" i="34"/>
  <c r="A711" i="34"/>
  <c r="B744" i="33" s="1"/>
  <c r="O710" i="34"/>
  <c r="A710" i="34"/>
  <c r="O709" i="34"/>
  <c r="A709" i="34"/>
  <c r="B742" i="33" s="1"/>
  <c r="O708" i="34"/>
  <c r="A708" i="34"/>
  <c r="O707" i="34"/>
  <c r="A707" i="34"/>
  <c r="B740" i="33" s="1"/>
  <c r="O706" i="34"/>
  <c r="A706" i="34"/>
  <c r="B739" i="33" s="1"/>
  <c r="O705" i="34"/>
  <c r="A705" i="34"/>
  <c r="B738" i="33" s="1"/>
  <c r="O704" i="34"/>
  <c r="A704" i="34"/>
  <c r="B737" i="33" s="1"/>
  <c r="O703" i="34"/>
  <c r="A703" i="34"/>
  <c r="O702" i="34"/>
  <c r="A702" i="34"/>
  <c r="B735" i="33" s="1"/>
  <c r="O701" i="34"/>
  <c r="A701" i="34"/>
  <c r="B734" i="33" s="1"/>
  <c r="O700" i="34"/>
  <c r="A700" i="34"/>
  <c r="B733" i="33" s="1"/>
  <c r="O699" i="34"/>
  <c r="A699" i="34"/>
  <c r="B732" i="33" s="1"/>
  <c r="O698" i="34"/>
  <c r="A698" i="34"/>
  <c r="O697" i="34"/>
  <c r="O696" i="34"/>
  <c r="O695" i="34"/>
  <c r="O694" i="34"/>
  <c r="A694" i="34"/>
  <c r="B727" i="33" s="1"/>
  <c r="O693" i="34"/>
  <c r="A693" i="34"/>
  <c r="B726" i="33" s="1"/>
  <c r="O692" i="34"/>
  <c r="A692" i="34"/>
  <c r="B725" i="33" s="1"/>
  <c r="O691" i="34"/>
  <c r="A691" i="34"/>
  <c r="B724" i="33" s="1"/>
  <c r="O690" i="34"/>
  <c r="A690" i="34"/>
  <c r="B723" i="33" s="1"/>
  <c r="O689" i="34"/>
  <c r="A689" i="34"/>
  <c r="B722" i="33" s="1"/>
  <c r="O688" i="34"/>
  <c r="A688" i="34"/>
  <c r="B721" i="33" s="1"/>
  <c r="O687" i="34"/>
  <c r="A687" i="34"/>
  <c r="B720" i="33" s="1"/>
  <c r="O686" i="34"/>
  <c r="A686" i="34"/>
  <c r="B719" i="33" s="1"/>
  <c r="O685" i="34"/>
  <c r="A685" i="34"/>
  <c r="B718" i="33" s="1"/>
  <c r="O684" i="34"/>
  <c r="A684" i="34"/>
  <c r="O683" i="34"/>
  <c r="A683" i="34"/>
  <c r="B716" i="33" s="1"/>
  <c r="O682" i="34"/>
  <c r="A682" i="34"/>
  <c r="B715" i="33" s="1"/>
  <c r="O681" i="34"/>
  <c r="A681" i="34"/>
  <c r="B714" i="33" s="1"/>
  <c r="O680" i="34"/>
  <c r="O679" i="34"/>
  <c r="O678" i="34"/>
  <c r="O677" i="34"/>
  <c r="A677" i="34"/>
  <c r="B710" i="33" s="1"/>
  <c r="O676" i="34"/>
  <c r="A676" i="34"/>
  <c r="B709" i="33" s="1"/>
  <c r="O675" i="34"/>
  <c r="A675" i="34"/>
  <c r="B708" i="33" s="1"/>
  <c r="O674" i="34"/>
  <c r="A674" i="34"/>
  <c r="B707" i="33" s="1"/>
  <c r="O673" i="34"/>
  <c r="A673" i="34"/>
  <c r="B706" i="33" s="1"/>
  <c r="O672" i="34"/>
  <c r="A672" i="34"/>
  <c r="B705" i="33" s="1"/>
  <c r="O671" i="34"/>
  <c r="A671" i="34"/>
  <c r="B704" i="33" s="1"/>
  <c r="O670" i="34"/>
  <c r="A670" i="34"/>
  <c r="O669" i="34"/>
  <c r="A669" i="34"/>
  <c r="B702" i="33" s="1"/>
  <c r="O668" i="34"/>
  <c r="A668" i="34"/>
  <c r="B701" i="33" s="1"/>
  <c r="O667" i="34"/>
  <c r="A667" i="34"/>
  <c r="B700" i="33" s="1"/>
  <c r="O666" i="34"/>
  <c r="A666" i="34"/>
  <c r="B699" i="33" s="1"/>
  <c r="O665" i="34"/>
  <c r="A665" i="34"/>
  <c r="O664" i="34"/>
  <c r="A664" i="34"/>
  <c r="O663" i="34"/>
  <c r="O662" i="34"/>
  <c r="O661" i="34"/>
  <c r="O660" i="34"/>
  <c r="A660" i="34"/>
  <c r="B693" i="33" s="1"/>
  <c r="O659" i="34"/>
  <c r="A659" i="34"/>
  <c r="B692" i="33" s="1"/>
  <c r="O658" i="34"/>
  <c r="A658" i="34"/>
  <c r="B691" i="33" s="1"/>
  <c r="O657" i="34"/>
  <c r="A657" i="34"/>
  <c r="O656" i="34"/>
  <c r="A656" i="34"/>
  <c r="B689" i="33" s="1"/>
  <c r="O655" i="34"/>
  <c r="A655" i="34"/>
  <c r="B688" i="33" s="1"/>
  <c r="O654" i="34"/>
  <c r="A654" i="34"/>
  <c r="B687" i="33" s="1"/>
  <c r="O653" i="34"/>
  <c r="A653" i="34"/>
  <c r="B686" i="33" s="1"/>
  <c r="O652" i="34"/>
  <c r="A652" i="34"/>
  <c r="B685" i="33" s="1"/>
  <c r="O651" i="34"/>
  <c r="A651" i="34"/>
  <c r="O650" i="34"/>
  <c r="A650" i="34"/>
  <c r="B683" i="33" s="1"/>
  <c r="O649" i="34"/>
  <c r="A649" i="34"/>
  <c r="B682" i="33" s="1"/>
  <c r="O648" i="34"/>
  <c r="A648" i="34"/>
  <c r="B681" i="33" s="1"/>
  <c r="O647" i="34"/>
  <c r="A647" i="34"/>
  <c r="B680" i="33" s="1"/>
  <c r="O646" i="34"/>
  <c r="O645" i="34"/>
  <c r="O644" i="34"/>
  <c r="O643" i="34"/>
  <c r="A643" i="34"/>
  <c r="B676" i="33" s="1"/>
  <c r="O642" i="34"/>
  <c r="A642" i="34"/>
  <c r="B675" i="33" s="1"/>
  <c r="O641" i="34"/>
  <c r="A641" i="34"/>
  <c r="B674" i="33" s="1"/>
  <c r="O640" i="34"/>
  <c r="A640" i="34"/>
  <c r="B673" i="33" s="1"/>
  <c r="O639" i="34"/>
  <c r="A639" i="34"/>
  <c r="B672" i="33" s="1"/>
  <c r="O638" i="34"/>
  <c r="A638" i="34"/>
  <c r="B671" i="33" s="1"/>
  <c r="O637" i="34"/>
  <c r="A637" i="34"/>
  <c r="O636" i="34"/>
  <c r="A636" i="34"/>
  <c r="B669" i="33" s="1"/>
  <c r="O635" i="34"/>
  <c r="A635" i="34"/>
  <c r="B668" i="33" s="1"/>
  <c r="O634" i="34"/>
  <c r="A634" i="34"/>
  <c r="B667" i="33" s="1"/>
  <c r="O633" i="34"/>
  <c r="A633" i="34"/>
  <c r="B666" i="33" s="1"/>
  <c r="O632" i="34"/>
  <c r="A632" i="34"/>
  <c r="O631" i="34"/>
  <c r="A631" i="34"/>
  <c r="O630" i="34"/>
  <c r="A630" i="34"/>
  <c r="B663" i="33" s="1"/>
  <c r="O629" i="34"/>
  <c r="O628" i="34"/>
  <c r="O627" i="34"/>
  <c r="O626" i="34"/>
  <c r="A626" i="34"/>
  <c r="B659" i="33" s="1"/>
  <c r="O625" i="34"/>
  <c r="A625" i="34"/>
  <c r="B658" i="33" s="1"/>
  <c r="O624" i="34"/>
  <c r="A624" i="34"/>
  <c r="O623" i="34"/>
  <c r="A623" i="34"/>
  <c r="B656" i="33" s="1"/>
  <c r="O622" i="34"/>
  <c r="A622" i="34"/>
  <c r="B655" i="33" s="1"/>
  <c r="O621" i="34"/>
  <c r="A621" i="34"/>
  <c r="B654" i="33" s="1"/>
  <c r="O620" i="34"/>
  <c r="A620" i="34"/>
  <c r="B653" i="33" s="1"/>
  <c r="O619" i="34"/>
  <c r="A619" i="34"/>
  <c r="B652" i="33" s="1"/>
  <c r="O618" i="34"/>
  <c r="A618" i="34"/>
  <c r="O617" i="34"/>
  <c r="A617" i="34"/>
  <c r="B650" i="33" s="1"/>
  <c r="O616" i="34"/>
  <c r="A616" i="34"/>
  <c r="B649" i="33" s="1"/>
  <c r="O615" i="34"/>
  <c r="A615" i="34"/>
  <c r="B648" i="33" s="1"/>
  <c r="O614" i="34"/>
  <c r="A614" i="34"/>
  <c r="B647" i="33" s="1"/>
  <c r="O613" i="34"/>
  <c r="A613" i="34"/>
  <c r="B646" i="33" s="1"/>
  <c r="O612" i="34"/>
  <c r="O611" i="34"/>
  <c r="O610" i="34"/>
  <c r="O609" i="34"/>
  <c r="A609" i="34"/>
  <c r="B642" i="33" s="1"/>
  <c r="O608" i="34"/>
  <c r="A608" i="34"/>
  <c r="B641" i="33" s="1"/>
  <c r="O607" i="34"/>
  <c r="A607" i="34"/>
  <c r="B640" i="33" s="1"/>
  <c r="O606" i="34"/>
  <c r="A606" i="34"/>
  <c r="B639" i="33" s="1"/>
  <c r="O605" i="34"/>
  <c r="A605" i="34"/>
  <c r="O604" i="34"/>
  <c r="A604" i="34"/>
  <c r="O603" i="34"/>
  <c r="A603" i="34"/>
  <c r="B636" i="33" s="1"/>
  <c r="O602" i="34"/>
  <c r="A602" i="34"/>
  <c r="B635" i="33" s="1"/>
  <c r="O601" i="34"/>
  <c r="A601" i="34"/>
  <c r="B634" i="33" s="1"/>
  <c r="O600" i="34"/>
  <c r="A600" i="34"/>
  <c r="B633" i="33" s="1"/>
  <c r="O599" i="34"/>
  <c r="A599" i="34"/>
  <c r="O598" i="34"/>
  <c r="A598" i="34"/>
  <c r="O597" i="34"/>
  <c r="A597" i="34"/>
  <c r="B630" i="33" s="1"/>
  <c r="O596" i="34"/>
  <c r="A596" i="34"/>
  <c r="B629" i="33" s="1"/>
  <c r="O595" i="34"/>
  <c r="O594" i="34"/>
  <c r="O593" i="34"/>
  <c r="O592" i="34"/>
  <c r="A592" i="34"/>
  <c r="B625" i="33" s="1"/>
  <c r="O591" i="34"/>
  <c r="A591" i="34"/>
  <c r="B624" i="33" s="1"/>
  <c r="O590" i="34"/>
  <c r="A590" i="34"/>
  <c r="O589" i="34"/>
  <c r="A589" i="34"/>
  <c r="B622" i="33" s="1"/>
  <c r="O588" i="34"/>
  <c r="A588" i="34"/>
  <c r="B621" i="33" s="1"/>
  <c r="O587" i="34"/>
  <c r="A587" i="34"/>
  <c r="B620" i="33" s="1"/>
  <c r="O586" i="34"/>
  <c r="A586" i="34"/>
  <c r="B619" i="33" s="1"/>
  <c r="O585" i="34"/>
  <c r="A585" i="34"/>
  <c r="B618" i="33" s="1"/>
  <c r="O584" i="34"/>
  <c r="A584" i="34"/>
  <c r="B617" i="33" s="1"/>
  <c r="O583" i="34"/>
  <c r="A583" i="34"/>
  <c r="B616" i="33" s="1"/>
  <c r="O582" i="34"/>
  <c r="A582" i="34"/>
  <c r="B615" i="33" s="1"/>
  <c r="O581" i="34"/>
  <c r="A581" i="34"/>
  <c r="B614" i="33" s="1"/>
  <c r="O580" i="34"/>
  <c r="A580" i="34"/>
  <c r="B613" i="33" s="1"/>
  <c r="O579" i="34"/>
  <c r="A579" i="34"/>
  <c r="B612" i="33" s="1"/>
  <c r="O578" i="34"/>
  <c r="O577" i="34"/>
  <c r="O576" i="34"/>
  <c r="O575" i="34"/>
  <c r="A575" i="34"/>
  <c r="B608" i="33" s="1"/>
  <c r="O574" i="34"/>
  <c r="A574" i="34"/>
  <c r="B607" i="33" s="1"/>
  <c r="O573" i="34"/>
  <c r="A573" i="34"/>
  <c r="B606" i="33" s="1"/>
  <c r="O572" i="34"/>
  <c r="A572" i="34"/>
  <c r="B605" i="33" s="1"/>
  <c r="O571" i="34"/>
  <c r="A571" i="34"/>
  <c r="O570" i="34"/>
  <c r="A570" i="34"/>
  <c r="B603" i="33" s="1"/>
  <c r="O569" i="34"/>
  <c r="A569" i="34"/>
  <c r="B602" i="33" s="1"/>
  <c r="O568" i="34"/>
  <c r="A568" i="34"/>
  <c r="B601" i="33" s="1"/>
  <c r="O567" i="34"/>
  <c r="A567" i="34"/>
  <c r="B600" i="33" s="1"/>
  <c r="O566" i="34"/>
  <c r="A566" i="34"/>
  <c r="O565" i="34"/>
  <c r="A565" i="34"/>
  <c r="B598" i="33" s="1"/>
  <c r="O564" i="34"/>
  <c r="A564" i="34"/>
  <c r="B597" i="33" s="1"/>
  <c r="O563" i="34"/>
  <c r="A563" i="34"/>
  <c r="B596" i="33" s="1"/>
  <c r="O562" i="34"/>
  <c r="A562" i="34"/>
  <c r="B595" i="33" s="1"/>
  <c r="O561" i="34"/>
  <c r="O560" i="34"/>
  <c r="O559" i="34"/>
  <c r="O558" i="34"/>
  <c r="A558" i="34"/>
  <c r="B591" i="33" s="1"/>
  <c r="O557" i="34"/>
  <c r="A557" i="34"/>
  <c r="B590" i="33" s="1"/>
  <c r="O556" i="34"/>
  <c r="A556" i="34"/>
  <c r="B589" i="33" s="1"/>
  <c r="O555" i="34"/>
  <c r="A555" i="34"/>
  <c r="B588" i="33" s="1"/>
  <c r="O554" i="34"/>
  <c r="A554" i="34"/>
  <c r="B587" i="33" s="1"/>
  <c r="O553" i="34"/>
  <c r="A553" i="34"/>
  <c r="B586" i="33" s="1"/>
  <c r="O552" i="34"/>
  <c r="A552" i="34"/>
  <c r="B585" i="33" s="1"/>
  <c r="O551" i="34"/>
  <c r="A551" i="34"/>
  <c r="B584" i="33" s="1"/>
  <c r="O550" i="34"/>
  <c r="A550" i="34"/>
  <c r="B583" i="33" s="1"/>
  <c r="O549" i="34"/>
  <c r="A549" i="34"/>
  <c r="B582" i="33" s="1"/>
  <c r="O548" i="34"/>
  <c r="A548" i="34"/>
  <c r="B581" i="33" s="1"/>
  <c r="O547" i="34"/>
  <c r="A547" i="34"/>
  <c r="B580" i="33" s="1"/>
  <c r="O546" i="34"/>
  <c r="A546" i="34"/>
  <c r="B579" i="33" s="1"/>
  <c r="O545" i="34"/>
  <c r="A545" i="34"/>
  <c r="B578" i="33" s="1"/>
  <c r="O544" i="34"/>
  <c r="O543" i="34"/>
  <c r="O542" i="34"/>
  <c r="O541" i="34"/>
  <c r="A541" i="34"/>
  <c r="B574" i="33" s="1"/>
  <c r="O540" i="34"/>
  <c r="A540" i="34"/>
  <c r="B573" i="33" s="1"/>
  <c r="O539" i="34"/>
  <c r="A539" i="34"/>
  <c r="B572" i="33" s="1"/>
  <c r="O538" i="34"/>
  <c r="A538" i="34"/>
  <c r="O537" i="34"/>
  <c r="A537" i="34"/>
  <c r="B570" i="33" s="1"/>
  <c r="O536" i="34"/>
  <c r="A536" i="34"/>
  <c r="B569" i="33" s="1"/>
  <c r="O535" i="34"/>
  <c r="A535" i="34"/>
  <c r="B568" i="33" s="1"/>
  <c r="O534" i="34"/>
  <c r="A534" i="34"/>
  <c r="B567" i="33" s="1"/>
  <c r="O533" i="34"/>
  <c r="A533" i="34"/>
  <c r="O532" i="34"/>
  <c r="A532" i="34"/>
  <c r="O531" i="34"/>
  <c r="A531" i="34"/>
  <c r="B564" i="33" s="1"/>
  <c r="O530" i="34"/>
  <c r="A530" i="34"/>
  <c r="B563" i="33" s="1"/>
  <c r="O529" i="34"/>
  <c r="A529" i="34"/>
  <c r="B562" i="33" s="1"/>
  <c r="O528" i="34"/>
  <c r="A528" i="34"/>
  <c r="B561" i="33" s="1"/>
  <c r="O527" i="34"/>
  <c r="O526" i="34"/>
  <c r="O525" i="34"/>
  <c r="O524" i="34"/>
  <c r="A524" i="34"/>
  <c r="B557" i="33" s="1"/>
  <c r="O523" i="34"/>
  <c r="A523" i="34"/>
  <c r="B556" i="33" s="1"/>
  <c r="O522" i="34"/>
  <c r="A522" i="34"/>
  <c r="B555" i="33" s="1"/>
  <c r="O521" i="34"/>
  <c r="A521" i="34"/>
  <c r="B554" i="33" s="1"/>
  <c r="O520" i="34"/>
  <c r="A520" i="34"/>
  <c r="B553" i="33" s="1"/>
  <c r="O519" i="34"/>
  <c r="A519" i="34"/>
  <c r="O518" i="34"/>
  <c r="A518" i="34"/>
  <c r="B551" i="33" s="1"/>
  <c r="O517" i="34"/>
  <c r="A517" i="34"/>
  <c r="B550" i="33" s="1"/>
  <c r="O516" i="34"/>
  <c r="A516" i="34"/>
  <c r="B549" i="33" s="1"/>
  <c r="O515" i="34"/>
  <c r="A515" i="34"/>
  <c r="B548" i="33" s="1"/>
  <c r="O514" i="34"/>
  <c r="A514" i="34"/>
  <c r="B547" i="33" s="1"/>
  <c r="O513" i="34"/>
  <c r="A513" i="34"/>
  <c r="B546" i="33" s="1"/>
  <c r="O512" i="34"/>
  <c r="A512" i="34"/>
  <c r="B545" i="33" s="1"/>
  <c r="O511" i="34"/>
  <c r="A511" i="34"/>
  <c r="B544" i="33" s="1"/>
  <c r="O510" i="34"/>
  <c r="O509" i="34"/>
  <c r="O508" i="34"/>
  <c r="O507" i="34"/>
  <c r="A507" i="34"/>
  <c r="B540" i="33" s="1"/>
  <c r="O506" i="34"/>
  <c r="A506" i="34"/>
  <c r="B539" i="33" s="1"/>
  <c r="O505" i="34"/>
  <c r="A505" i="34"/>
  <c r="O504" i="34"/>
  <c r="A504" i="34"/>
  <c r="B537" i="33" s="1"/>
  <c r="O503" i="34"/>
  <c r="A503" i="34"/>
  <c r="B536" i="33" s="1"/>
  <c r="O502" i="34"/>
  <c r="A502" i="34"/>
  <c r="B535" i="33" s="1"/>
  <c r="O501" i="34"/>
  <c r="A501" i="34"/>
  <c r="B534" i="33" s="1"/>
  <c r="O500" i="34"/>
  <c r="A500" i="34"/>
  <c r="O499" i="34"/>
  <c r="A499" i="34"/>
  <c r="O498" i="34"/>
  <c r="A498" i="34"/>
  <c r="B531" i="33" s="1"/>
  <c r="O497" i="34"/>
  <c r="A497" i="34"/>
  <c r="B530" i="33" s="1"/>
  <c r="O496" i="34"/>
  <c r="A496" i="34"/>
  <c r="B529" i="33" s="1"/>
  <c r="O495" i="34"/>
  <c r="A495" i="34"/>
  <c r="B528" i="33" s="1"/>
  <c r="O494" i="34"/>
  <c r="A494" i="34"/>
  <c r="B527" i="33" s="1"/>
  <c r="O493" i="34"/>
  <c r="O492" i="34"/>
  <c r="O491" i="34"/>
  <c r="O490" i="34"/>
  <c r="A490" i="34"/>
  <c r="B523" i="33" s="1"/>
  <c r="O489" i="34"/>
  <c r="A489" i="34"/>
  <c r="B522" i="33" s="1"/>
  <c r="O488" i="34"/>
  <c r="A488" i="34"/>
  <c r="B521" i="33" s="1"/>
  <c r="O487" i="34"/>
  <c r="A487" i="34"/>
  <c r="B520" i="33" s="1"/>
  <c r="O486" i="34"/>
  <c r="A486" i="34"/>
  <c r="B519" i="33" s="1"/>
  <c r="O485" i="34"/>
  <c r="A485" i="34"/>
  <c r="B518" i="33" s="1"/>
  <c r="O484" i="34"/>
  <c r="A484" i="34"/>
  <c r="B517" i="33" s="1"/>
  <c r="O483" i="34"/>
  <c r="A483" i="34"/>
  <c r="B516" i="33" s="1"/>
  <c r="O482" i="34"/>
  <c r="A482" i="34"/>
  <c r="O481" i="34"/>
  <c r="A481" i="34"/>
  <c r="B514" i="33" s="1"/>
  <c r="O480" i="34"/>
  <c r="A480" i="34"/>
  <c r="B513" i="33" s="1"/>
  <c r="O479" i="34"/>
  <c r="A479" i="34"/>
  <c r="B512" i="33" s="1"/>
  <c r="O478" i="34"/>
  <c r="A478" i="34"/>
  <c r="B511" i="33" s="1"/>
  <c r="O477" i="34"/>
  <c r="A477" i="34"/>
  <c r="B510" i="33" s="1"/>
  <c r="O476" i="34"/>
  <c r="O475" i="34"/>
  <c r="O474" i="34"/>
  <c r="O473" i="34"/>
  <c r="A473" i="34"/>
  <c r="B506" i="33" s="1"/>
  <c r="O472" i="34"/>
  <c r="A472" i="34"/>
  <c r="O471" i="34"/>
  <c r="A471" i="34"/>
  <c r="B504" i="33" s="1"/>
  <c r="O470" i="34"/>
  <c r="A470" i="34"/>
  <c r="B503" i="33" s="1"/>
  <c r="O469" i="34"/>
  <c r="A469" i="34"/>
  <c r="B502" i="33" s="1"/>
  <c r="O468" i="34"/>
  <c r="A468" i="34"/>
  <c r="B501" i="33" s="1"/>
  <c r="O467" i="34"/>
  <c r="A467" i="34"/>
  <c r="O466" i="34"/>
  <c r="A466" i="34"/>
  <c r="O465" i="34"/>
  <c r="A465" i="34"/>
  <c r="B498" i="33" s="1"/>
  <c r="O464" i="34"/>
  <c r="A464" i="34"/>
  <c r="B497" i="33" s="1"/>
  <c r="O463" i="34"/>
  <c r="A463" i="34"/>
  <c r="B496" i="33" s="1"/>
  <c r="O462" i="34"/>
  <c r="A462" i="34"/>
  <c r="B495" i="33" s="1"/>
  <c r="O461" i="34"/>
  <c r="A461" i="34"/>
  <c r="B494" i="33" s="1"/>
  <c r="O460" i="34"/>
  <c r="A460" i="34"/>
  <c r="B493" i="33" s="1"/>
  <c r="O459" i="34"/>
  <c r="O458" i="34"/>
  <c r="O457" i="34"/>
  <c r="O456" i="34"/>
  <c r="A456" i="34"/>
  <c r="B489" i="33" s="1"/>
  <c r="O455" i="34"/>
  <c r="A455" i="34"/>
  <c r="B488" i="33" s="1"/>
  <c r="O454" i="34"/>
  <c r="A454" i="34"/>
  <c r="B487" i="33" s="1"/>
  <c r="O453" i="34"/>
  <c r="A453" i="34"/>
  <c r="B486" i="33" s="1"/>
  <c r="O452" i="34"/>
  <c r="A452" i="34"/>
  <c r="B485" i="33" s="1"/>
  <c r="O451" i="34"/>
  <c r="A451" i="34"/>
  <c r="B484" i="33" s="1"/>
  <c r="O450" i="34"/>
  <c r="A450" i="34"/>
  <c r="B483" i="33" s="1"/>
  <c r="O449" i="34"/>
  <c r="A449" i="34"/>
  <c r="B482" i="33" s="1"/>
  <c r="O448" i="34"/>
  <c r="A448" i="34"/>
  <c r="B481" i="33" s="1"/>
  <c r="O447" i="34"/>
  <c r="A447" i="34"/>
  <c r="B480" i="33" s="1"/>
  <c r="O446" i="34"/>
  <c r="A446" i="34"/>
  <c r="B479" i="33" s="1"/>
  <c r="O445" i="34"/>
  <c r="A445" i="34"/>
  <c r="B478" i="33" s="1"/>
  <c r="O444" i="34"/>
  <c r="A444" i="34"/>
  <c r="B477" i="33" s="1"/>
  <c r="O443" i="34"/>
  <c r="A443" i="34"/>
  <c r="B476" i="33" s="1"/>
  <c r="O442" i="34"/>
  <c r="O441" i="34"/>
  <c r="O440" i="34"/>
  <c r="O439" i="34"/>
  <c r="A439" i="34"/>
  <c r="O438" i="34"/>
  <c r="A438" i="34"/>
  <c r="B471" i="33" s="1"/>
  <c r="O437" i="34"/>
  <c r="A437" i="34"/>
  <c r="B470" i="33" s="1"/>
  <c r="O436" i="34"/>
  <c r="A436" i="34"/>
  <c r="B469" i="33" s="1"/>
  <c r="O435" i="34"/>
  <c r="A435" i="34"/>
  <c r="B468" i="33" s="1"/>
  <c r="O434" i="34"/>
  <c r="A434" i="34"/>
  <c r="O433" i="34"/>
  <c r="A433" i="34"/>
  <c r="B466" i="33" s="1"/>
  <c r="O432" i="34"/>
  <c r="A432" i="34"/>
  <c r="B465" i="33" s="1"/>
  <c r="O431" i="34"/>
  <c r="A431" i="34"/>
  <c r="B464" i="33" s="1"/>
  <c r="O430" i="34"/>
  <c r="A430" i="34"/>
  <c r="B463" i="33" s="1"/>
  <c r="O429" i="34"/>
  <c r="A429" i="34"/>
  <c r="B462" i="33" s="1"/>
  <c r="O428" i="34"/>
  <c r="A428" i="34"/>
  <c r="O427" i="34"/>
  <c r="A427" i="34"/>
  <c r="B460" i="33" s="1"/>
  <c r="O426" i="34"/>
  <c r="A426" i="34"/>
  <c r="B459" i="33" s="1"/>
  <c r="O425" i="34"/>
  <c r="O424" i="34"/>
  <c r="O423" i="34"/>
  <c r="O422" i="34"/>
  <c r="A422" i="34"/>
  <c r="B455" i="33" s="1"/>
  <c r="O421" i="34"/>
  <c r="A421" i="34"/>
  <c r="B454" i="33" s="1"/>
  <c r="O420" i="34"/>
  <c r="A420" i="34"/>
  <c r="B453" i="33" s="1"/>
  <c r="O419" i="34"/>
  <c r="A419" i="34"/>
  <c r="B452" i="33" s="1"/>
  <c r="O418" i="34"/>
  <c r="A418" i="34"/>
  <c r="B451" i="33" s="1"/>
  <c r="O417" i="34"/>
  <c r="A417" i="34"/>
  <c r="B450" i="33" s="1"/>
  <c r="O416" i="34"/>
  <c r="A416" i="34"/>
  <c r="B449" i="33" s="1"/>
  <c r="O415" i="34"/>
  <c r="A415" i="34"/>
  <c r="B448" i="33" s="1"/>
  <c r="O414" i="34"/>
  <c r="A414" i="34"/>
  <c r="B447" i="33" s="1"/>
  <c r="O413" i="34"/>
  <c r="A413" i="34"/>
  <c r="B446" i="33" s="1"/>
  <c r="O412" i="34"/>
  <c r="A412" i="34"/>
  <c r="B445" i="33" s="1"/>
  <c r="O411" i="34"/>
  <c r="A411" i="34"/>
  <c r="B444" i="33" s="1"/>
  <c r="O410" i="34"/>
  <c r="A410" i="34"/>
  <c r="B443" i="33" s="1"/>
  <c r="O409" i="34"/>
  <c r="A409" i="34"/>
  <c r="B442" i="33" s="1"/>
  <c r="O408" i="34"/>
  <c r="O407" i="34"/>
  <c r="O406" i="34"/>
  <c r="O405" i="34"/>
  <c r="A405" i="34"/>
  <c r="B438" i="33" s="1"/>
  <c r="O404" i="34"/>
  <c r="A404" i="34"/>
  <c r="B437" i="33" s="1"/>
  <c r="O403" i="34"/>
  <c r="A403" i="34"/>
  <c r="B436" i="33" s="1"/>
  <c r="O402" i="34"/>
  <c r="A402" i="34"/>
  <c r="B435" i="33" s="1"/>
  <c r="O401" i="34"/>
  <c r="A401" i="34"/>
  <c r="O400" i="34"/>
  <c r="A400" i="34"/>
  <c r="O399" i="34"/>
  <c r="A399" i="34"/>
  <c r="B432" i="33" s="1"/>
  <c r="O398" i="34"/>
  <c r="A398" i="34"/>
  <c r="B431" i="33" s="1"/>
  <c r="O397" i="34"/>
  <c r="A397" i="34"/>
  <c r="B430" i="33" s="1"/>
  <c r="O396" i="34"/>
  <c r="A396" i="34"/>
  <c r="B429" i="33" s="1"/>
  <c r="O395" i="34"/>
  <c r="A395" i="34"/>
  <c r="B428" i="33" s="1"/>
  <c r="O394" i="34"/>
  <c r="A394" i="34"/>
  <c r="B427" i="33" s="1"/>
  <c r="O393" i="34"/>
  <c r="A393" i="34"/>
  <c r="B426" i="33" s="1"/>
  <c r="O392" i="34"/>
  <c r="A392" i="34"/>
  <c r="B425" i="33" s="1"/>
  <c r="O391" i="34"/>
  <c r="O390" i="34"/>
  <c r="O389" i="34"/>
  <c r="O388" i="34"/>
  <c r="A388" i="34"/>
  <c r="B421" i="33" s="1"/>
  <c r="O387" i="34"/>
  <c r="A387" i="34"/>
  <c r="B420" i="33" s="1"/>
  <c r="O386" i="34"/>
  <c r="A386" i="34"/>
  <c r="B419" i="33" s="1"/>
  <c r="O385" i="34"/>
  <c r="A385" i="34"/>
  <c r="B418" i="33" s="1"/>
  <c r="O384" i="34"/>
  <c r="A384" i="34"/>
  <c r="B417" i="33" s="1"/>
  <c r="O383" i="34"/>
  <c r="A383" i="34"/>
  <c r="B416" i="33" s="1"/>
  <c r="O382" i="34"/>
  <c r="A382" i="34"/>
  <c r="B415" i="33" s="1"/>
  <c r="O381" i="34"/>
  <c r="A381" i="34"/>
  <c r="B414" i="33" s="1"/>
  <c r="O380" i="34"/>
  <c r="A380" i="34"/>
  <c r="B413" i="33" s="1"/>
  <c r="O379" i="34"/>
  <c r="A379" i="34"/>
  <c r="B412" i="33" s="1"/>
  <c r="O378" i="34"/>
  <c r="A378" i="34"/>
  <c r="B411" i="33" s="1"/>
  <c r="O377" i="34"/>
  <c r="A377" i="34"/>
  <c r="B410" i="33" s="1"/>
  <c r="O376" i="34"/>
  <c r="A376" i="34"/>
  <c r="B409" i="33" s="1"/>
  <c r="O375" i="34"/>
  <c r="A375" i="34"/>
  <c r="B408" i="33" s="1"/>
  <c r="O374" i="34"/>
  <c r="O373" i="34"/>
  <c r="O372" i="34"/>
  <c r="O371" i="34"/>
  <c r="A371" i="34"/>
  <c r="B404" i="33" s="1"/>
  <c r="O370" i="34"/>
  <c r="A370" i="34"/>
  <c r="B403" i="33" s="1"/>
  <c r="O369" i="34"/>
  <c r="A369" i="34"/>
  <c r="B402" i="33" s="1"/>
  <c r="O368" i="34"/>
  <c r="A368" i="34"/>
  <c r="O367" i="34"/>
  <c r="A367" i="34"/>
  <c r="B400" i="33" s="1"/>
  <c r="O366" i="34"/>
  <c r="A366" i="34"/>
  <c r="B399" i="33" s="1"/>
  <c r="O365" i="34"/>
  <c r="A365" i="34"/>
  <c r="B398" i="33" s="1"/>
  <c r="O364" i="34"/>
  <c r="A364" i="34"/>
  <c r="B397" i="33" s="1"/>
  <c r="O363" i="34"/>
  <c r="A363" i="34"/>
  <c r="B396" i="33" s="1"/>
  <c r="O362" i="34"/>
  <c r="A362" i="34"/>
  <c r="O361" i="34"/>
  <c r="A361" i="34"/>
  <c r="B394" i="33" s="1"/>
  <c r="O360" i="34"/>
  <c r="A360" i="34"/>
  <c r="B393" i="33" s="1"/>
  <c r="O359" i="34"/>
  <c r="A359" i="34"/>
  <c r="B392" i="33" s="1"/>
  <c r="O358" i="34"/>
  <c r="A358" i="34"/>
  <c r="B391" i="33" s="1"/>
  <c r="O357" i="34"/>
  <c r="O356" i="34"/>
  <c r="O355" i="34"/>
  <c r="O354" i="34"/>
  <c r="A354" i="34"/>
  <c r="B387" i="33" s="1"/>
  <c r="O353" i="34"/>
  <c r="A353" i="34"/>
  <c r="B386" i="33" s="1"/>
  <c r="O352" i="34"/>
  <c r="A352" i="34"/>
  <c r="B385" i="33" s="1"/>
  <c r="O351" i="34"/>
  <c r="A351" i="34"/>
  <c r="B384" i="33" s="1"/>
  <c r="O350" i="34"/>
  <c r="A350" i="34"/>
  <c r="B383" i="33" s="1"/>
  <c r="O349" i="34"/>
  <c r="A349" i="34"/>
  <c r="B382" i="33" s="1"/>
  <c r="O348" i="34"/>
  <c r="A348" i="34"/>
  <c r="B381" i="33" s="1"/>
  <c r="O347" i="34"/>
  <c r="A347" i="34"/>
  <c r="B380" i="33" s="1"/>
  <c r="O346" i="34"/>
  <c r="A346" i="34"/>
  <c r="B379" i="33" s="1"/>
  <c r="O345" i="34"/>
  <c r="A345" i="34"/>
  <c r="B378" i="33" s="1"/>
  <c r="O344" i="34"/>
  <c r="A344" i="34"/>
  <c r="B377" i="33" s="1"/>
  <c r="O343" i="34"/>
  <c r="A343" i="34"/>
  <c r="B376" i="33" s="1"/>
  <c r="O342" i="34"/>
  <c r="A342" i="34"/>
  <c r="B375" i="33" s="1"/>
  <c r="O341" i="34"/>
  <c r="A341" i="34"/>
  <c r="B374" i="33" s="1"/>
  <c r="O340" i="34"/>
  <c r="O339" i="34"/>
  <c r="O338" i="34"/>
  <c r="O337" i="34"/>
  <c r="A337" i="34"/>
  <c r="B370" i="33" s="1"/>
  <c r="O336" i="34"/>
  <c r="A336" i="34"/>
  <c r="B369" i="33" s="1"/>
  <c r="O335" i="34"/>
  <c r="A335" i="34"/>
  <c r="O334" i="34"/>
  <c r="A334" i="34"/>
  <c r="B367" i="33" s="1"/>
  <c r="O333" i="34"/>
  <c r="A333" i="34"/>
  <c r="B366" i="33" s="1"/>
  <c r="O332" i="34"/>
  <c r="A332" i="34"/>
  <c r="B365" i="33" s="1"/>
  <c r="O331" i="34"/>
  <c r="A331" i="34"/>
  <c r="B364" i="33" s="1"/>
  <c r="O330" i="34"/>
  <c r="A330" i="34"/>
  <c r="B363" i="33" s="1"/>
  <c r="O329" i="34"/>
  <c r="A329" i="34"/>
  <c r="B362" i="33" s="1"/>
  <c r="O328" i="34"/>
  <c r="A328" i="34"/>
  <c r="B361" i="33" s="1"/>
  <c r="O327" i="34"/>
  <c r="A327" i="34"/>
  <c r="B360" i="33" s="1"/>
  <c r="O326" i="34"/>
  <c r="A326" i="34"/>
  <c r="B359" i="33" s="1"/>
  <c r="O325" i="34"/>
  <c r="A325" i="34"/>
  <c r="B358" i="33" s="1"/>
  <c r="O324" i="34"/>
  <c r="A324" i="34"/>
  <c r="B357" i="33" s="1"/>
  <c r="O323" i="34"/>
  <c r="O322" i="34"/>
  <c r="O321" i="34"/>
  <c r="O320" i="34"/>
  <c r="A320" i="34"/>
  <c r="B353" i="33" s="1"/>
  <c r="O319" i="34"/>
  <c r="A319" i="34"/>
  <c r="B352" i="33" s="1"/>
  <c r="O318" i="34"/>
  <c r="A318" i="34"/>
  <c r="B351" i="33" s="1"/>
  <c r="O317" i="34"/>
  <c r="A317" i="34"/>
  <c r="B350" i="33" s="1"/>
  <c r="O316" i="34"/>
  <c r="A316" i="34"/>
  <c r="B349" i="33" s="1"/>
  <c r="O315" i="34"/>
  <c r="A315" i="34"/>
  <c r="B348" i="33" s="1"/>
  <c r="O314" i="34"/>
  <c r="A314" i="34"/>
  <c r="B347" i="33" s="1"/>
  <c r="O313" i="34"/>
  <c r="A313" i="34"/>
  <c r="B346" i="33" s="1"/>
  <c r="O312" i="34"/>
  <c r="A312" i="34"/>
  <c r="B345" i="33" s="1"/>
  <c r="O311" i="34"/>
  <c r="A311" i="34"/>
  <c r="B344" i="33" s="1"/>
  <c r="O310" i="34"/>
  <c r="A310" i="34"/>
  <c r="B343" i="33" s="1"/>
  <c r="O309" i="34"/>
  <c r="A309" i="34"/>
  <c r="B342" i="33" s="1"/>
  <c r="O308" i="34"/>
  <c r="A308" i="34"/>
  <c r="B341" i="33" s="1"/>
  <c r="O307" i="34"/>
  <c r="A307" i="34"/>
  <c r="B340" i="33" s="1"/>
  <c r="O306" i="34"/>
  <c r="O305" i="34"/>
  <c r="O304" i="34"/>
  <c r="O303" i="34"/>
  <c r="A303" i="34"/>
  <c r="B336" i="33" s="1"/>
  <c r="O302" i="34"/>
  <c r="A302" i="34"/>
  <c r="O301" i="34"/>
  <c r="A301" i="34"/>
  <c r="B334" i="33" s="1"/>
  <c r="O300" i="34"/>
  <c r="A300" i="34"/>
  <c r="B333" i="33" s="1"/>
  <c r="O299" i="34"/>
  <c r="A299" i="34"/>
  <c r="B332" i="33" s="1"/>
  <c r="O298" i="34"/>
  <c r="A298" i="34"/>
  <c r="B331" i="33" s="1"/>
  <c r="O297" i="34"/>
  <c r="A297" i="34"/>
  <c r="B330" i="33" s="1"/>
  <c r="O296" i="34"/>
  <c r="A296" i="34"/>
  <c r="B329" i="33" s="1"/>
  <c r="O295" i="34"/>
  <c r="A295" i="34"/>
  <c r="B328" i="33" s="1"/>
  <c r="O294" i="34"/>
  <c r="A294" i="34"/>
  <c r="B327" i="33" s="1"/>
  <c r="O293" i="34"/>
  <c r="A293" i="34"/>
  <c r="B326" i="33" s="1"/>
  <c r="O292" i="34"/>
  <c r="A292" i="34"/>
  <c r="B325" i="33" s="1"/>
  <c r="O291" i="34"/>
  <c r="A291" i="34"/>
  <c r="B324" i="33" s="1"/>
  <c r="O290" i="34"/>
  <c r="A290" i="34"/>
  <c r="B323" i="33" s="1"/>
  <c r="O289" i="34"/>
  <c r="O288" i="34"/>
  <c r="O287" i="34"/>
  <c r="O286" i="34"/>
  <c r="A286" i="34"/>
  <c r="B319" i="33" s="1"/>
  <c r="O285" i="34"/>
  <c r="A285" i="34"/>
  <c r="B318" i="33" s="1"/>
  <c r="O284" i="34"/>
  <c r="A284" i="34"/>
  <c r="B317" i="33" s="1"/>
  <c r="O283" i="34"/>
  <c r="A283" i="34"/>
  <c r="B316" i="33" s="1"/>
  <c r="O282" i="34"/>
  <c r="A282" i="34"/>
  <c r="B315" i="33" s="1"/>
  <c r="O281" i="34"/>
  <c r="A281" i="34"/>
  <c r="B314" i="33" s="1"/>
  <c r="O280" i="34"/>
  <c r="A280" i="34"/>
  <c r="B313" i="33" s="1"/>
  <c r="O279" i="34"/>
  <c r="A279" i="34"/>
  <c r="B312" i="33" s="1"/>
  <c r="O278" i="34"/>
  <c r="A278" i="34"/>
  <c r="B311" i="33" s="1"/>
  <c r="O277" i="34"/>
  <c r="A277" i="34"/>
  <c r="B310" i="33" s="1"/>
  <c r="O276" i="34"/>
  <c r="A276" i="34"/>
  <c r="B309" i="33" s="1"/>
  <c r="O275" i="34"/>
  <c r="A275" i="34"/>
  <c r="B308" i="33" s="1"/>
  <c r="O274" i="34"/>
  <c r="A274" i="34"/>
  <c r="B307" i="33" s="1"/>
  <c r="O273" i="34"/>
  <c r="A273" i="34"/>
  <c r="B306" i="33" s="1"/>
  <c r="O272" i="34"/>
  <c r="O271" i="34"/>
  <c r="O270" i="34"/>
  <c r="O269" i="34"/>
  <c r="A269" i="34"/>
  <c r="O268" i="34"/>
  <c r="A268" i="34"/>
  <c r="B301" i="33" s="1"/>
  <c r="O267" i="34"/>
  <c r="A267" i="34"/>
  <c r="B300" i="33" s="1"/>
  <c r="O266" i="34"/>
  <c r="A266" i="34"/>
  <c r="B299" i="33" s="1"/>
  <c r="O265" i="34"/>
  <c r="A265" i="34"/>
  <c r="B298" i="33" s="1"/>
  <c r="O264" i="34"/>
  <c r="A264" i="34"/>
  <c r="B297" i="33" s="1"/>
  <c r="O263" i="34"/>
  <c r="A263" i="34"/>
  <c r="O262" i="34"/>
  <c r="A262" i="34"/>
  <c r="B295" i="33" s="1"/>
  <c r="O261" i="34"/>
  <c r="A261" i="34"/>
  <c r="B294" i="33" s="1"/>
  <c r="O260" i="34"/>
  <c r="A260" i="34"/>
  <c r="B293" i="33" s="1"/>
  <c r="O259" i="34"/>
  <c r="A259" i="34"/>
  <c r="B292" i="33" s="1"/>
  <c r="O258" i="34"/>
  <c r="A258" i="34"/>
  <c r="B291" i="33" s="1"/>
  <c r="O257" i="34"/>
  <c r="A257" i="34"/>
  <c r="B290" i="33" s="1"/>
  <c r="O256" i="34"/>
  <c r="A256" i="34"/>
  <c r="B289" i="33" s="1"/>
  <c r="O255" i="34"/>
  <c r="O254" i="34"/>
  <c r="O253" i="34"/>
  <c r="O252" i="34"/>
  <c r="A252" i="34"/>
  <c r="B285" i="33" s="1"/>
  <c r="O251" i="34"/>
  <c r="A251" i="34"/>
  <c r="B284" i="33" s="1"/>
  <c r="O250" i="34"/>
  <c r="A250" i="34"/>
  <c r="B283" i="33" s="1"/>
  <c r="O249" i="34"/>
  <c r="A249" i="34"/>
  <c r="B282" i="33" s="1"/>
  <c r="O248" i="34"/>
  <c r="A248" i="34"/>
  <c r="B281" i="33" s="1"/>
  <c r="O247" i="34"/>
  <c r="A247" i="34"/>
  <c r="B280" i="33" s="1"/>
  <c r="O246" i="34"/>
  <c r="A246" i="34"/>
  <c r="B279" i="33" s="1"/>
  <c r="O245" i="34"/>
  <c r="A245" i="34"/>
  <c r="B278" i="33" s="1"/>
  <c r="O244" i="34"/>
  <c r="A244" i="34"/>
  <c r="B277" i="33" s="1"/>
  <c r="O243" i="34"/>
  <c r="A243" i="34"/>
  <c r="B276" i="33" s="1"/>
  <c r="O242" i="34"/>
  <c r="A242" i="34"/>
  <c r="B275" i="33" s="1"/>
  <c r="O241" i="34"/>
  <c r="A241" i="34"/>
  <c r="B274" i="33" s="1"/>
  <c r="O240" i="34"/>
  <c r="A240" i="34"/>
  <c r="B273" i="33" s="1"/>
  <c r="O239" i="34"/>
  <c r="A239" i="34"/>
  <c r="B272" i="33" s="1"/>
  <c r="O238" i="34"/>
  <c r="O237" i="34"/>
  <c r="O236" i="34"/>
  <c r="O235" i="34"/>
  <c r="A235" i="34"/>
  <c r="B268" i="33" s="1"/>
  <c r="O234" i="34"/>
  <c r="A234" i="34"/>
  <c r="B267" i="33" s="1"/>
  <c r="O233" i="34"/>
  <c r="A233" i="34"/>
  <c r="B266" i="33" s="1"/>
  <c r="O232" i="34"/>
  <c r="A232" i="34"/>
  <c r="B265" i="33" s="1"/>
  <c r="O231" i="34"/>
  <c r="A231" i="34"/>
  <c r="B264" i="33" s="1"/>
  <c r="O230" i="34"/>
  <c r="A230" i="34"/>
  <c r="B263" i="33" s="1"/>
  <c r="O229" i="34"/>
  <c r="A229" i="34"/>
  <c r="B262" i="33" s="1"/>
  <c r="O228" i="34"/>
  <c r="A228" i="34"/>
  <c r="B261" i="33" s="1"/>
  <c r="O227" i="34"/>
  <c r="A227" i="34"/>
  <c r="B260" i="33" s="1"/>
  <c r="O226" i="34"/>
  <c r="A226" i="34"/>
  <c r="B259" i="33" s="1"/>
  <c r="O225" i="34"/>
  <c r="A225" i="34"/>
  <c r="B258" i="33" s="1"/>
  <c r="O224" i="34"/>
  <c r="A224" i="34"/>
  <c r="B257" i="33" s="1"/>
  <c r="O223" i="34"/>
  <c r="A223" i="34"/>
  <c r="B256" i="33" s="1"/>
  <c r="O222" i="34"/>
  <c r="A222" i="34"/>
  <c r="B255" i="33" s="1"/>
  <c r="O221" i="34"/>
  <c r="O220" i="34"/>
  <c r="O219" i="34"/>
  <c r="O218" i="34"/>
  <c r="A218" i="34"/>
  <c r="B251" i="33" s="1"/>
  <c r="O217" i="34"/>
  <c r="A217" i="34"/>
  <c r="B250" i="33" s="1"/>
  <c r="O216" i="34"/>
  <c r="A216" i="34"/>
  <c r="B249" i="33" s="1"/>
  <c r="O215" i="34"/>
  <c r="A215" i="34"/>
  <c r="B248" i="33" s="1"/>
  <c r="O214" i="34"/>
  <c r="A214" i="34"/>
  <c r="B247" i="33" s="1"/>
  <c r="O213" i="34"/>
  <c r="A213" i="34"/>
  <c r="B246" i="33" s="1"/>
  <c r="O212" i="34"/>
  <c r="A212" i="34"/>
  <c r="B245" i="33" s="1"/>
  <c r="O211" i="34"/>
  <c r="A211" i="34"/>
  <c r="B244" i="33" s="1"/>
  <c r="O210" i="34"/>
  <c r="A210" i="34"/>
  <c r="B243" i="33" s="1"/>
  <c r="O209" i="34"/>
  <c r="A209" i="34"/>
  <c r="B242" i="33" s="1"/>
  <c r="O208" i="34"/>
  <c r="A208" i="34"/>
  <c r="B241" i="33" s="1"/>
  <c r="O207" i="34"/>
  <c r="A207" i="34"/>
  <c r="B240" i="33" s="1"/>
  <c r="O206" i="34"/>
  <c r="A206" i="34"/>
  <c r="B239" i="33" s="1"/>
  <c r="O205" i="34"/>
  <c r="A205" i="34"/>
  <c r="B238" i="33" s="1"/>
  <c r="O204" i="34"/>
  <c r="O203" i="34"/>
  <c r="O202" i="34"/>
  <c r="O201" i="34"/>
  <c r="A201" i="34"/>
  <c r="B234" i="33" s="1"/>
  <c r="O200" i="34"/>
  <c r="A200" i="34"/>
  <c r="B233" i="33" s="1"/>
  <c r="O199" i="34"/>
  <c r="A199" i="34"/>
  <c r="B232" i="33" s="1"/>
  <c r="O198" i="34"/>
  <c r="A198" i="34"/>
  <c r="B231" i="33" s="1"/>
  <c r="O197" i="34"/>
  <c r="A197" i="34"/>
  <c r="B230" i="33" s="1"/>
  <c r="O196" i="34"/>
  <c r="A196" i="34"/>
  <c r="B229" i="33" s="1"/>
  <c r="O195" i="34"/>
  <c r="A195" i="34"/>
  <c r="B228" i="33" s="1"/>
  <c r="O194" i="34"/>
  <c r="A194" i="34"/>
  <c r="B227" i="33" s="1"/>
  <c r="O193" i="34"/>
  <c r="A193" i="34"/>
  <c r="B226" i="33" s="1"/>
  <c r="O192" i="34"/>
  <c r="A192" i="34"/>
  <c r="B225" i="33" s="1"/>
  <c r="O191" i="34"/>
  <c r="A191" i="34"/>
  <c r="B224" i="33" s="1"/>
  <c r="O190" i="34"/>
  <c r="A190" i="34"/>
  <c r="B223" i="33" s="1"/>
  <c r="O189" i="34"/>
  <c r="A189" i="34"/>
  <c r="B222" i="33" s="1"/>
  <c r="O188" i="34"/>
  <c r="A188" i="34"/>
  <c r="B221" i="33" s="1"/>
  <c r="O187" i="34"/>
  <c r="O186" i="34"/>
  <c r="O185" i="34"/>
  <c r="O184" i="34"/>
  <c r="A184" i="34"/>
  <c r="B217" i="33" s="1"/>
  <c r="O183" i="34"/>
  <c r="A183" i="34"/>
  <c r="B216" i="33" s="1"/>
  <c r="O182" i="34"/>
  <c r="A182" i="34"/>
  <c r="B215" i="33" s="1"/>
  <c r="O181" i="34"/>
  <c r="A181" i="34"/>
  <c r="B214" i="33" s="1"/>
  <c r="O180" i="34"/>
  <c r="A180" i="34"/>
  <c r="B213" i="33" s="1"/>
  <c r="O179" i="34"/>
  <c r="A179" i="34"/>
  <c r="B212" i="33" s="1"/>
  <c r="O178" i="34"/>
  <c r="A178" i="34"/>
  <c r="B211" i="33" s="1"/>
  <c r="O177" i="34"/>
  <c r="A177" i="34"/>
  <c r="B210" i="33" s="1"/>
  <c r="O176" i="34"/>
  <c r="A176" i="34"/>
  <c r="B209" i="33" s="1"/>
  <c r="O175" i="34"/>
  <c r="A175" i="34"/>
  <c r="B208" i="33" s="1"/>
  <c r="O174" i="34"/>
  <c r="A174" i="34"/>
  <c r="B207" i="33" s="1"/>
  <c r="O173" i="34"/>
  <c r="A173" i="34"/>
  <c r="B206" i="33" s="1"/>
  <c r="O172" i="34"/>
  <c r="A172" i="34"/>
  <c r="B205" i="33" s="1"/>
  <c r="O171" i="34"/>
  <c r="A171" i="34"/>
  <c r="B204" i="33" s="1"/>
  <c r="O170" i="34"/>
  <c r="O169" i="34"/>
  <c r="O168" i="34"/>
  <c r="O167" i="34"/>
  <c r="A167" i="34"/>
  <c r="B200" i="33" s="1"/>
  <c r="O166" i="34"/>
  <c r="A166" i="34"/>
  <c r="B199" i="33" s="1"/>
  <c r="O165" i="34"/>
  <c r="A165" i="34"/>
  <c r="B198" i="33" s="1"/>
  <c r="O164" i="34"/>
  <c r="A164" i="34"/>
  <c r="B197" i="33" s="1"/>
  <c r="O163" i="34"/>
  <c r="A163" i="34"/>
  <c r="B196" i="33" s="1"/>
  <c r="O162" i="34"/>
  <c r="A162" i="34"/>
  <c r="B195" i="33" s="1"/>
  <c r="O161" i="34"/>
  <c r="A161" i="34"/>
  <c r="B194" i="33" s="1"/>
  <c r="O160" i="34"/>
  <c r="A160" i="34"/>
  <c r="B193" i="33" s="1"/>
  <c r="O159" i="34"/>
  <c r="A159" i="34"/>
  <c r="B192" i="33" s="1"/>
  <c r="O158" i="34"/>
  <c r="A158" i="34"/>
  <c r="B191" i="33" s="1"/>
  <c r="O157" i="34"/>
  <c r="A157" i="34"/>
  <c r="B190" i="33" s="1"/>
  <c r="O156" i="34"/>
  <c r="A156" i="34"/>
  <c r="B189" i="33" s="1"/>
  <c r="O155" i="34"/>
  <c r="A155" i="34"/>
  <c r="B188" i="33" s="1"/>
  <c r="O154" i="34"/>
  <c r="A154" i="34"/>
  <c r="B187" i="33" s="1"/>
  <c r="O153" i="34"/>
  <c r="O152" i="34"/>
  <c r="O151" i="34"/>
  <c r="O150" i="34"/>
  <c r="A150" i="34"/>
  <c r="B183" i="33" s="1"/>
  <c r="O149" i="34"/>
  <c r="A149" i="34"/>
  <c r="B182" i="33" s="1"/>
  <c r="O148" i="34"/>
  <c r="A148" i="34"/>
  <c r="B181" i="33" s="1"/>
  <c r="O147" i="34"/>
  <c r="A147" i="34"/>
  <c r="B180" i="33" s="1"/>
  <c r="O146" i="34"/>
  <c r="A146" i="34"/>
  <c r="B179" i="33" s="1"/>
  <c r="O145" i="34"/>
  <c r="A145" i="34"/>
  <c r="B178" i="33" s="1"/>
  <c r="O144" i="34"/>
  <c r="A144" i="34"/>
  <c r="B177" i="33" s="1"/>
  <c r="O143" i="34"/>
  <c r="A143" i="34"/>
  <c r="B176" i="33" s="1"/>
  <c r="O142" i="34"/>
  <c r="A142" i="34"/>
  <c r="B175" i="33" s="1"/>
  <c r="O141" i="34"/>
  <c r="A141" i="34"/>
  <c r="B174" i="33" s="1"/>
  <c r="O140" i="34"/>
  <c r="A140" i="34"/>
  <c r="B173" i="33" s="1"/>
  <c r="O139" i="34"/>
  <c r="A139" i="34"/>
  <c r="B172" i="33" s="1"/>
  <c r="O138" i="34"/>
  <c r="A138" i="34"/>
  <c r="B171" i="33" s="1"/>
  <c r="O137" i="34"/>
  <c r="A137" i="34"/>
  <c r="B170" i="33" s="1"/>
  <c r="O136" i="34"/>
  <c r="O135" i="34"/>
  <c r="O134" i="34"/>
  <c r="O133" i="34"/>
  <c r="A133" i="34"/>
  <c r="B166" i="33" s="1"/>
  <c r="O132" i="34"/>
  <c r="A132" i="34"/>
  <c r="B165" i="33" s="1"/>
  <c r="O131" i="34"/>
  <c r="A131" i="34"/>
  <c r="B164" i="33" s="1"/>
  <c r="O130" i="34"/>
  <c r="A130" i="34"/>
  <c r="B163" i="33" s="1"/>
  <c r="O129" i="34"/>
  <c r="A129" i="34"/>
  <c r="B162" i="33" s="1"/>
  <c r="O128" i="34"/>
  <c r="A128" i="34"/>
  <c r="B161" i="33" s="1"/>
  <c r="O127" i="34"/>
  <c r="A127" i="34"/>
  <c r="B160" i="33" s="1"/>
  <c r="O126" i="34"/>
  <c r="A126" i="34"/>
  <c r="B159" i="33" s="1"/>
  <c r="O125" i="34"/>
  <c r="A125" i="34"/>
  <c r="B158" i="33" s="1"/>
  <c r="O124" i="34"/>
  <c r="A124" i="34"/>
  <c r="B157" i="33" s="1"/>
  <c r="O123" i="34"/>
  <c r="A123" i="34"/>
  <c r="B156" i="33" s="1"/>
  <c r="O122" i="34"/>
  <c r="A122" i="34"/>
  <c r="B155" i="33" s="1"/>
  <c r="O121" i="34"/>
  <c r="A121" i="34"/>
  <c r="B154" i="33" s="1"/>
  <c r="O120" i="34"/>
  <c r="A120" i="34"/>
  <c r="B153" i="33" s="1"/>
  <c r="O119" i="34"/>
  <c r="O118" i="34"/>
  <c r="O117" i="34"/>
  <c r="O116" i="34"/>
  <c r="A116" i="34"/>
  <c r="B149" i="33" s="1"/>
  <c r="O115" i="34"/>
  <c r="A115" i="34"/>
  <c r="B148" i="33" s="1"/>
  <c r="O114" i="34"/>
  <c r="A114" i="34"/>
  <c r="B147" i="33" s="1"/>
  <c r="O113" i="34"/>
  <c r="A113" i="34"/>
  <c r="B146" i="33" s="1"/>
  <c r="O112" i="34"/>
  <c r="A112" i="34"/>
  <c r="B145" i="33" s="1"/>
  <c r="O111" i="34"/>
  <c r="A111" i="34"/>
  <c r="B144" i="33" s="1"/>
  <c r="O110" i="34"/>
  <c r="A110" i="34"/>
  <c r="B143" i="33" s="1"/>
  <c r="O109" i="34"/>
  <c r="A109" i="34"/>
  <c r="B142" i="33" s="1"/>
  <c r="O108" i="34"/>
  <c r="A108" i="34"/>
  <c r="B141" i="33" s="1"/>
  <c r="O107" i="34"/>
  <c r="A107" i="34"/>
  <c r="B140" i="33" s="1"/>
  <c r="O106" i="34"/>
  <c r="A106" i="34"/>
  <c r="B139" i="33" s="1"/>
  <c r="O105" i="34"/>
  <c r="A105" i="34"/>
  <c r="B138" i="33" s="1"/>
  <c r="O104" i="34"/>
  <c r="A104" i="34"/>
  <c r="B137" i="33" s="1"/>
  <c r="O103" i="34"/>
  <c r="A103" i="34"/>
  <c r="B136" i="33" s="1"/>
  <c r="O102" i="34"/>
  <c r="O101" i="34"/>
  <c r="O100" i="34"/>
  <c r="O99" i="34"/>
  <c r="A99" i="34"/>
  <c r="B132" i="33" s="1"/>
  <c r="O98" i="34"/>
  <c r="A98" i="34"/>
  <c r="B131" i="33" s="1"/>
  <c r="O97" i="34"/>
  <c r="A97" i="34"/>
  <c r="B130" i="33" s="1"/>
  <c r="O96" i="34"/>
  <c r="A96" i="34"/>
  <c r="B129" i="33" s="1"/>
  <c r="O95" i="34"/>
  <c r="A95" i="34"/>
  <c r="B128" i="33" s="1"/>
  <c r="O94" i="34"/>
  <c r="A94" i="34"/>
  <c r="B127" i="33" s="1"/>
  <c r="O93" i="34"/>
  <c r="A93" i="34"/>
  <c r="B126" i="33" s="1"/>
  <c r="O92" i="34"/>
  <c r="A92" i="34"/>
  <c r="B125" i="33" s="1"/>
  <c r="O91" i="34"/>
  <c r="A91" i="34"/>
  <c r="B124" i="33" s="1"/>
  <c r="O90" i="34"/>
  <c r="A90" i="34"/>
  <c r="B123" i="33" s="1"/>
  <c r="O89" i="34"/>
  <c r="A89" i="34"/>
  <c r="B122" i="33" s="1"/>
  <c r="O88" i="34"/>
  <c r="A88" i="34"/>
  <c r="B121" i="33" s="1"/>
  <c r="O87" i="34"/>
  <c r="A87" i="34"/>
  <c r="B120" i="33" s="1"/>
  <c r="O86" i="34"/>
  <c r="A86" i="34"/>
  <c r="B119" i="33" s="1"/>
  <c r="O85" i="34"/>
  <c r="O84" i="34"/>
  <c r="O83" i="34"/>
  <c r="O82" i="34"/>
  <c r="A82" i="34"/>
  <c r="B115" i="33" s="1"/>
  <c r="O81" i="34"/>
  <c r="A81" i="34"/>
  <c r="B114" i="33" s="1"/>
  <c r="O80" i="34"/>
  <c r="A80" i="34"/>
  <c r="B113" i="33" s="1"/>
  <c r="O79" i="34"/>
  <c r="A79" i="34"/>
  <c r="B112" i="33" s="1"/>
  <c r="O78" i="34"/>
  <c r="A78" i="34"/>
  <c r="B111" i="33" s="1"/>
  <c r="O77" i="34"/>
  <c r="A77" i="34"/>
  <c r="B110" i="33" s="1"/>
  <c r="O76" i="34"/>
  <c r="A76" i="34"/>
  <c r="B109" i="33" s="1"/>
  <c r="O75" i="34"/>
  <c r="A75" i="34"/>
  <c r="B108" i="33" s="1"/>
  <c r="O74" i="34"/>
  <c r="A74" i="34"/>
  <c r="B107" i="33" s="1"/>
  <c r="O73" i="34"/>
  <c r="A73" i="34"/>
  <c r="B106" i="33" s="1"/>
  <c r="O72" i="34"/>
  <c r="A72" i="34"/>
  <c r="B105" i="33" s="1"/>
  <c r="O71" i="34"/>
  <c r="A71" i="34"/>
  <c r="B104" i="33" s="1"/>
  <c r="O70" i="34"/>
  <c r="A70" i="34"/>
  <c r="B103" i="33" s="1"/>
  <c r="O69" i="34"/>
  <c r="A69" i="34"/>
  <c r="B102" i="33" s="1"/>
  <c r="O68" i="34"/>
  <c r="O67" i="34"/>
  <c r="O66" i="34"/>
  <c r="O65" i="34"/>
  <c r="A65" i="34"/>
  <c r="B98" i="33" s="1"/>
  <c r="A64" i="34"/>
  <c r="B97" i="33" s="1"/>
  <c r="A63" i="34"/>
  <c r="B96" i="33" s="1"/>
  <c r="A62" i="34"/>
  <c r="B95" i="33" s="1"/>
  <c r="A61" i="34"/>
  <c r="B94" i="33" s="1"/>
  <c r="A60" i="34"/>
  <c r="B93" i="33" s="1"/>
  <c r="A59" i="34"/>
  <c r="B92" i="33" s="1"/>
  <c r="A58" i="34"/>
  <c r="B91" i="33" s="1"/>
  <c r="A57" i="34"/>
  <c r="B90" i="33" s="1"/>
  <c r="A56" i="34"/>
  <c r="B89" i="33" s="1"/>
  <c r="A55" i="34"/>
  <c r="B88" i="33" s="1"/>
  <c r="A54" i="34"/>
  <c r="B87" i="33" s="1"/>
  <c r="A53" i="34"/>
  <c r="B86" i="33" s="1"/>
  <c r="A52" i="34"/>
  <c r="B85" i="33" s="1"/>
  <c r="A48" i="34"/>
  <c r="B81" i="33" s="1"/>
  <c r="A47" i="34"/>
  <c r="B80" i="33" s="1"/>
  <c r="A46" i="34"/>
  <c r="B79" i="33" s="1"/>
  <c r="A45" i="34"/>
  <c r="B78" i="33" s="1"/>
  <c r="A44" i="34"/>
  <c r="B77" i="33" s="1"/>
  <c r="A43" i="34"/>
  <c r="B76" i="33" s="1"/>
  <c r="A42" i="34"/>
  <c r="B75" i="33" s="1"/>
  <c r="A41" i="34"/>
  <c r="B74" i="33" s="1"/>
  <c r="A40" i="34"/>
  <c r="B73" i="33" s="1"/>
  <c r="A39" i="34"/>
  <c r="B72" i="33" s="1"/>
  <c r="A38" i="34"/>
  <c r="B71" i="33" s="1"/>
  <c r="A37" i="34"/>
  <c r="B70" i="33" s="1"/>
  <c r="A36" i="34"/>
  <c r="B69" i="33" s="1"/>
  <c r="A35" i="34"/>
  <c r="B68" i="33" s="1"/>
  <c r="A31" i="34"/>
  <c r="B64" i="33" s="1"/>
  <c r="A30" i="34"/>
  <c r="B63" i="33" s="1"/>
  <c r="A29" i="34"/>
  <c r="B62" i="33" s="1"/>
  <c r="A28" i="34"/>
  <c r="B61" i="33" s="1"/>
  <c r="A27" i="34"/>
  <c r="B60" i="33" s="1"/>
  <c r="A26" i="34"/>
  <c r="B59" i="33" s="1"/>
  <c r="A25" i="34"/>
  <c r="B58" i="33" s="1"/>
  <c r="A24" i="34"/>
  <c r="B57" i="33" s="1"/>
  <c r="A23" i="34"/>
  <c r="B56" i="33" s="1"/>
  <c r="A22" i="34"/>
  <c r="B55" i="33" s="1"/>
  <c r="A21" i="34"/>
  <c r="B54" i="33" s="1"/>
  <c r="A20" i="34"/>
  <c r="B53" i="33" s="1"/>
  <c r="A19" i="34"/>
  <c r="B52" i="33" s="1"/>
  <c r="A18" i="34"/>
  <c r="B51" i="33" s="1"/>
  <c r="A14" i="34"/>
  <c r="B47" i="33" s="1"/>
  <c r="A13" i="34"/>
  <c r="B46" i="33" s="1"/>
  <c r="A12" i="34"/>
  <c r="B45" i="33" s="1"/>
  <c r="A11" i="34"/>
  <c r="B44" i="33" s="1"/>
  <c r="A10" i="34"/>
  <c r="B43" i="33" s="1"/>
  <c r="A9" i="34"/>
  <c r="B42" i="33" s="1"/>
  <c r="A8" i="34"/>
  <c r="B41" i="33" s="1"/>
  <c r="A7" i="34"/>
  <c r="B40" i="33" s="1"/>
  <c r="A6" i="34"/>
  <c r="B39" i="33" s="1"/>
  <c r="A5" i="34"/>
  <c r="B38" i="33" s="1"/>
  <c r="A4" i="34"/>
  <c r="B37" i="33" s="1"/>
  <c r="A3" i="34"/>
  <c r="B36" i="33" s="1"/>
  <c r="A2" i="34"/>
  <c r="B35" i="33" s="1"/>
  <c r="A1" i="34"/>
  <c r="B34" i="33" s="1"/>
  <c r="B1118" i="33"/>
  <c r="C1117" i="33"/>
  <c r="C1116" i="33"/>
  <c r="C1115" i="33"/>
  <c r="B1110" i="33"/>
  <c r="B1108" i="33"/>
  <c r="C1106" i="33"/>
  <c r="B1106" i="33"/>
  <c r="C1105" i="33"/>
  <c r="C1104" i="33"/>
  <c r="B1104" i="33"/>
  <c r="C1103" i="33"/>
  <c r="B1103" i="33"/>
  <c r="B1102" i="33"/>
  <c r="C1101" i="33"/>
  <c r="C1100" i="33"/>
  <c r="C1099" i="33"/>
  <c r="B1095" i="33"/>
  <c r="B1093" i="33"/>
  <c r="C1089" i="33"/>
  <c r="B1089" i="33"/>
  <c r="C1088" i="33"/>
  <c r="C1087" i="33"/>
  <c r="B1087" i="33"/>
  <c r="C1086" i="33"/>
  <c r="B1086" i="33"/>
  <c r="C1085" i="33"/>
  <c r="B1085" i="33"/>
  <c r="C1084" i="33"/>
  <c r="C1083" i="33"/>
  <c r="C1082" i="33"/>
  <c r="C1081" i="33"/>
  <c r="B1080" i="33"/>
  <c r="B1079" i="33"/>
  <c r="B1078" i="33"/>
  <c r="C1073" i="33"/>
  <c r="C1072" i="33"/>
  <c r="C1071" i="33"/>
  <c r="C1070" i="33"/>
  <c r="B1070" i="33"/>
  <c r="C1069" i="33"/>
  <c r="B1069" i="33"/>
  <c r="C1068" i="33"/>
  <c r="B1068" i="33"/>
  <c r="C1067" i="33"/>
  <c r="B1065" i="33"/>
  <c r="B1064" i="33"/>
  <c r="B1063" i="33"/>
  <c r="B1062" i="33"/>
  <c r="C1057" i="33"/>
  <c r="C1056" i="33"/>
  <c r="C1055" i="33"/>
  <c r="C1054" i="33"/>
  <c r="C1053" i="33"/>
  <c r="B1053" i="33"/>
  <c r="C1052" i="33"/>
  <c r="B1052" i="33"/>
  <c r="C1051" i="33"/>
  <c r="B1051" i="33"/>
  <c r="C1050" i="33"/>
  <c r="B1050" i="33"/>
  <c r="C1048" i="33"/>
  <c r="C1041" i="33"/>
  <c r="C1040" i="33"/>
  <c r="C1039" i="33"/>
  <c r="C1038" i="33"/>
  <c r="C1037" i="33"/>
  <c r="C1036" i="33"/>
  <c r="B1036" i="33"/>
  <c r="C1035" i="33"/>
  <c r="B1035" i="33"/>
  <c r="C1034" i="33"/>
  <c r="B1034" i="33"/>
  <c r="B1033" i="33"/>
  <c r="C1025" i="33"/>
  <c r="C1024" i="33"/>
  <c r="C1023" i="33"/>
  <c r="C1022" i="33"/>
  <c r="C1021" i="33"/>
  <c r="B1021" i="33"/>
  <c r="C1020" i="33"/>
  <c r="C1019" i="33"/>
  <c r="B1019" i="33"/>
  <c r="C1018" i="33"/>
  <c r="B1018" i="33"/>
  <c r="B1017" i="33"/>
  <c r="C1009" i="33"/>
  <c r="C1008" i="33"/>
  <c r="B1008" i="33"/>
  <c r="C1007" i="33"/>
  <c r="B1007" i="33"/>
  <c r="B1006" i="33"/>
  <c r="C1004" i="33"/>
  <c r="C1003" i="33"/>
  <c r="C1002" i="33"/>
  <c r="B1002" i="33"/>
  <c r="C1001" i="33"/>
  <c r="B1001" i="33"/>
  <c r="B1000" i="33"/>
  <c r="C996" i="33"/>
  <c r="C993" i="33"/>
  <c r="B993" i="33"/>
  <c r="C992" i="33"/>
  <c r="B992" i="33"/>
  <c r="C991" i="33"/>
  <c r="B991" i="33"/>
  <c r="C990" i="33"/>
  <c r="B990" i="33"/>
  <c r="B989" i="33"/>
  <c r="C987" i="33"/>
  <c r="C986" i="33"/>
  <c r="C985" i="33"/>
  <c r="B985" i="33"/>
  <c r="C984" i="33"/>
  <c r="B984" i="33"/>
  <c r="B983" i="33"/>
  <c r="B978" i="33"/>
  <c r="C977" i="33"/>
  <c r="B977" i="33"/>
  <c r="C976" i="33"/>
  <c r="B976" i="33"/>
  <c r="C975" i="33"/>
  <c r="C970" i="33"/>
  <c r="C969" i="33"/>
  <c r="C968" i="33"/>
  <c r="B968" i="33"/>
  <c r="C967" i="33"/>
  <c r="B967" i="33"/>
  <c r="B966" i="33"/>
  <c r="B963" i="33"/>
  <c r="B962" i="33"/>
  <c r="C961" i="33"/>
  <c r="C960" i="33"/>
  <c r="C959" i="33"/>
  <c r="C953" i="33"/>
  <c r="C952" i="33"/>
  <c r="C951" i="33"/>
  <c r="B951" i="33"/>
  <c r="C950" i="33"/>
  <c r="B950" i="33"/>
  <c r="B949" i="33"/>
  <c r="B946" i="33"/>
  <c r="C945" i="33"/>
  <c r="C944" i="33"/>
  <c r="C943" i="33"/>
  <c r="C942" i="33"/>
  <c r="C936" i="33"/>
  <c r="B936" i="33"/>
  <c r="C935" i="33"/>
  <c r="B935" i="33"/>
  <c r="C934" i="33"/>
  <c r="B934" i="33"/>
  <c r="C933" i="33"/>
  <c r="B933" i="33"/>
  <c r="B932" i="33"/>
  <c r="B931" i="33"/>
  <c r="B930" i="33"/>
  <c r="C929" i="33"/>
  <c r="B929" i="33"/>
  <c r="C928" i="33"/>
  <c r="C927" i="33"/>
  <c r="C926" i="33"/>
  <c r="C925" i="33"/>
  <c r="B921" i="33"/>
  <c r="B920" i="33"/>
  <c r="C919" i="33"/>
  <c r="B919" i="33"/>
  <c r="C918" i="33"/>
  <c r="B918" i="33"/>
  <c r="C917" i="33"/>
  <c r="B917" i="33"/>
  <c r="C916" i="33"/>
  <c r="B916" i="33"/>
  <c r="B915" i="33"/>
  <c r="C913" i="33"/>
  <c r="C912" i="33"/>
  <c r="C911" i="33"/>
  <c r="B906" i="33"/>
  <c r="B905" i="33"/>
  <c r="C902" i="33"/>
  <c r="C901" i="33"/>
  <c r="C900" i="33"/>
  <c r="B900" i="33"/>
  <c r="C899" i="33"/>
  <c r="B899" i="33"/>
  <c r="B898" i="33"/>
  <c r="C897" i="33"/>
  <c r="C896" i="33"/>
  <c r="C895" i="33"/>
  <c r="B887" i="33"/>
  <c r="C885" i="33"/>
  <c r="C884" i="33"/>
  <c r="C883" i="33"/>
  <c r="B883" i="33"/>
  <c r="C882" i="33"/>
  <c r="B882" i="33"/>
  <c r="C881" i="33"/>
  <c r="B881" i="33"/>
  <c r="C880" i="33"/>
  <c r="C879" i="33"/>
  <c r="C878" i="33"/>
  <c r="B874" i="33"/>
  <c r="C869" i="33"/>
  <c r="C868" i="33"/>
  <c r="C867" i="33"/>
  <c r="C866" i="33"/>
  <c r="B866" i="33"/>
  <c r="C865" i="33"/>
  <c r="B865" i="33"/>
  <c r="C864" i="33"/>
  <c r="B864" i="33"/>
  <c r="C863" i="33"/>
  <c r="B861" i="33"/>
  <c r="B860" i="33"/>
  <c r="B859" i="33"/>
  <c r="B858" i="33"/>
  <c r="C853" i="33"/>
  <c r="C852" i="33"/>
  <c r="C851" i="33"/>
  <c r="C850" i="33"/>
  <c r="C849" i="33"/>
  <c r="B849" i="33"/>
  <c r="C848" i="33"/>
  <c r="B848" i="33"/>
  <c r="C847" i="33"/>
  <c r="B847" i="33"/>
  <c r="C846" i="33"/>
  <c r="B846" i="33"/>
  <c r="B845" i="33"/>
  <c r="C844" i="33"/>
  <c r="B844" i="33"/>
  <c r="C837" i="33"/>
  <c r="C836" i="33"/>
  <c r="C835" i="33"/>
  <c r="C834" i="33"/>
  <c r="B834" i="33"/>
  <c r="C833" i="33"/>
  <c r="B833" i="33"/>
  <c r="C832" i="33"/>
  <c r="B832" i="33"/>
  <c r="C831" i="33"/>
  <c r="B831" i="33"/>
  <c r="B830" i="33"/>
  <c r="C829" i="33"/>
  <c r="C821" i="33"/>
  <c r="C820" i="33"/>
  <c r="C819" i="33"/>
  <c r="C817" i="33"/>
  <c r="C816" i="33"/>
  <c r="C815" i="33"/>
  <c r="B815" i="33"/>
  <c r="C814" i="33"/>
  <c r="B814" i="33"/>
  <c r="B813" i="33"/>
  <c r="C805" i="33"/>
  <c r="C804" i="33"/>
  <c r="C803" i="33"/>
  <c r="C802" i="33"/>
  <c r="B802" i="33"/>
  <c r="C800" i="33"/>
  <c r="C799" i="33"/>
  <c r="C798" i="33"/>
  <c r="B798" i="33"/>
  <c r="C797" i="33"/>
  <c r="B797" i="33"/>
  <c r="B796" i="33"/>
  <c r="B795" i="33"/>
  <c r="B794" i="33"/>
  <c r="C789" i="33"/>
  <c r="B789" i="33"/>
  <c r="C788" i="33"/>
  <c r="C787" i="33"/>
  <c r="C783" i="33"/>
  <c r="B783" i="33"/>
  <c r="C782" i="33"/>
  <c r="C781" i="33"/>
  <c r="B781" i="33"/>
  <c r="C780" i="33"/>
  <c r="B780" i="33"/>
  <c r="B779" i="33"/>
  <c r="B776" i="33"/>
  <c r="C773" i="33"/>
  <c r="C772" i="33"/>
  <c r="C771" i="33"/>
  <c r="B769" i="33"/>
  <c r="C766" i="33"/>
  <c r="C765" i="33"/>
  <c r="C764" i="33"/>
  <c r="B764" i="33"/>
  <c r="C763" i="33"/>
  <c r="B763" i="33"/>
  <c r="B762" i="33"/>
  <c r="C757" i="33"/>
  <c r="C756" i="33"/>
  <c r="C755" i="33"/>
  <c r="B755" i="33"/>
  <c r="C754" i="33"/>
  <c r="C749" i="33"/>
  <c r="C748" i="33"/>
  <c r="C747" i="33"/>
  <c r="B747" i="33"/>
  <c r="C746" i="33"/>
  <c r="B746" i="33"/>
  <c r="B745" i="33"/>
  <c r="B743" i="33"/>
  <c r="C741" i="33"/>
  <c r="B741" i="33"/>
  <c r="C740" i="33"/>
  <c r="C739" i="33"/>
  <c r="B736" i="33"/>
  <c r="C732" i="33"/>
  <c r="C731" i="33"/>
  <c r="B731" i="33"/>
  <c r="C730" i="33"/>
  <c r="B730" i="33"/>
  <c r="C729" i="33"/>
  <c r="B729" i="33"/>
  <c r="B728" i="33"/>
  <c r="C725" i="33"/>
  <c r="C724" i="33"/>
  <c r="C723" i="33"/>
  <c r="B717" i="33"/>
  <c r="C715" i="33"/>
  <c r="C714" i="33"/>
  <c r="C713" i="33"/>
  <c r="B713" i="33"/>
  <c r="C712" i="33"/>
  <c r="B712" i="33"/>
  <c r="B711" i="33"/>
  <c r="C709" i="33"/>
  <c r="C708" i="33"/>
  <c r="C707" i="33"/>
  <c r="C706" i="33"/>
  <c r="C705" i="33"/>
  <c r="B703" i="33"/>
  <c r="C698" i="33"/>
  <c r="B698" i="33"/>
  <c r="C697" i="33"/>
  <c r="B697" i="33"/>
  <c r="C696" i="33"/>
  <c r="B696" i="33"/>
  <c r="C695" i="33"/>
  <c r="B695" i="33"/>
  <c r="B694" i="33"/>
  <c r="C693" i="33"/>
  <c r="C692" i="33"/>
  <c r="C691" i="33"/>
  <c r="C690" i="33"/>
  <c r="B690" i="33"/>
  <c r="B684" i="33"/>
  <c r="C681" i="33"/>
  <c r="C680" i="33"/>
  <c r="C679" i="33"/>
  <c r="B679" i="33"/>
  <c r="C678" i="33"/>
  <c r="B678" i="33"/>
  <c r="C677" i="33"/>
  <c r="B677" i="33"/>
  <c r="C676" i="33"/>
  <c r="C675" i="33"/>
  <c r="C673" i="33"/>
  <c r="B670" i="33"/>
  <c r="C665" i="33"/>
  <c r="B665" i="33"/>
  <c r="C664" i="33"/>
  <c r="B664" i="33"/>
  <c r="C663" i="33"/>
  <c r="C662" i="33"/>
  <c r="B662" i="33"/>
  <c r="C661" i="33"/>
  <c r="B661" i="33"/>
  <c r="C660" i="33"/>
  <c r="B660" i="33"/>
  <c r="C659" i="33"/>
  <c r="C658" i="33"/>
  <c r="B657" i="33"/>
  <c r="B651" i="33"/>
  <c r="C649" i="33"/>
  <c r="C648" i="33"/>
  <c r="C647" i="33"/>
  <c r="C646" i="33"/>
  <c r="C645" i="33"/>
  <c r="B645" i="33"/>
  <c r="C644" i="33"/>
  <c r="B644" i="33"/>
  <c r="C643" i="33"/>
  <c r="B643" i="33"/>
  <c r="C642" i="33"/>
  <c r="C640" i="33"/>
  <c r="B638" i="33"/>
  <c r="B637" i="33"/>
  <c r="C633" i="33"/>
  <c r="C632" i="33"/>
  <c r="B632" i="33"/>
  <c r="C631" i="33"/>
  <c r="B631" i="33"/>
  <c r="C630" i="33"/>
  <c r="C629" i="33"/>
  <c r="C628" i="33"/>
  <c r="B628" i="33"/>
  <c r="C627" i="33"/>
  <c r="B627" i="33"/>
  <c r="B626" i="33"/>
  <c r="B623" i="33"/>
  <c r="C617" i="33"/>
  <c r="C616" i="33"/>
  <c r="C615" i="33"/>
  <c r="C613" i="33"/>
  <c r="C612" i="33"/>
  <c r="C611" i="33"/>
  <c r="B611" i="33"/>
  <c r="C610" i="33"/>
  <c r="B610" i="33"/>
  <c r="C609" i="33"/>
  <c r="B609" i="33"/>
  <c r="B604" i="33"/>
  <c r="C601" i="33"/>
  <c r="C600" i="33"/>
  <c r="C599" i="33"/>
  <c r="B599" i="33"/>
  <c r="C596" i="33"/>
  <c r="C595" i="33"/>
  <c r="C594" i="33"/>
  <c r="B594" i="33"/>
  <c r="C593" i="33"/>
  <c r="B593" i="33"/>
  <c r="C592" i="33"/>
  <c r="B592" i="33"/>
  <c r="C591" i="33"/>
  <c r="C585" i="33"/>
  <c r="C584" i="33"/>
  <c r="C583" i="33"/>
  <c r="C582" i="33"/>
  <c r="C580" i="33"/>
  <c r="C579" i="33"/>
  <c r="C578" i="33"/>
  <c r="C577" i="33"/>
  <c r="B577" i="33"/>
  <c r="C576" i="33"/>
  <c r="B576" i="33"/>
  <c r="B575" i="33"/>
  <c r="B571" i="33"/>
  <c r="C569" i="33"/>
  <c r="C568" i="33"/>
  <c r="C567" i="33"/>
  <c r="B566" i="33"/>
  <c r="B565" i="33"/>
  <c r="C562" i="33"/>
  <c r="C561" i="33"/>
  <c r="C560" i="33"/>
  <c r="B560" i="33"/>
  <c r="C559" i="33"/>
  <c r="B559" i="33"/>
  <c r="B558" i="33"/>
  <c r="C553" i="33"/>
  <c r="C552" i="33"/>
  <c r="B552" i="33"/>
  <c r="C551" i="33"/>
  <c r="C545" i="33"/>
  <c r="C544" i="33"/>
  <c r="C543" i="33"/>
  <c r="B543" i="33"/>
  <c r="C542" i="33"/>
  <c r="B542" i="33"/>
  <c r="B541" i="33"/>
  <c r="B538" i="33"/>
  <c r="C537" i="33"/>
  <c r="C536" i="33"/>
  <c r="C535" i="33"/>
  <c r="B533" i="33"/>
  <c r="B532" i="33"/>
  <c r="C528" i="33"/>
  <c r="C527" i="33"/>
  <c r="C526" i="33"/>
  <c r="B526" i="33"/>
  <c r="C525" i="33"/>
  <c r="B525" i="33"/>
  <c r="B524" i="33"/>
  <c r="C521" i="33"/>
  <c r="C520" i="33"/>
  <c r="C519" i="33"/>
  <c r="C518" i="33"/>
  <c r="C517" i="33"/>
  <c r="B515" i="33"/>
  <c r="C511" i="33"/>
  <c r="C510" i="33"/>
  <c r="C509" i="33"/>
  <c r="B509" i="33"/>
  <c r="C508" i="33"/>
  <c r="B508" i="33"/>
  <c r="B507" i="33"/>
  <c r="C505" i="33"/>
  <c r="B505" i="33"/>
  <c r="C504" i="33"/>
  <c r="C503" i="33"/>
  <c r="B500" i="33"/>
  <c r="B499" i="33"/>
  <c r="C494" i="33"/>
  <c r="C493" i="33"/>
  <c r="C492" i="33"/>
  <c r="B492" i="33"/>
  <c r="C491" i="33"/>
  <c r="B491" i="33"/>
  <c r="B490" i="33"/>
  <c r="C489" i="33"/>
  <c r="C488" i="33"/>
  <c r="C487" i="33"/>
  <c r="C486" i="33"/>
  <c r="C477" i="33"/>
  <c r="C476" i="33"/>
  <c r="C475" i="33"/>
  <c r="B475" i="33"/>
  <c r="C474" i="33"/>
  <c r="B474" i="33"/>
  <c r="C473" i="33"/>
  <c r="B473" i="33"/>
  <c r="C472" i="33"/>
  <c r="B472" i="33"/>
  <c r="C471" i="33"/>
  <c r="C470" i="33"/>
  <c r="B467" i="33"/>
  <c r="C464" i="33"/>
  <c r="C461" i="33"/>
  <c r="B461" i="33"/>
  <c r="C460" i="33"/>
  <c r="C459" i="33"/>
  <c r="C458" i="33"/>
  <c r="B458" i="33"/>
  <c r="C457" i="33"/>
  <c r="B457" i="33"/>
  <c r="C456" i="33"/>
  <c r="B456" i="33"/>
  <c r="C455" i="33"/>
  <c r="C445" i="33"/>
  <c r="C444" i="33"/>
  <c r="C443" i="33"/>
  <c r="C442" i="33"/>
  <c r="C441" i="33"/>
  <c r="B441" i="33"/>
  <c r="C440" i="33"/>
  <c r="B440" i="33"/>
  <c r="C439" i="33"/>
  <c r="B439" i="33"/>
  <c r="C438" i="33"/>
  <c r="B434" i="33"/>
  <c r="B433" i="33"/>
  <c r="C429" i="33"/>
  <c r="C428" i="33"/>
  <c r="C427" i="33"/>
  <c r="C426" i="33"/>
  <c r="C425" i="33"/>
  <c r="C424" i="33"/>
  <c r="B424" i="33"/>
  <c r="C423" i="33"/>
  <c r="B423" i="33"/>
  <c r="B422" i="33"/>
  <c r="C413" i="33"/>
  <c r="C412" i="33"/>
  <c r="C411" i="33"/>
  <c r="C409" i="33"/>
  <c r="C408" i="33"/>
  <c r="C407" i="33"/>
  <c r="B407" i="33"/>
  <c r="C406" i="33"/>
  <c r="B406" i="33"/>
  <c r="B405" i="33"/>
  <c r="B401" i="33"/>
  <c r="C397" i="33"/>
  <c r="C396" i="33"/>
  <c r="C395" i="33"/>
  <c r="B395" i="33"/>
  <c r="C394" i="33"/>
  <c r="C392" i="33"/>
  <c r="C391" i="33"/>
  <c r="C390" i="33"/>
  <c r="B390" i="33"/>
  <c r="C389" i="33"/>
  <c r="B389" i="33"/>
  <c r="B388" i="33"/>
  <c r="C387" i="33"/>
  <c r="C384" i="33"/>
  <c r="C381" i="33"/>
  <c r="C380" i="33"/>
  <c r="C379" i="33"/>
  <c r="C378" i="33"/>
  <c r="C375" i="33"/>
  <c r="C374" i="33"/>
  <c r="C373" i="33"/>
  <c r="B373" i="33"/>
  <c r="C372" i="33"/>
  <c r="B372" i="33"/>
  <c r="B371" i="33"/>
  <c r="B368" i="33"/>
  <c r="C365" i="33"/>
  <c r="C364" i="33"/>
  <c r="C363" i="33"/>
  <c r="C362" i="33"/>
  <c r="C358" i="33"/>
  <c r="C357" i="33"/>
  <c r="C356" i="33"/>
  <c r="B356" i="33"/>
  <c r="C355" i="33"/>
  <c r="B355" i="33"/>
  <c r="B354" i="33"/>
  <c r="C349" i="33"/>
  <c r="C348" i="33"/>
  <c r="C347" i="33"/>
  <c r="C346" i="33"/>
  <c r="C341" i="33"/>
  <c r="C340" i="33"/>
  <c r="C339" i="33"/>
  <c r="B339" i="33"/>
  <c r="C338" i="33"/>
  <c r="B338" i="33"/>
  <c r="B337" i="33"/>
  <c r="B335" i="33"/>
  <c r="C333" i="33"/>
  <c r="C332" i="33"/>
  <c r="C331" i="33"/>
  <c r="C330" i="33"/>
  <c r="C324" i="33"/>
  <c r="C323" i="33"/>
  <c r="C322" i="33"/>
  <c r="B322" i="33"/>
  <c r="C321" i="33"/>
  <c r="B321" i="33"/>
  <c r="B320" i="33"/>
  <c r="C317" i="33"/>
  <c r="C316" i="33"/>
  <c r="C315" i="33"/>
  <c r="C314" i="33"/>
  <c r="C312" i="33"/>
  <c r="C307" i="33"/>
  <c r="C306" i="33"/>
  <c r="C305" i="33"/>
  <c r="B305" i="33"/>
  <c r="C304" i="33"/>
  <c r="B304" i="33"/>
  <c r="B303" i="33"/>
  <c r="B302" i="33"/>
  <c r="C301" i="33"/>
  <c r="C300" i="33"/>
  <c r="C299" i="33"/>
  <c r="C298" i="33"/>
  <c r="B296" i="33"/>
  <c r="C290" i="33"/>
  <c r="C289" i="33"/>
  <c r="C288" i="33"/>
  <c r="B288" i="33"/>
  <c r="C287" i="33"/>
  <c r="B287" i="33"/>
  <c r="B286" i="33"/>
  <c r="C285" i="33"/>
  <c r="C284" i="33"/>
  <c r="C283" i="33"/>
  <c r="C282" i="33"/>
  <c r="C276" i="33"/>
  <c r="C273" i="33"/>
  <c r="C272" i="33"/>
  <c r="C271" i="33"/>
  <c r="B271" i="33"/>
  <c r="C270" i="33"/>
  <c r="B270" i="33"/>
  <c r="C269" i="33"/>
  <c r="B269" i="33"/>
  <c r="C268" i="33"/>
  <c r="C267" i="33"/>
  <c r="C257" i="33"/>
  <c r="C256" i="33"/>
  <c r="C255" i="33"/>
  <c r="C254" i="33"/>
  <c r="B254" i="33"/>
  <c r="C253" i="33"/>
  <c r="B253" i="33"/>
  <c r="C252" i="33"/>
  <c r="B252" i="33"/>
  <c r="C251" i="33"/>
  <c r="C241" i="33"/>
  <c r="C240" i="33"/>
  <c r="C239" i="33"/>
  <c r="C238" i="33"/>
  <c r="C237" i="33"/>
  <c r="B237" i="33"/>
  <c r="C236" i="33"/>
  <c r="B236" i="33"/>
  <c r="C235" i="33"/>
  <c r="B235" i="33"/>
  <c r="C234" i="33"/>
  <c r="C225" i="33"/>
  <c r="C224" i="33"/>
  <c r="C223" i="33"/>
  <c r="C222" i="33"/>
  <c r="C221" i="33"/>
  <c r="C220" i="33"/>
  <c r="B220" i="33"/>
  <c r="C219" i="33"/>
  <c r="B219" i="33"/>
  <c r="C218" i="33"/>
  <c r="B218" i="33"/>
  <c r="C209" i="33"/>
  <c r="C208" i="33"/>
  <c r="C207" i="33"/>
  <c r="C206" i="33"/>
  <c r="C205" i="33"/>
  <c r="C204" i="33"/>
  <c r="C203" i="33"/>
  <c r="B203" i="33"/>
  <c r="C202" i="33"/>
  <c r="B202" i="33"/>
  <c r="B201" i="33"/>
  <c r="C193" i="33"/>
  <c r="C192" i="33"/>
  <c r="C191" i="33"/>
  <c r="C190" i="33"/>
  <c r="C188" i="33"/>
  <c r="C187" i="33"/>
  <c r="C186" i="33"/>
  <c r="B186" i="33"/>
  <c r="C185" i="33"/>
  <c r="B185" i="33"/>
  <c r="B184" i="33"/>
  <c r="C183" i="33"/>
  <c r="C180" i="33"/>
  <c r="C177" i="33"/>
  <c r="C176" i="33"/>
  <c r="C175" i="33"/>
  <c r="C171" i="33"/>
  <c r="C170" i="33"/>
  <c r="C169" i="33"/>
  <c r="B169" i="33"/>
  <c r="C168" i="33"/>
  <c r="B168" i="33"/>
  <c r="B167" i="33"/>
  <c r="C161" i="33"/>
  <c r="C159" i="33"/>
  <c r="C158" i="33"/>
  <c r="C154" i="33"/>
  <c r="C153" i="33"/>
  <c r="C152" i="33"/>
  <c r="B152" i="33"/>
  <c r="C151" i="33"/>
  <c r="B151" i="33"/>
  <c r="B150" i="33"/>
  <c r="C145" i="33"/>
  <c r="C144" i="33"/>
  <c r="C143" i="33"/>
  <c r="C142" i="33"/>
  <c r="C137" i="33"/>
  <c r="C136" i="33"/>
  <c r="C135" i="33"/>
  <c r="B135" i="33"/>
  <c r="C134" i="33"/>
  <c r="B134" i="33"/>
  <c r="B133" i="33"/>
  <c r="C129" i="33"/>
  <c r="C128" i="33"/>
  <c r="C127" i="33"/>
  <c r="C120" i="33"/>
  <c r="C119" i="33"/>
  <c r="C118" i="33"/>
  <c r="B118" i="33"/>
  <c r="C117" i="33"/>
  <c r="B117" i="33"/>
  <c r="C116" i="33"/>
  <c r="B116" i="33"/>
  <c r="C113" i="33"/>
  <c r="C112" i="33"/>
  <c r="C111" i="33"/>
  <c r="C110" i="33"/>
  <c r="C104" i="33"/>
  <c r="C103" i="33"/>
  <c r="C102" i="33"/>
  <c r="C101" i="33"/>
  <c r="B101" i="33"/>
  <c r="C100" i="33"/>
  <c r="B100" i="33"/>
  <c r="B99" i="33"/>
  <c r="C98" i="33"/>
  <c r="C97" i="33"/>
  <c r="C96" i="33"/>
  <c r="C86" i="33"/>
  <c r="C85" i="33"/>
  <c r="C84" i="33"/>
  <c r="B84" i="33"/>
  <c r="C83" i="33"/>
  <c r="B83" i="33"/>
  <c r="C82" i="33"/>
  <c r="B82" i="33"/>
  <c r="C81" i="33"/>
  <c r="C80" i="33"/>
  <c r="C70" i="33"/>
  <c r="C69" i="33"/>
  <c r="C68" i="33"/>
  <c r="C67" i="33"/>
  <c r="B67" i="33"/>
  <c r="C66" i="33"/>
  <c r="B66" i="33"/>
  <c r="C65" i="33"/>
  <c r="B65" i="33"/>
  <c r="C64" i="33"/>
  <c r="C54" i="33"/>
  <c r="C53" i="33"/>
  <c r="C52" i="33"/>
  <c r="C51" i="33"/>
  <c r="C50" i="33"/>
  <c r="B50" i="33"/>
  <c r="C49" i="33"/>
  <c r="B49" i="33"/>
  <c r="C48" i="33"/>
  <c r="B48" i="33"/>
  <c r="C47" i="33"/>
  <c r="C46" i="33"/>
  <c r="C41" i="33"/>
  <c r="C38" i="33"/>
  <c r="C37" i="33"/>
  <c r="C36" i="33"/>
  <c r="C35" i="33"/>
  <c r="C34" i="33"/>
  <c r="AZ67" i="31"/>
  <c r="AV67" i="31"/>
  <c r="AR67" i="31"/>
  <c r="AN67" i="31"/>
  <c r="AJ67" i="31"/>
  <c r="AF67" i="31"/>
  <c r="AB67" i="31"/>
  <c r="X67" i="31"/>
  <c r="T67" i="31"/>
  <c r="P67" i="31"/>
  <c r="L67" i="31"/>
  <c r="H67" i="31"/>
  <c r="E67" i="31"/>
  <c r="D67" i="31"/>
  <c r="BD66" i="31"/>
  <c r="BD65" i="31"/>
  <c r="BD64" i="31"/>
  <c r="BD63" i="31"/>
  <c r="BD62" i="31"/>
  <c r="BD61" i="31"/>
  <c r="BD60" i="31"/>
  <c r="BD59" i="31"/>
  <c r="BD58" i="31"/>
  <c r="BD57" i="31"/>
  <c r="BD56" i="31"/>
  <c r="BD55" i="31"/>
  <c r="BD54" i="31"/>
  <c r="BD53" i="31"/>
  <c r="BD52" i="31"/>
  <c r="BD51" i="31"/>
  <c r="BD50" i="31"/>
  <c r="BD49" i="31"/>
  <c r="BD48" i="31"/>
  <c r="BD47" i="31"/>
  <c r="BD46" i="31"/>
  <c r="BD45" i="31"/>
  <c r="BD44" i="31"/>
  <c r="BD43" i="31"/>
  <c r="BD42" i="31"/>
  <c r="BD41" i="31"/>
  <c r="BD40" i="31"/>
  <c r="BD39" i="31"/>
  <c r="BD38" i="31"/>
  <c r="BD37" i="31"/>
  <c r="BD36" i="31"/>
  <c r="BD35" i="31"/>
  <c r="BD34" i="31"/>
  <c r="BD33" i="31"/>
  <c r="BD32" i="31"/>
  <c r="BD31" i="31"/>
  <c r="BD30" i="31"/>
  <c r="BD29" i="31"/>
  <c r="BD28" i="31"/>
  <c r="BD27" i="31"/>
  <c r="BD26" i="31"/>
  <c r="BD25" i="31"/>
  <c r="BD24" i="31"/>
  <c r="BD23" i="31"/>
  <c r="BD22" i="31"/>
  <c r="BD21" i="31"/>
  <c r="BD20" i="31"/>
  <c r="BD19" i="31"/>
  <c r="BD18" i="31"/>
  <c r="BD17" i="31"/>
  <c r="BD16" i="31"/>
  <c r="BD15" i="31"/>
  <c r="BD14" i="31"/>
  <c r="BD13" i="31"/>
  <c r="BD12" i="31"/>
  <c r="BD11" i="31"/>
  <c r="BD10" i="31"/>
  <c r="BD9" i="31"/>
  <c r="BD8" i="31"/>
  <c r="BD7" i="31"/>
  <c r="BD6" i="31"/>
  <c r="BD5" i="31"/>
  <c r="BD4" i="31"/>
  <c r="BD3" i="31"/>
  <c r="BE67" i="30"/>
  <c r="AZ67" i="30"/>
  <c r="AV67" i="30"/>
  <c r="AR67" i="30"/>
  <c r="AN67" i="30"/>
  <c r="AJ67" i="30"/>
  <c r="AF67" i="30"/>
  <c r="AB67" i="30"/>
  <c r="X67" i="30"/>
  <c r="T67" i="30"/>
  <c r="P67" i="30"/>
  <c r="L67" i="30"/>
  <c r="H67" i="30"/>
  <c r="D67" i="30"/>
  <c r="E52" i="30"/>
  <c r="E37" i="30"/>
  <c r="E24" i="30"/>
  <c r="E7" i="30"/>
  <c r="AZ67" i="29"/>
  <c r="AV67" i="29"/>
  <c r="AR67" i="29"/>
  <c r="AN67" i="29"/>
  <c r="AJ67" i="29"/>
  <c r="AF67" i="29"/>
  <c r="AB67" i="29"/>
  <c r="X67" i="29"/>
  <c r="T67" i="29"/>
  <c r="P67" i="29"/>
  <c r="L67" i="29"/>
  <c r="H67" i="29"/>
  <c r="D67" i="29"/>
  <c r="BD66" i="29"/>
  <c r="BD65" i="29"/>
  <c r="BD64" i="29"/>
  <c r="BD63" i="29"/>
  <c r="BD62" i="29"/>
  <c r="BD61" i="29"/>
  <c r="BD60" i="29"/>
  <c r="BD59" i="29"/>
  <c r="BD58" i="29"/>
  <c r="BD57" i="29"/>
  <c r="BD56" i="29"/>
  <c r="BD55" i="29"/>
  <c r="BD54" i="29"/>
  <c r="BD53" i="29"/>
  <c r="BD52" i="29"/>
  <c r="E52" i="29"/>
  <c r="BD51" i="29"/>
  <c r="BD50" i="29"/>
  <c r="BD49" i="29"/>
  <c r="BD48" i="29"/>
  <c r="BD47" i="29"/>
  <c r="BD46" i="29"/>
  <c r="BD45" i="29"/>
  <c r="BD44" i="29"/>
  <c r="BD43" i="29"/>
  <c r="BD42" i="29"/>
  <c r="BD41" i="29"/>
  <c r="BD40" i="29"/>
  <c r="BD39" i="29"/>
  <c r="BD38" i="29"/>
  <c r="BD37" i="29"/>
  <c r="E37" i="29"/>
  <c r="BD36" i="29"/>
  <c r="BD35" i="29"/>
  <c r="BD34" i="29"/>
  <c r="BD33" i="29"/>
  <c r="BD32" i="29"/>
  <c r="BD31" i="29"/>
  <c r="BD30" i="29"/>
  <c r="BD29" i="29"/>
  <c r="BD28" i="29"/>
  <c r="BD27" i="29"/>
  <c r="BD26" i="29"/>
  <c r="BD25" i="29"/>
  <c r="BD24" i="29"/>
  <c r="AX24" i="29"/>
  <c r="E24" i="29"/>
  <c r="BD23" i="29"/>
  <c r="BD22" i="29"/>
  <c r="BD21" i="29"/>
  <c r="BD20" i="29"/>
  <c r="BD19" i="29"/>
  <c r="BD18" i="29"/>
  <c r="BD17" i="29"/>
  <c r="BD16" i="29"/>
  <c r="BD15" i="29"/>
  <c r="BD14" i="29"/>
  <c r="BD13" i="29"/>
  <c r="BD12" i="29"/>
  <c r="AX12" i="29"/>
  <c r="BD11" i="29"/>
  <c r="BD10" i="29"/>
  <c r="BD9" i="29"/>
  <c r="BD8" i="29"/>
  <c r="BD7" i="29"/>
  <c r="E7" i="29"/>
  <c r="BD6" i="29"/>
  <c r="BD5" i="29"/>
  <c r="BD4" i="29"/>
  <c r="E4" i="29"/>
  <c r="BD3" i="29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BC66" i="28"/>
  <c r="E65" i="37" s="1"/>
  <c r="AK66" i="28"/>
  <c r="BC65" i="28"/>
  <c r="E64" i="37" s="1"/>
  <c r="BC64" i="28"/>
  <c r="E63" i="37" s="1"/>
  <c r="BC63" i="28"/>
  <c r="E62" i="37" s="1"/>
  <c r="BC62" i="28"/>
  <c r="E61" i="37" s="1"/>
  <c r="BC61" i="28"/>
  <c r="E60" i="37" s="1"/>
  <c r="BC60" i="28"/>
  <c r="E59" i="37" s="1"/>
  <c r="BC59" i="28"/>
  <c r="E58" i="37" s="1"/>
  <c r="Y59" i="28"/>
  <c r="BC58" i="28"/>
  <c r="E57" i="37" s="1"/>
  <c r="BC57" i="28"/>
  <c r="E56" i="37" s="1"/>
  <c r="BC56" i="28"/>
  <c r="E55" i="37" s="1"/>
  <c r="AS56" i="28"/>
  <c r="BC55" i="28"/>
  <c r="E54" i="37" s="1"/>
  <c r="BC54" i="28"/>
  <c r="E53" i="37" s="1"/>
  <c r="AW54" i="28"/>
  <c r="AG54" i="28"/>
  <c r="BC53" i="28"/>
  <c r="E52" i="37" s="1"/>
  <c r="BC52" i="28"/>
  <c r="E51" i="37" s="1"/>
  <c r="BC51" i="28"/>
  <c r="E50" i="37" s="1"/>
  <c r="BC50" i="28"/>
  <c r="E49" i="37" s="1"/>
  <c r="BC49" i="28"/>
  <c r="E48" i="37" s="1"/>
  <c r="BC48" i="28"/>
  <c r="E47" i="37" s="1"/>
  <c r="BC47" i="28"/>
  <c r="E46" i="37" s="1"/>
  <c r="AK47" i="28"/>
  <c r="BC46" i="28"/>
  <c r="E45" i="37" s="1"/>
  <c r="BC45" i="28"/>
  <c r="E44" i="37" s="1"/>
  <c r="AK45" i="28"/>
  <c r="BC44" i="28"/>
  <c r="E43" i="37" s="1"/>
  <c r="BC43" i="28"/>
  <c r="E42" i="37" s="1"/>
  <c r="BC42" i="28"/>
  <c r="E41" i="37" s="1"/>
  <c r="BC41" i="28"/>
  <c r="E40" i="37" s="1"/>
  <c r="BC40" i="28"/>
  <c r="E39" i="37" s="1"/>
  <c r="BC39" i="28"/>
  <c r="E38" i="37" s="1"/>
  <c r="BC38" i="28"/>
  <c r="E37" i="37" s="1"/>
  <c r="AO38" i="28"/>
  <c r="BC37" i="28"/>
  <c r="E36" i="37" s="1"/>
  <c r="BC36" i="28"/>
  <c r="E35" i="37" s="1"/>
  <c r="AO36" i="28"/>
  <c r="Y36" i="28"/>
  <c r="BC35" i="28"/>
  <c r="E34" i="37" s="1"/>
  <c r="BC34" i="28"/>
  <c r="E33" i="37" s="1"/>
  <c r="BC33" i="28"/>
  <c r="E32" i="37" s="1"/>
  <c r="BC32" i="28"/>
  <c r="E31" i="37" s="1"/>
  <c r="BC31" i="28"/>
  <c r="E30" i="37" s="1"/>
  <c r="BC30" i="28"/>
  <c r="E29" i="37" s="1"/>
  <c r="BC29" i="28"/>
  <c r="E28" i="37" s="1"/>
  <c r="AW29" i="28"/>
  <c r="BC28" i="28"/>
  <c r="E27" i="37" s="1"/>
  <c r="AK28" i="28"/>
  <c r="BC27" i="28"/>
  <c r="E26" i="37" s="1"/>
  <c r="AW27" i="28"/>
  <c r="BC26" i="28"/>
  <c r="E25" i="37" s="1"/>
  <c r="AS26" i="28"/>
  <c r="BC25" i="28"/>
  <c r="E24" i="37" s="1"/>
  <c r="BC24" i="28"/>
  <c r="E23" i="37" s="1"/>
  <c r="AW24" i="28"/>
  <c r="BC23" i="28"/>
  <c r="E22" i="37" s="1"/>
  <c r="AW23" i="28"/>
  <c r="BC22" i="28"/>
  <c r="E21" i="37" s="1"/>
  <c r="AW22" i="28"/>
  <c r="BC21" i="28"/>
  <c r="E20" i="37" s="1"/>
  <c r="AW21" i="28"/>
  <c r="BC20" i="28"/>
  <c r="E19" i="37" s="1"/>
  <c r="AW20" i="28"/>
  <c r="BC19" i="28"/>
  <c r="E18" i="37" s="1"/>
  <c r="BC18" i="28"/>
  <c r="E17" i="37" s="1"/>
  <c r="AW18" i="28"/>
  <c r="BC17" i="28"/>
  <c r="E16" i="37" s="1"/>
  <c r="BC16" i="28"/>
  <c r="E15" i="37" s="1"/>
  <c r="AK16" i="28"/>
  <c r="BC15" i="28"/>
  <c r="E14" i="37" s="1"/>
  <c r="AW15" i="28"/>
  <c r="AK15" i="28"/>
  <c r="BC14" i="28"/>
  <c r="E13" i="37" s="1"/>
  <c r="AW14" i="28"/>
  <c r="AK14" i="28"/>
  <c r="BC13" i="28"/>
  <c r="E12" i="37" s="1"/>
  <c r="AW13" i="28"/>
  <c r="AK13" i="28"/>
  <c r="BC12" i="28"/>
  <c r="E11" i="37" s="1"/>
  <c r="AW12" i="28"/>
  <c r="BC11" i="28"/>
  <c r="E10" i="37" s="1"/>
  <c r="BC10" i="28"/>
  <c r="E9" i="37" s="1"/>
  <c r="BC9" i="28"/>
  <c r="E8" i="37" s="1"/>
  <c r="AW9" i="28"/>
  <c r="AS9" i="28"/>
  <c r="AG9" i="28"/>
  <c r="BC8" i="28"/>
  <c r="E7" i="37" s="1"/>
  <c r="AW8" i="28"/>
  <c r="BC7" i="28"/>
  <c r="E6" i="37" s="1"/>
  <c r="BC6" i="28"/>
  <c r="E5" i="37" s="1"/>
  <c r="BC5" i="28"/>
  <c r="E4" i="37" s="1"/>
  <c r="AS5" i="28"/>
  <c r="AG5" i="28"/>
  <c r="BC4" i="28"/>
  <c r="E3" i="37" s="1"/>
  <c r="BC3" i="28"/>
  <c r="D67" i="28"/>
  <c r="BG15" i="27"/>
  <c r="AF15" i="27"/>
  <c r="AD15" i="27"/>
  <c r="Z15" i="27"/>
  <c r="Y15" i="27"/>
  <c r="X15" i="27"/>
  <c r="W15" i="27"/>
  <c r="V15" i="27"/>
  <c r="U15" i="27"/>
  <c r="T15" i="27"/>
  <c r="S15" i="27"/>
  <c r="R15" i="27"/>
  <c r="Q15" i="27"/>
  <c r="N15" i="27"/>
  <c r="L15" i="27"/>
  <c r="K15" i="27"/>
  <c r="J15" i="27"/>
  <c r="I15" i="27"/>
  <c r="G15" i="27"/>
  <c r="E15" i="27"/>
  <c r="D15" i="27"/>
  <c r="C15" i="27"/>
  <c r="B15" i="27"/>
  <c r="BE14" i="27"/>
  <c r="BC14" i="27"/>
  <c r="BD14" i="27" s="1"/>
  <c r="BH13" i="27"/>
  <c r="BE13" i="27"/>
  <c r="BD13" i="27"/>
  <c r="BF13" i="27" s="1"/>
  <c r="T4" i="24" s="1"/>
  <c r="BH12" i="27"/>
  <c r="BE12" i="27"/>
  <c r="BD12" i="27"/>
  <c r="BF12" i="27" s="1"/>
  <c r="BC12" i="27"/>
  <c r="AF12" i="27"/>
  <c r="BE11" i="27"/>
  <c r="BD11" i="27"/>
  <c r="BH10" i="27"/>
  <c r="BF10" i="27"/>
  <c r="BE10" i="27"/>
  <c r="BD10" i="27"/>
  <c r="BH9" i="27"/>
  <c r="BF9" i="27"/>
  <c r="BE9" i="27"/>
  <c r="BD9" i="27"/>
  <c r="BC9" i="27"/>
  <c r="BF8" i="27"/>
  <c r="BE8" i="27"/>
  <c r="BD8" i="27"/>
  <c r="BH8" i="27" s="1"/>
  <c r="BH7" i="27"/>
  <c r="BF7" i="27"/>
  <c r="BE7" i="27"/>
  <c r="O7" i="27"/>
  <c r="BD7" i="27" s="1"/>
  <c r="BE6" i="27"/>
  <c r="BD6" i="27"/>
  <c r="BH6" i="27" s="1"/>
  <c r="BE5" i="27"/>
  <c r="BD5" i="27"/>
  <c r="BH4" i="27"/>
  <c r="BE4" i="27"/>
  <c r="BE15" i="27" s="1"/>
  <c r="BD4" i="27"/>
  <c r="BF4" i="27" s="1"/>
  <c r="BE3" i="27"/>
  <c r="O3" i="27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AW51" i="28" s="1"/>
  <c r="K49" i="26"/>
  <c r="K48" i="26"/>
  <c r="K47" i="26"/>
  <c r="K46" i="26"/>
  <c r="AW47" i="28" s="1"/>
  <c r="K45" i="26"/>
  <c r="K44" i="26"/>
  <c r="K43" i="26"/>
  <c r="K42" i="26"/>
  <c r="K41" i="26"/>
  <c r="K40" i="26"/>
  <c r="K39" i="26"/>
  <c r="K38" i="26"/>
  <c r="AW39" i="28" s="1"/>
  <c r="K37" i="26"/>
  <c r="K36" i="26"/>
  <c r="K35" i="26"/>
  <c r="K34" i="26"/>
  <c r="AW35" i="28" s="1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K6" i="26"/>
  <c r="K5" i="26"/>
  <c r="K4" i="26"/>
  <c r="K3" i="26"/>
  <c r="K2" i="26"/>
  <c r="AW3" i="28" s="1"/>
  <c r="O70" i="25"/>
  <c r="N70" i="25"/>
  <c r="M70" i="25"/>
  <c r="L70" i="25"/>
  <c r="H70" i="25"/>
  <c r="C70" i="25"/>
  <c r="I69" i="25"/>
  <c r="F69" i="25"/>
  <c r="G69" i="25" s="1"/>
  <c r="D69" i="25"/>
  <c r="E69" i="25" s="1"/>
  <c r="I68" i="25"/>
  <c r="D68" i="25"/>
  <c r="E68" i="25" s="1"/>
  <c r="I67" i="25"/>
  <c r="D67" i="25"/>
  <c r="E67" i="25" s="1"/>
  <c r="I66" i="25"/>
  <c r="D66" i="25"/>
  <c r="E66" i="25" s="1"/>
  <c r="F66" i="25" s="1"/>
  <c r="G66" i="25" s="1"/>
  <c r="I65" i="25"/>
  <c r="D65" i="25"/>
  <c r="E65" i="25" s="1"/>
  <c r="I64" i="25"/>
  <c r="D64" i="25"/>
  <c r="E64" i="25" s="1"/>
  <c r="I63" i="25"/>
  <c r="F63" i="25"/>
  <c r="G63" i="25" s="1"/>
  <c r="D63" i="25"/>
  <c r="E63" i="25" s="1"/>
  <c r="I62" i="25"/>
  <c r="D62" i="25"/>
  <c r="E62" i="25" s="1"/>
  <c r="I61" i="25"/>
  <c r="D61" i="25"/>
  <c r="E61" i="25" s="1"/>
  <c r="I60" i="25"/>
  <c r="E60" i="25"/>
  <c r="F60" i="25" s="1"/>
  <c r="G60" i="25" s="1"/>
  <c r="D60" i="25"/>
  <c r="I59" i="25"/>
  <c r="D59" i="25"/>
  <c r="E59" i="25" s="1"/>
  <c r="I58" i="25"/>
  <c r="D58" i="25"/>
  <c r="E58" i="25" s="1"/>
  <c r="I57" i="25"/>
  <c r="D57" i="25"/>
  <c r="E57" i="25" s="1"/>
  <c r="F57" i="25" s="1"/>
  <c r="G57" i="25" s="1"/>
  <c r="I56" i="25"/>
  <c r="D56" i="25"/>
  <c r="E56" i="25" s="1"/>
  <c r="I55" i="25"/>
  <c r="D55" i="25"/>
  <c r="E55" i="25" s="1"/>
  <c r="I54" i="25"/>
  <c r="F54" i="25"/>
  <c r="G54" i="25" s="1"/>
  <c r="E54" i="25"/>
  <c r="D54" i="25"/>
  <c r="I53" i="25"/>
  <c r="D53" i="25"/>
  <c r="E53" i="25" s="1"/>
  <c r="I52" i="25"/>
  <c r="D52" i="25"/>
  <c r="E52" i="25" s="1"/>
  <c r="I51" i="25"/>
  <c r="D51" i="25"/>
  <c r="E51" i="25" s="1"/>
  <c r="F51" i="25" s="1"/>
  <c r="G51" i="25" s="1"/>
  <c r="I50" i="25"/>
  <c r="D50" i="25"/>
  <c r="E50" i="25" s="1"/>
  <c r="I49" i="25"/>
  <c r="D49" i="25"/>
  <c r="E49" i="25" s="1"/>
  <c r="I48" i="25"/>
  <c r="E48" i="25"/>
  <c r="F48" i="25" s="1"/>
  <c r="G48" i="25" s="1"/>
  <c r="D48" i="25"/>
  <c r="I47" i="25"/>
  <c r="D47" i="25"/>
  <c r="E47" i="25" s="1"/>
  <c r="I46" i="25"/>
  <c r="E46" i="25"/>
  <c r="D46" i="25"/>
  <c r="I45" i="25"/>
  <c r="D45" i="25"/>
  <c r="E45" i="25" s="1"/>
  <c r="F45" i="25" s="1"/>
  <c r="G45" i="25" s="1"/>
  <c r="I44" i="25"/>
  <c r="D44" i="25"/>
  <c r="E44" i="25" s="1"/>
  <c r="I43" i="25"/>
  <c r="D43" i="25"/>
  <c r="E43" i="25" s="1"/>
  <c r="I42" i="25"/>
  <c r="F42" i="25"/>
  <c r="G42" i="25" s="1"/>
  <c r="E42" i="25"/>
  <c r="D42" i="25"/>
  <c r="I41" i="25"/>
  <c r="D41" i="25"/>
  <c r="E41" i="25" s="1"/>
  <c r="I40" i="25"/>
  <c r="E40" i="25"/>
  <c r="D40" i="25"/>
  <c r="I39" i="25"/>
  <c r="F39" i="25"/>
  <c r="G39" i="25" s="1"/>
  <c r="E39" i="25"/>
  <c r="D39" i="25"/>
  <c r="I38" i="25"/>
  <c r="D38" i="25"/>
  <c r="E38" i="25" s="1"/>
  <c r="I37" i="25"/>
  <c r="E37" i="25"/>
  <c r="D37" i="25"/>
  <c r="I36" i="25"/>
  <c r="D36" i="25"/>
  <c r="E36" i="25" s="1"/>
  <c r="F36" i="25" s="1"/>
  <c r="G36" i="25" s="1"/>
  <c r="I35" i="25"/>
  <c r="D35" i="25"/>
  <c r="E35" i="25" s="1"/>
  <c r="I34" i="25"/>
  <c r="D34" i="25"/>
  <c r="E34" i="25" s="1"/>
  <c r="I33" i="25"/>
  <c r="F33" i="25"/>
  <c r="G33" i="25" s="1"/>
  <c r="E33" i="25"/>
  <c r="D33" i="25"/>
  <c r="I32" i="25"/>
  <c r="D32" i="25"/>
  <c r="E32" i="25" s="1"/>
  <c r="I31" i="25"/>
  <c r="E31" i="25"/>
  <c r="D31" i="25"/>
  <c r="I30" i="25"/>
  <c r="E30" i="25"/>
  <c r="F30" i="25" s="1"/>
  <c r="G30" i="25" s="1"/>
  <c r="D30" i="25"/>
  <c r="I29" i="25"/>
  <c r="D29" i="25"/>
  <c r="E29" i="25" s="1"/>
  <c r="I28" i="25"/>
  <c r="D28" i="25"/>
  <c r="E28" i="25" s="1"/>
  <c r="I27" i="25"/>
  <c r="D27" i="25"/>
  <c r="E27" i="25" s="1"/>
  <c r="F27" i="25" s="1"/>
  <c r="G27" i="25" s="1"/>
  <c r="I26" i="25"/>
  <c r="D26" i="25"/>
  <c r="E26" i="25" s="1"/>
  <c r="I25" i="25"/>
  <c r="D25" i="25"/>
  <c r="E25" i="25" s="1"/>
  <c r="I24" i="25"/>
  <c r="F24" i="25"/>
  <c r="G24" i="25" s="1"/>
  <c r="E24" i="25"/>
  <c r="D24" i="25"/>
  <c r="I23" i="25"/>
  <c r="D23" i="25"/>
  <c r="E23" i="25" s="1"/>
  <c r="I22" i="25"/>
  <c r="E22" i="25"/>
  <c r="D22" i="25"/>
  <c r="I21" i="25"/>
  <c r="E21" i="25"/>
  <c r="F21" i="25" s="1"/>
  <c r="G21" i="25" s="1"/>
  <c r="D21" i="25"/>
  <c r="I20" i="25"/>
  <c r="D20" i="25"/>
  <c r="E20" i="25" s="1"/>
  <c r="I19" i="25"/>
  <c r="D19" i="25"/>
  <c r="E19" i="25" s="1"/>
  <c r="I18" i="25"/>
  <c r="D18" i="25"/>
  <c r="E18" i="25" s="1"/>
  <c r="F18" i="25" s="1"/>
  <c r="G18" i="25" s="1"/>
  <c r="I17" i="25"/>
  <c r="D17" i="25"/>
  <c r="E17" i="25" s="1"/>
  <c r="I16" i="25"/>
  <c r="D16" i="25"/>
  <c r="E16" i="25" s="1"/>
  <c r="I15" i="25"/>
  <c r="F15" i="25"/>
  <c r="G15" i="25" s="1"/>
  <c r="E15" i="25"/>
  <c r="D15" i="25"/>
  <c r="I14" i="25"/>
  <c r="D14" i="25"/>
  <c r="E14" i="25" s="1"/>
  <c r="I13" i="25"/>
  <c r="F13" i="25"/>
  <c r="G13" i="25" s="1"/>
  <c r="E13" i="25"/>
  <c r="D13" i="25"/>
  <c r="I12" i="25"/>
  <c r="G12" i="25"/>
  <c r="D12" i="25"/>
  <c r="E12" i="25" s="1"/>
  <c r="F12" i="25" s="1"/>
  <c r="I11" i="25"/>
  <c r="F11" i="25"/>
  <c r="G11" i="25" s="1"/>
  <c r="E11" i="25"/>
  <c r="D11" i="25"/>
  <c r="I10" i="25"/>
  <c r="F10" i="25"/>
  <c r="G10" i="25" s="1"/>
  <c r="E10" i="25"/>
  <c r="D10" i="25"/>
  <c r="I9" i="25"/>
  <c r="D9" i="25"/>
  <c r="E9" i="25" s="1"/>
  <c r="F9" i="25" s="1"/>
  <c r="G9" i="25" s="1"/>
  <c r="T8" i="25"/>
  <c r="I8" i="25"/>
  <c r="E8" i="25"/>
  <c r="F8" i="25" s="1"/>
  <c r="G8" i="25" s="1"/>
  <c r="D8" i="25"/>
  <c r="I7" i="25"/>
  <c r="D7" i="25"/>
  <c r="E7" i="25" s="1"/>
  <c r="I6" i="25"/>
  <c r="D6" i="25"/>
  <c r="T5" i="25"/>
  <c r="I5" i="25"/>
  <c r="I4" i="25"/>
  <c r="I3" i="25"/>
  <c r="O70" i="24"/>
  <c r="N70" i="24"/>
  <c r="M70" i="24"/>
  <c r="L70" i="24"/>
  <c r="H70" i="24"/>
  <c r="C70" i="24"/>
  <c r="F69" i="24" s="1"/>
  <c r="K69" i="24"/>
  <c r="I69" i="24"/>
  <c r="E69" i="24"/>
  <c r="D69" i="24"/>
  <c r="I68" i="24"/>
  <c r="F68" i="24"/>
  <c r="G68" i="24" s="1"/>
  <c r="E68" i="24"/>
  <c r="D68" i="24"/>
  <c r="I67" i="24"/>
  <c r="D67" i="24"/>
  <c r="E67" i="24" s="1"/>
  <c r="F67" i="24" s="1"/>
  <c r="G67" i="24" s="1"/>
  <c r="I66" i="24"/>
  <c r="F66" i="24"/>
  <c r="G66" i="24" s="1"/>
  <c r="E66" i="24"/>
  <c r="D66" i="24"/>
  <c r="I65" i="24"/>
  <c r="E65" i="24"/>
  <c r="F65" i="24" s="1"/>
  <c r="G65" i="24" s="1"/>
  <c r="D65" i="24"/>
  <c r="I64" i="24"/>
  <c r="E64" i="24"/>
  <c r="F64" i="24" s="1"/>
  <c r="G64" i="24" s="1"/>
  <c r="D64" i="24"/>
  <c r="I63" i="24"/>
  <c r="G63" i="24"/>
  <c r="F63" i="24"/>
  <c r="E63" i="24"/>
  <c r="D63" i="24"/>
  <c r="I62" i="24"/>
  <c r="D62" i="24"/>
  <c r="E62" i="24" s="1"/>
  <c r="F62" i="24" s="1"/>
  <c r="G62" i="24" s="1"/>
  <c r="I61" i="24"/>
  <c r="D61" i="24"/>
  <c r="E61" i="24" s="1"/>
  <c r="F61" i="24" s="1"/>
  <c r="G61" i="24" s="1"/>
  <c r="I60" i="24"/>
  <c r="G60" i="24"/>
  <c r="F60" i="24"/>
  <c r="E60" i="24"/>
  <c r="D60" i="24"/>
  <c r="I59" i="24"/>
  <c r="F59" i="24"/>
  <c r="G59" i="24" s="1"/>
  <c r="E59" i="24"/>
  <c r="D59" i="24"/>
  <c r="I58" i="24"/>
  <c r="D58" i="24"/>
  <c r="E58" i="24" s="1"/>
  <c r="F58" i="24" s="1"/>
  <c r="G58" i="24" s="1"/>
  <c r="I57" i="24"/>
  <c r="F57" i="24"/>
  <c r="G57" i="24" s="1"/>
  <c r="E57" i="24"/>
  <c r="D57" i="24"/>
  <c r="I56" i="24"/>
  <c r="E56" i="24"/>
  <c r="D56" i="24"/>
  <c r="I55" i="24"/>
  <c r="F55" i="24"/>
  <c r="G55" i="24" s="1"/>
  <c r="D55" i="24"/>
  <c r="E55" i="24" s="1"/>
  <c r="I54" i="24"/>
  <c r="F54" i="24"/>
  <c r="E54" i="24"/>
  <c r="D54" i="24"/>
  <c r="I53" i="24"/>
  <c r="D53" i="24"/>
  <c r="E53" i="24" s="1"/>
  <c r="F53" i="24" s="1"/>
  <c r="G53" i="24" s="1"/>
  <c r="I52" i="24"/>
  <c r="E52" i="24"/>
  <c r="F52" i="24" s="1"/>
  <c r="G52" i="24" s="1"/>
  <c r="D52" i="24"/>
  <c r="I51" i="24"/>
  <c r="F51" i="24"/>
  <c r="E51" i="24"/>
  <c r="D51" i="24"/>
  <c r="I50" i="24"/>
  <c r="E50" i="24"/>
  <c r="F50" i="24" s="1"/>
  <c r="G50" i="24" s="1"/>
  <c r="D50" i="24"/>
  <c r="I49" i="24"/>
  <c r="G49" i="24"/>
  <c r="E49" i="24"/>
  <c r="F49" i="24" s="1"/>
  <c r="D49" i="24"/>
  <c r="I48" i="24"/>
  <c r="F48" i="24"/>
  <c r="G48" i="24" s="1"/>
  <c r="E48" i="24"/>
  <c r="D48" i="24"/>
  <c r="K47" i="24"/>
  <c r="I47" i="24"/>
  <c r="D47" i="24"/>
  <c r="E47" i="24" s="1"/>
  <c r="F47" i="24" s="1"/>
  <c r="G47" i="24" s="1"/>
  <c r="I46" i="24"/>
  <c r="F46" i="24"/>
  <c r="G46" i="24" s="1"/>
  <c r="E46" i="24"/>
  <c r="D46" i="24"/>
  <c r="I45" i="24"/>
  <c r="D45" i="24"/>
  <c r="E45" i="24" s="1"/>
  <c r="I44" i="24"/>
  <c r="D44" i="24"/>
  <c r="E44" i="24" s="1"/>
  <c r="F44" i="24" s="1"/>
  <c r="G44" i="24" s="1"/>
  <c r="I43" i="24"/>
  <c r="D43" i="24"/>
  <c r="E43" i="24" s="1"/>
  <c r="F43" i="24" s="1"/>
  <c r="G43" i="24" s="1"/>
  <c r="I42" i="24"/>
  <c r="D42" i="24"/>
  <c r="E42" i="24" s="1"/>
  <c r="F42" i="24" s="1"/>
  <c r="G42" i="24" s="1"/>
  <c r="I41" i="24"/>
  <c r="D41" i="24"/>
  <c r="E41" i="24" s="1"/>
  <c r="F41" i="24" s="1"/>
  <c r="G41" i="24" s="1"/>
  <c r="I40" i="24"/>
  <c r="F40" i="24"/>
  <c r="G40" i="24" s="1"/>
  <c r="E40" i="24"/>
  <c r="D40" i="24"/>
  <c r="I39" i="24"/>
  <c r="D39" i="24"/>
  <c r="E39" i="24" s="1"/>
  <c r="F39" i="24" s="1"/>
  <c r="G39" i="24" s="1"/>
  <c r="I38" i="24"/>
  <c r="G38" i="24"/>
  <c r="F38" i="24"/>
  <c r="E38" i="24"/>
  <c r="D38" i="24"/>
  <c r="I37" i="24"/>
  <c r="F37" i="24"/>
  <c r="G37" i="24" s="1"/>
  <c r="E37" i="24"/>
  <c r="D37" i="24"/>
  <c r="K36" i="24"/>
  <c r="I36" i="24"/>
  <c r="D36" i="24"/>
  <c r="E36" i="24" s="1"/>
  <c r="F36" i="24" s="1"/>
  <c r="G36" i="24" s="1"/>
  <c r="I35" i="24"/>
  <c r="G35" i="24"/>
  <c r="F35" i="24"/>
  <c r="E35" i="24"/>
  <c r="D35" i="24"/>
  <c r="I34" i="24"/>
  <c r="F34" i="24"/>
  <c r="G34" i="24" s="1"/>
  <c r="E34" i="24"/>
  <c r="D34" i="24"/>
  <c r="K33" i="24"/>
  <c r="I33" i="24"/>
  <c r="D33" i="24"/>
  <c r="E33" i="24" s="1"/>
  <c r="F33" i="24" s="1"/>
  <c r="G33" i="24" s="1"/>
  <c r="I32" i="24"/>
  <c r="G32" i="24"/>
  <c r="E32" i="24"/>
  <c r="F32" i="24" s="1"/>
  <c r="D32" i="24"/>
  <c r="I31" i="24"/>
  <c r="F31" i="24"/>
  <c r="G31" i="24" s="1"/>
  <c r="E31" i="24"/>
  <c r="D31" i="24"/>
  <c r="K30" i="24"/>
  <c r="I30" i="24"/>
  <c r="D30" i="24"/>
  <c r="E30" i="24" s="1"/>
  <c r="F30" i="24" s="1"/>
  <c r="G30" i="24" s="1"/>
  <c r="I29" i="24"/>
  <c r="D29" i="24"/>
  <c r="E29" i="24" s="1"/>
  <c r="F29" i="24" s="1"/>
  <c r="G29" i="24" s="1"/>
  <c r="I28" i="24"/>
  <c r="F28" i="24"/>
  <c r="G28" i="24" s="1"/>
  <c r="E28" i="24"/>
  <c r="D28" i="24"/>
  <c r="K27" i="24"/>
  <c r="I27" i="24"/>
  <c r="D27" i="24"/>
  <c r="E27" i="24" s="1"/>
  <c r="F27" i="24" s="1"/>
  <c r="G27" i="24" s="1"/>
  <c r="I26" i="24"/>
  <c r="D26" i="24"/>
  <c r="E26" i="24" s="1"/>
  <c r="F26" i="24" s="1"/>
  <c r="G26" i="24" s="1"/>
  <c r="I25" i="24"/>
  <c r="F25" i="24"/>
  <c r="G25" i="24" s="1"/>
  <c r="E25" i="24"/>
  <c r="D25" i="24"/>
  <c r="I24" i="24"/>
  <c r="D24" i="24"/>
  <c r="E24" i="24" s="1"/>
  <c r="F24" i="24" s="1"/>
  <c r="G24" i="24" s="1"/>
  <c r="I23" i="24"/>
  <c r="D23" i="24"/>
  <c r="E23" i="24" s="1"/>
  <c r="F23" i="24" s="1"/>
  <c r="G23" i="24" s="1"/>
  <c r="I22" i="24"/>
  <c r="F22" i="24"/>
  <c r="G22" i="24" s="1"/>
  <c r="E22" i="24"/>
  <c r="D22" i="24"/>
  <c r="I21" i="24"/>
  <c r="E21" i="24"/>
  <c r="F21" i="24" s="1"/>
  <c r="G21" i="24" s="1"/>
  <c r="D21" i="24"/>
  <c r="T20" i="24"/>
  <c r="I20" i="24"/>
  <c r="D20" i="24"/>
  <c r="E20" i="24" s="1"/>
  <c r="F20" i="24" s="1"/>
  <c r="G20" i="24" s="1"/>
  <c r="I19" i="24"/>
  <c r="E19" i="24"/>
  <c r="F19" i="24" s="1"/>
  <c r="G19" i="24" s="1"/>
  <c r="D19" i="24"/>
  <c r="T18" i="24"/>
  <c r="T19" i="24" s="1"/>
  <c r="T21" i="24" s="1"/>
  <c r="I18" i="24"/>
  <c r="F18" i="24"/>
  <c r="G18" i="24" s="1"/>
  <c r="E18" i="24"/>
  <c r="D18" i="24"/>
  <c r="I17" i="24"/>
  <c r="D17" i="24"/>
  <c r="E17" i="24" s="1"/>
  <c r="F17" i="24" s="1"/>
  <c r="G17" i="24" s="1"/>
  <c r="I16" i="24"/>
  <c r="F16" i="24"/>
  <c r="G16" i="24" s="1"/>
  <c r="E16" i="24"/>
  <c r="D16" i="24"/>
  <c r="I15" i="24"/>
  <c r="F15" i="24"/>
  <c r="G15" i="24" s="1"/>
  <c r="E15" i="24"/>
  <c r="D15" i="24"/>
  <c r="I14" i="24"/>
  <c r="D14" i="24"/>
  <c r="E14" i="24" s="1"/>
  <c r="F14" i="24" s="1"/>
  <c r="G14" i="24" s="1"/>
  <c r="I13" i="24"/>
  <c r="F13" i="24"/>
  <c r="G13" i="24" s="1"/>
  <c r="E13" i="24"/>
  <c r="D13" i="24"/>
  <c r="I12" i="24"/>
  <c r="D12" i="24"/>
  <c r="E12" i="24" s="1"/>
  <c r="F12" i="24" s="1"/>
  <c r="G12" i="24" s="1"/>
  <c r="T11" i="24"/>
  <c r="K64" i="24" s="1"/>
  <c r="I11" i="24"/>
  <c r="D11" i="24"/>
  <c r="E11" i="24" s="1"/>
  <c r="F11" i="24" s="1"/>
  <c r="G11" i="24" s="1"/>
  <c r="I10" i="24"/>
  <c r="F10" i="24"/>
  <c r="G10" i="24" s="1"/>
  <c r="D10" i="24"/>
  <c r="E10" i="24" s="1"/>
  <c r="I9" i="24"/>
  <c r="E9" i="24"/>
  <c r="F9" i="24" s="1"/>
  <c r="G9" i="24" s="1"/>
  <c r="D9" i="24"/>
  <c r="T8" i="24"/>
  <c r="I8" i="24"/>
  <c r="F8" i="24"/>
  <c r="G8" i="24" s="1"/>
  <c r="E8" i="24"/>
  <c r="D8" i="24"/>
  <c r="K7" i="24"/>
  <c r="I7" i="24"/>
  <c r="D7" i="24"/>
  <c r="E7" i="24" s="1"/>
  <c r="F7" i="24" s="1"/>
  <c r="G7" i="24" s="1"/>
  <c r="I6" i="24"/>
  <c r="E6" i="24"/>
  <c r="D6" i="24"/>
  <c r="T5" i="24"/>
  <c r="G69" i="24" s="1"/>
  <c r="I5" i="24"/>
  <c r="I4" i="24"/>
  <c r="I3" i="24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AS10" i="28" s="1"/>
  <c r="K8" i="23"/>
  <c r="K7" i="23"/>
  <c r="K6" i="23"/>
  <c r="K5" i="23"/>
  <c r="K4" i="23"/>
  <c r="K3" i="23"/>
  <c r="K2" i="23"/>
  <c r="K65" i="22"/>
  <c r="K64" i="22"/>
  <c r="K63" i="22"/>
  <c r="K61" i="22"/>
  <c r="AP62" i="29" s="1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AP9" i="29" s="1"/>
  <c r="K7" i="22"/>
  <c r="K6" i="22"/>
  <c r="AP7" i="30" s="1"/>
  <c r="K5" i="22"/>
  <c r="K4" i="22"/>
  <c r="K3" i="22"/>
  <c r="K2" i="22"/>
  <c r="O70" i="21"/>
  <c r="N70" i="21"/>
  <c r="M70" i="21"/>
  <c r="L70" i="21"/>
  <c r="H70" i="21"/>
  <c r="C70" i="21"/>
  <c r="I69" i="21"/>
  <c r="F69" i="21"/>
  <c r="G69" i="21" s="1"/>
  <c r="E69" i="21"/>
  <c r="D69" i="21"/>
  <c r="I68" i="21"/>
  <c r="D68" i="21"/>
  <c r="E68" i="21" s="1"/>
  <c r="F68" i="21" s="1"/>
  <c r="G68" i="21" s="1"/>
  <c r="I67" i="21"/>
  <c r="E67" i="21"/>
  <c r="F67" i="21" s="1"/>
  <c r="D67" i="21"/>
  <c r="I66" i="21"/>
  <c r="G66" i="21"/>
  <c r="F66" i="21"/>
  <c r="E66" i="21"/>
  <c r="D66" i="21"/>
  <c r="I65" i="21"/>
  <c r="D65" i="21"/>
  <c r="E65" i="21" s="1"/>
  <c r="F65" i="21" s="1"/>
  <c r="G65" i="21" s="1"/>
  <c r="I64" i="21"/>
  <c r="E64" i="21"/>
  <c r="F64" i="21" s="1"/>
  <c r="G64" i="21" s="1"/>
  <c r="D64" i="21"/>
  <c r="I63" i="21"/>
  <c r="E63" i="21"/>
  <c r="F63" i="21" s="1"/>
  <c r="G63" i="21" s="1"/>
  <c r="J63" i="21" s="1"/>
  <c r="D63" i="21"/>
  <c r="I62" i="21"/>
  <c r="D62" i="21"/>
  <c r="E62" i="21" s="1"/>
  <c r="F62" i="21" s="1"/>
  <c r="G62" i="21" s="1"/>
  <c r="I61" i="21"/>
  <c r="E61" i="21"/>
  <c r="F61" i="21" s="1"/>
  <c r="G61" i="21" s="1"/>
  <c r="D61" i="21"/>
  <c r="I60" i="21"/>
  <c r="E60" i="21"/>
  <c r="F60" i="21" s="1"/>
  <c r="G60" i="21" s="1"/>
  <c r="D60" i="21"/>
  <c r="I59" i="21"/>
  <c r="D59" i="21"/>
  <c r="E59" i="21" s="1"/>
  <c r="F59" i="21" s="1"/>
  <c r="G59" i="21" s="1"/>
  <c r="I58" i="21"/>
  <c r="E58" i="21"/>
  <c r="F58" i="21" s="1"/>
  <c r="G58" i="21" s="1"/>
  <c r="D58" i="21"/>
  <c r="I57" i="21"/>
  <c r="E57" i="21"/>
  <c r="F57" i="21" s="1"/>
  <c r="G57" i="21" s="1"/>
  <c r="D57" i="21"/>
  <c r="I56" i="21"/>
  <c r="D56" i="21"/>
  <c r="E56" i="21" s="1"/>
  <c r="F56" i="21" s="1"/>
  <c r="I55" i="21"/>
  <c r="E55" i="21"/>
  <c r="F55" i="21" s="1"/>
  <c r="G55" i="21" s="1"/>
  <c r="J55" i="21" s="1"/>
  <c r="D55" i="21"/>
  <c r="I54" i="21"/>
  <c r="F54" i="21"/>
  <c r="G54" i="21" s="1"/>
  <c r="E54" i="21"/>
  <c r="D54" i="21"/>
  <c r="I53" i="21"/>
  <c r="D53" i="21"/>
  <c r="E53" i="21" s="1"/>
  <c r="F53" i="21" s="1"/>
  <c r="I52" i="21"/>
  <c r="E52" i="21"/>
  <c r="F52" i="21" s="1"/>
  <c r="G52" i="21" s="1"/>
  <c r="D52" i="21"/>
  <c r="I51" i="21"/>
  <c r="G51" i="21"/>
  <c r="F51" i="21"/>
  <c r="E51" i="21"/>
  <c r="D51" i="21"/>
  <c r="I50" i="21"/>
  <c r="D50" i="21"/>
  <c r="E50" i="21" s="1"/>
  <c r="F50" i="21" s="1"/>
  <c r="G50" i="21" s="1"/>
  <c r="I49" i="21"/>
  <c r="E49" i="21"/>
  <c r="F49" i="21" s="1"/>
  <c r="G49" i="21" s="1"/>
  <c r="D49" i="21"/>
  <c r="I48" i="21"/>
  <c r="F48" i="21"/>
  <c r="G48" i="21" s="1"/>
  <c r="E48" i="21"/>
  <c r="D48" i="21"/>
  <c r="I47" i="21"/>
  <c r="D47" i="21"/>
  <c r="E47" i="21" s="1"/>
  <c r="F47" i="21" s="1"/>
  <c r="G47" i="21" s="1"/>
  <c r="I46" i="21"/>
  <c r="E46" i="21"/>
  <c r="F46" i="21" s="1"/>
  <c r="G46" i="21" s="1"/>
  <c r="D46" i="21"/>
  <c r="I45" i="21"/>
  <c r="E45" i="21"/>
  <c r="F45" i="21" s="1"/>
  <c r="G45" i="21" s="1"/>
  <c r="D45" i="21"/>
  <c r="I44" i="21"/>
  <c r="D44" i="21"/>
  <c r="E44" i="21" s="1"/>
  <c r="F44" i="21" s="1"/>
  <c r="G44" i="21" s="1"/>
  <c r="I43" i="21"/>
  <c r="E43" i="21"/>
  <c r="F43" i="21" s="1"/>
  <c r="G43" i="21" s="1"/>
  <c r="D43" i="21"/>
  <c r="I42" i="21"/>
  <c r="E42" i="21"/>
  <c r="F42" i="21" s="1"/>
  <c r="G42" i="21" s="1"/>
  <c r="D42" i="21"/>
  <c r="I41" i="21"/>
  <c r="D41" i="21"/>
  <c r="E41" i="21" s="1"/>
  <c r="F41" i="21" s="1"/>
  <c r="G41" i="21" s="1"/>
  <c r="I40" i="21"/>
  <c r="E40" i="21"/>
  <c r="F40" i="21" s="1"/>
  <c r="G40" i="21" s="1"/>
  <c r="D40" i="21"/>
  <c r="I39" i="21"/>
  <c r="F39" i="21"/>
  <c r="G39" i="21" s="1"/>
  <c r="E39" i="21"/>
  <c r="D39" i="21"/>
  <c r="I38" i="21"/>
  <c r="D38" i="21"/>
  <c r="E38" i="21" s="1"/>
  <c r="F38" i="21" s="1"/>
  <c r="G38" i="21" s="1"/>
  <c r="I37" i="21"/>
  <c r="E37" i="21"/>
  <c r="F37" i="21" s="1"/>
  <c r="G37" i="21" s="1"/>
  <c r="D37" i="21"/>
  <c r="I36" i="21"/>
  <c r="E36" i="21"/>
  <c r="F36" i="21" s="1"/>
  <c r="G36" i="21" s="1"/>
  <c r="J36" i="21" s="1"/>
  <c r="D36" i="21"/>
  <c r="I35" i="21"/>
  <c r="D35" i="21"/>
  <c r="E35" i="21" s="1"/>
  <c r="F35" i="21" s="1"/>
  <c r="G35" i="21" s="1"/>
  <c r="I34" i="21"/>
  <c r="E34" i="21"/>
  <c r="F34" i="21" s="1"/>
  <c r="D34" i="21"/>
  <c r="I33" i="21"/>
  <c r="E33" i="21"/>
  <c r="F33" i="21" s="1"/>
  <c r="G33" i="21" s="1"/>
  <c r="D33" i="21"/>
  <c r="I32" i="21"/>
  <c r="D32" i="21"/>
  <c r="E32" i="21" s="1"/>
  <c r="F32" i="21" s="1"/>
  <c r="G32" i="21" s="1"/>
  <c r="I31" i="21"/>
  <c r="E31" i="21"/>
  <c r="F31" i="21" s="1"/>
  <c r="D31" i="21"/>
  <c r="I30" i="21"/>
  <c r="F30" i="21"/>
  <c r="G30" i="21" s="1"/>
  <c r="E30" i="21"/>
  <c r="D30" i="21"/>
  <c r="I29" i="21"/>
  <c r="D29" i="21"/>
  <c r="E29" i="21" s="1"/>
  <c r="F29" i="21" s="1"/>
  <c r="G29" i="21" s="1"/>
  <c r="J29" i="21" s="1"/>
  <c r="I28" i="21"/>
  <c r="E28" i="21"/>
  <c r="F28" i="21" s="1"/>
  <c r="G28" i="21" s="1"/>
  <c r="D28" i="21"/>
  <c r="I27" i="21"/>
  <c r="F27" i="21"/>
  <c r="G27" i="21" s="1"/>
  <c r="E27" i="21"/>
  <c r="D27" i="21"/>
  <c r="I26" i="21"/>
  <c r="D26" i="21"/>
  <c r="E26" i="21" s="1"/>
  <c r="F26" i="21" s="1"/>
  <c r="G26" i="21" s="1"/>
  <c r="I25" i="21"/>
  <c r="E25" i="21"/>
  <c r="F25" i="21" s="1"/>
  <c r="G25" i="21" s="1"/>
  <c r="D25" i="21"/>
  <c r="I24" i="21"/>
  <c r="F24" i="21"/>
  <c r="G24" i="21" s="1"/>
  <c r="J24" i="21" s="1"/>
  <c r="E24" i="21"/>
  <c r="D24" i="21"/>
  <c r="I23" i="21"/>
  <c r="D23" i="21"/>
  <c r="E23" i="21" s="1"/>
  <c r="F23" i="21" s="1"/>
  <c r="G23" i="21" s="1"/>
  <c r="I22" i="21"/>
  <c r="E22" i="21"/>
  <c r="F22" i="21" s="1"/>
  <c r="G22" i="21" s="1"/>
  <c r="D22" i="21"/>
  <c r="I21" i="21"/>
  <c r="E21" i="21"/>
  <c r="F21" i="21" s="1"/>
  <c r="G21" i="21" s="1"/>
  <c r="D21" i="21"/>
  <c r="T20" i="21"/>
  <c r="I20" i="21"/>
  <c r="D20" i="21"/>
  <c r="E20" i="21" s="1"/>
  <c r="F20" i="21" s="1"/>
  <c r="G20" i="21" s="1"/>
  <c r="T19" i="21"/>
  <c r="I19" i="21"/>
  <c r="E19" i="21"/>
  <c r="F19" i="21" s="1"/>
  <c r="G19" i="21" s="1"/>
  <c r="D19" i="21"/>
  <c r="T18" i="21"/>
  <c r="I18" i="21"/>
  <c r="E18" i="21"/>
  <c r="F18" i="21" s="1"/>
  <c r="D18" i="21"/>
  <c r="I17" i="21"/>
  <c r="E17" i="21"/>
  <c r="F17" i="21" s="1"/>
  <c r="G17" i="21" s="1"/>
  <c r="J17" i="21" s="1"/>
  <c r="D17" i="21"/>
  <c r="I16" i="21"/>
  <c r="F16" i="21"/>
  <c r="G16" i="21" s="1"/>
  <c r="E16" i="21"/>
  <c r="D16" i="21"/>
  <c r="I15" i="21"/>
  <c r="E15" i="21"/>
  <c r="F15" i="21" s="1"/>
  <c r="G15" i="21" s="1"/>
  <c r="D15" i="21"/>
  <c r="I14" i="21"/>
  <c r="E14" i="21"/>
  <c r="F14" i="21" s="1"/>
  <c r="G14" i="21" s="1"/>
  <c r="J14" i="21" s="1"/>
  <c r="D14" i="21"/>
  <c r="I13" i="21"/>
  <c r="D13" i="21"/>
  <c r="E13" i="21" s="1"/>
  <c r="F13" i="21" s="1"/>
  <c r="I12" i="21"/>
  <c r="F12" i="21"/>
  <c r="G12" i="21" s="1"/>
  <c r="E12" i="21"/>
  <c r="D12" i="21"/>
  <c r="I11" i="21"/>
  <c r="F11" i="21"/>
  <c r="G11" i="21" s="1"/>
  <c r="D11" i="21"/>
  <c r="E11" i="21" s="1"/>
  <c r="I10" i="21"/>
  <c r="E10" i="21"/>
  <c r="F10" i="21" s="1"/>
  <c r="G10" i="21" s="1"/>
  <c r="D10" i="21"/>
  <c r="T9" i="21"/>
  <c r="I9" i="21"/>
  <c r="E9" i="21"/>
  <c r="F9" i="21" s="1"/>
  <c r="G9" i="21" s="1"/>
  <c r="D9" i="21"/>
  <c r="T8" i="21"/>
  <c r="I8" i="21"/>
  <c r="E8" i="21"/>
  <c r="F8" i="21" s="1"/>
  <c r="G8" i="21" s="1"/>
  <c r="D8" i="21"/>
  <c r="I7" i="21"/>
  <c r="E7" i="21"/>
  <c r="D7" i="21"/>
  <c r="I6" i="21"/>
  <c r="F6" i="21"/>
  <c r="G6" i="21" s="1"/>
  <c r="E6" i="21"/>
  <c r="D6" i="21"/>
  <c r="T5" i="21"/>
  <c r="I5" i="21"/>
  <c r="I4" i="21"/>
  <c r="I3" i="21"/>
  <c r="K65" i="20"/>
  <c r="K64" i="20"/>
  <c r="K63" i="20"/>
  <c r="K62" i="20"/>
  <c r="K61" i="20"/>
  <c r="K60" i="20"/>
  <c r="K59" i="20"/>
  <c r="K58" i="20"/>
  <c r="K57" i="20"/>
  <c r="K56" i="20"/>
  <c r="K55" i="20"/>
  <c r="K54" i="20"/>
  <c r="AK55" i="28" s="1"/>
  <c r="K53" i="20"/>
  <c r="K52" i="20"/>
  <c r="AK53" i="28" s="1"/>
  <c r="K51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AK20" i="28" s="1"/>
  <c r="K18" i="20"/>
  <c r="AK19" i="28" s="1"/>
  <c r="K17" i="20"/>
  <c r="AK18" i="28" s="1"/>
  <c r="K16" i="20"/>
  <c r="AK17" i="28" s="1"/>
  <c r="K15" i="20"/>
  <c r="K14" i="20"/>
  <c r="K13" i="20"/>
  <c r="K12" i="20"/>
  <c r="K11" i="20"/>
  <c r="K10" i="20"/>
  <c r="K9" i="20"/>
  <c r="K8" i="20"/>
  <c r="K7" i="20"/>
  <c r="K6" i="20"/>
  <c r="AK7" i="28" s="1"/>
  <c r="K5" i="20"/>
  <c r="K4" i="20"/>
  <c r="K3" i="20"/>
  <c r="K2" i="20"/>
  <c r="O70" i="19"/>
  <c r="N70" i="19"/>
  <c r="M70" i="19"/>
  <c r="L70" i="19"/>
  <c r="H70" i="19"/>
  <c r="C70" i="19"/>
  <c r="I69" i="19"/>
  <c r="E69" i="19"/>
  <c r="F69" i="19" s="1"/>
  <c r="G69" i="19" s="1"/>
  <c r="J69" i="19" s="1"/>
  <c r="D69" i="19"/>
  <c r="I68" i="19"/>
  <c r="E68" i="19"/>
  <c r="F68" i="19" s="1"/>
  <c r="G68" i="19" s="1"/>
  <c r="D68" i="19"/>
  <c r="I67" i="19"/>
  <c r="F67" i="19"/>
  <c r="G67" i="19" s="1"/>
  <c r="E67" i="19"/>
  <c r="D67" i="19"/>
  <c r="I66" i="19"/>
  <c r="E66" i="19"/>
  <c r="F66" i="19" s="1"/>
  <c r="D66" i="19"/>
  <c r="I65" i="19"/>
  <c r="F65" i="19"/>
  <c r="G65" i="19" s="1"/>
  <c r="E65" i="19"/>
  <c r="D65" i="19"/>
  <c r="I64" i="19"/>
  <c r="F64" i="19"/>
  <c r="G64" i="19" s="1"/>
  <c r="E64" i="19"/>
  <c r="D64" i="19"/>
  <c r="J63" i="19"/>
  <c r="I63" i="19"/>
  <c r="E63" i="19"/>
  <c r="F63" i="19" s="1"/>
  <c r="G63" i="19" s="1"/>
  <c r="D63" i="19"/>
  <c r="I62" i="19"/>
  <c r="E62" i="19"/>
  <c r="F62" i="19" s="1"/>
  <c r="G62" i="19" s="1"/>
  <c r="D62" i="19"/>
  <c r="I61" i="19"/>
  <c r="F61" i="19"/>
  <c r="E61" i="19"/>
  <c r="D61" i="19"/>
  <c r="I60" i="19"/>
  <c r="E60" i="19"/>
  <c r="F60" i="19" s="1"/>
  <c r="G60" i="19" s="1"/>
  <c r="J60" i="19" s="1"/>
  <c r="D60" i="19"/>
  <c r="I59" i="19"/>
  <c r="D59" i="19"/>
  <c r="E59" i="19" s="1"/>
  <c r="F59" i="19" s="1"/>
  <c r="G59" i="19" s="1"/>
  <c r="I58" i="19"/>
  <c r="F58" i="19"/>
  <c r="G58" i="19" s="1"/>
  <c r="E58" i="19"/>
  <c r="D58" i="19"/>
  <c r="I57" i="19"/>
  <c r="E57" i="19"/>
  <c r="F57" i="19" s="1"/>
  <c r="D57" i="19"/>
  <c r="I56" i="19"/>
  <c r="D56" i="19"/>
  <c r="E56" i="19" s="1"/>
  <c r="F56" i="19" s="1"/>
  <c r="G56" i="19" s="1"/>
  <c r="J56" i="19" s="1"/>
  <c r="J55" i="19"/>
  <c r="I55" i="19"/>
  <c r="F55" i="19"/>
  <c r="G55" i="19" s="1"/>
  <c r="E55" i="19"/>
  <c r="D55" i="19"/>
  <c r="I54" i="19"/>
  <c r="E54" i="19"/>
  <c r="F54" i="19" s="1"/>
  <c r="G54" i="19" s="1"/>
  <c r="D54" i="19"/>
  <c r="I53" i="19"/>
  <c r="E53" i="19"/>
  <c r="F53" i="19" s="1"/>
  <c r="G53" i="19" s="1"/>
  <c r="J53" i="19" s="1"/>
  <c r="D53" i="19"/>
  <c r="I52" i="19"/>
  <c r="F52" i="19"/>
  <c r="E52" i="19"/>
  <c r="D52" i="19"/>
  <c r="I51" i="19"/>
  <c r="D51" i="19"/>
  <c r="E51" i="19" s="1"/>
  <c r="F51" i="19" s="1"/>
  <c r="G51" i="19" s="1"/>
  <c r="I50" i="19"/>
  <c r="D50" i="19"/>
  <c r="E50" i="19" s="1"/>
  <c r="F50" i="19" s="1"/>
  <c r="G50" i="19" s="1"/>
  <c r="I49" i="19"/>
  <c r="F49" i="19"/>
  <c r="G49" i="19" s="1"/>
  <c r="E49" i="19"/>
  <c r="D49" i="19"/>
  <c r="I48" i="19"/>
  <c r="E48" i="19"/>
  <c r="F48" i="19" s="1"/>
  <c r="D48" i="19"/>
  <c r="I47" i="19"/>
  <c r="D47" i="19"/>
  <c r="E47" i="19" s="1"/>
  <c r="F47" i="19" s="1"/>
  <c r="G47" i="19" s="1"/>
  <c r="J47" i="19" s="1"/>
  <c r="I46" i="19"/>
  <c r="F46" i="19"/>
  <c r="G46" i="19" s="1"/>
  <c r="E46" i="19"/>
  <c r="D46" i="19"/>
  <c r="I45" i="19"/>
  <c r="D45" i="19"/>
  <c r="E45" i="19" s="1"/>
  <c r="F45" i="19" s="1"/>
  <c r="G45" i="19" s="1"/>
  <c r="I44" i="19"/>
  <c r="G44" i="19"/>
  <c r="F44" i="19"/>
  <c r="E44" i="19"/>
  <c r="D44" i="19"/>
  <c r="I43" i="19"/>
  <c r="F43" i="19"/>
  <c r="E43" i="19"/>
  <c r="D43" i="19"/>
  <c r="I42" i="19"/>
  <c r="D42" i="19"/>
  <c r="E42" i="19" s="1"/>
  <c r="F42" i="19" s="1"/>
  <c r="G42" i="19" s="1"/>
  <c r="J42" i="19" s="1"/>
  <c r="I41" i="19"/>
  <c r="D41" i="19"/>
  <c r="E41" i="19" s="1"/>
  <c r="F41" i="19" s="1"/>
  <c r="G41" i="19" s="1"/>
  <c r="I40" i="19"/>
  <c r="F40" i="19"/>
  <c r="G40" i="19" s="1"/>
  <c r="E40" i="19"/>
  <c r="D40" i="19"/>
  <c r="I39" i="19"/>
  <c r="E39" i="19"/>
  <c r="F39" i="19" s="1"/>
  <c r="D39" i="19"/>
  <c r="I38" i="19"/>
  <c r="F38" i="19"/>
  <c r="G38" i="19" s="1"/>
  <c r="E38" i="19"/>
  <c r="D38" i="19"/>
  <c r="I37" i="19"/>
  <c r="F37" i="19"/>
  <c r="G37" i="19" s="1"/>
  <c r="E37" i="19"/>
  <c r="D37" i="19"/>
  <c r="I36" i="19"/>
  <c r="E36" i="19"/>
  <c r="F36" i="19" s="1"/>
  <c r="G36" i="19" s="1"/>
  <c r="J36" i="19" s="1"/>
  <c r="D36" i="19"/>
  <c r="I35" i="19"/>
  <c r="E35" i="19"/>
  <c r="F35" i="19" s="1"/>
  <c r="G35" i="19" s="1"/>
  <c r="D35" i="19"/>
  <c r="I34" i="19"/>
  <c r="F34" i="19"/>
  <c r="E34" i="19"/>
  <c r="D34" i="19"/>
  <c r="J33" i="19"/>
  <c r="I33" i="19"/>
  <c r="E33" i="19"/>
  <c r="F33" i="19" s="1"/>
  <c r="G33" i="19" s="1"/>
  <c r="D33" i="19"/>
  <c r="I32" i="19"/>
  <c r="D32" i="19"/>
  <c r="E32" i="19" s="1"/>
  <c r="F32" i="19" s="1"/>
  <c r="G32" i="19" s="1"/>
  <c r="I31" i="19"/>
  <c r="F31" i="19"/>
  <c r="G31" i="19" s="1"/>
  <c r="E31" i="19"/>
  <c r="D31" i="19"/>
  <c r="I30" i="19"/>
  <c r="E30" i="19"/>
  <c r="F30" i="19" s="1"/>
  <c r="D30" i="19"/>
  <c r="I29" i="19"/>
  <c r="E29" i="19"/>
  <c r="F29" i="19" s="1"/>
  <c r="G29" i="19" s="1"/>
  <c r="D29" i="19"/>
  <c r="I28" i="19"/>
  <c r="F28" i="19"/>
  <c r="G28" i="19" s="1"/>
  <c r="E28" i="19"/>
  <c r="D28" i="19"/>
  <c r="I27" i="19"/>
  <c r="E27" i="19"/>
  <c r="F27" i="19" s="1"/>
  <c r="G27" i="19" s="1"/>
  <c r="D27" i="19"/>
  <c r="I26" i="19"/>
  <c r="E26" i="19"/>
  <c r="F26" i="19" s="1"/>
  <c r="G26" i="19" s="1"/>
  <c r="J26" i="19" s="1"/>
  <c r="D26" i="19"/>
  <c r="I25" i="19"/>
  <c r="F25" i="19"/>
  <c r="E25" i="19"/>
  <c r="D25" i="19"/>
  <c r="I24" i="19"/>
  <c r="E24" i="19"/>
  <c r="F24" i="19" s="1"/>
  <c r="G24" i="19" s="1"/>
  <c r="J24" i="19" s="1"/>
  <c r="D24" i="19"/>
  <c r="I23" i="19"/>
  <c r="D23" i="19"/>
  <c r="E23" i="19" s="1"/>
  <c r="F23" i="19" s="1"/>
  <c r="G23" i="19" s="1"/>
  <c r="I22" i="19"/>
  <c r="F22" i="19"/>
  <c r="G22" i="19" s="1"/>
  <c r="E22" i="19"/>
  <c r="D22" i="19"/>
  <c r="I21" i="19"/>
  <c r="E21" i="19"/>
  <c r="F21" i="19" s="1"/>
  <c r="D21" i="19"/>
  <c r="I20" i="19"/>
  <c r="F20" i="19"/>
  <c r="G20" i="19" s="1"/>
  <c r="E20" i="19"/>
  <c r="D20" i="19"/>
  <c r="I19" i="19"/>
  <c r="D19" i="19"/>
  <c r="E19" i="19" s="1"/>
  <c r="F19" i="19" s="1"/>
  <c r="G19" i="19" s="1"/>
  <c r="T18" i="19"/>
  <c r="T19" i="19" s="1"/>
  <c r="I18" i="19"/>
  <c r="E18" i="19"/>
  <c r="F18" i="19" s="1"/>
  <c r="G18" i="19" s="1"/>
  <c r="D18" i="19"/>
  <c r="I17" i="19"/>
  <c r="G17" i="19"/>
  <c r="J17" i="19" s="1"/>
  <c r="D17" i="19"/>
  <c r="E17" i="19" s="1"/>
  <c r="F17" i="19" s="1"/>
  <c r="I16" i="19"/>
  <c r="E16" i="19"/>
  <c r="F16" i="19" s="1"/>
  <c r="G16" i="19" s="1"/>
  <c r="J16" i="19" s="1"/>
  <c r="D16" i="19"/>
  <c r="I15" i="19"/>
  <c r="E15" i="19"/>
  <c r="F15" i="19" s="1"/>
  <c r="G15" i="19" s="1"/>
  <c r="D15" i="19"/>
  <c r="I14" i="19"/>
  <c r="D14" i="19"/>
  <c r="E14" i="19" s="1"/>
  <c r="F14" i="19" s="1"/>
  <c r="I13" i="19"/>
  <c r="G13" i="19"/>
  <c r="J13" i="19" s="1"/>
  <c r="F13" i="19"/>
  <c r="E13" i="19"/>
  <c r="D13" i="19"/>
  <c r="I12" i="19"/>
  <c r="F12" i="19"/>
  <c r="E12" i="19"/>
  <c r="D12" i="19"/>
  <c r="I11" i="19"/>
  <c r="E11" i="19"/>
  <c r="F11" i="19" s="1"/>
  <c r="G11" i="19" s="1"/>
  <c r="J11" i="19" s="1"/>
  <c r="D11" i="19"/>
  <c r="I10" i="19"/>
  <c r="F10" i="19"/>
  <c r="G10" i="19" s="1"/>
  <c r="E10" i="19"/>
  <c r="D10" i="19"/>
  <c r="I9" i="19"/>
  <c r="E9" i="19"/>
  <c r="F9" i="19" s="1"/>
  <c r="G9" i="19" s="1"/>
  <c r="D9" i="19"/>
  <c r="T8" i="19"/>
  <c r="T9" i="19" s="1"/>
  <c r="J37" i="19" s="1"/>
  <c r="I8" i="19"/>
  <c r="E8" i="19"/>
  <c r="F8" i="19" s="1"/>
  <c r="G8" i="19" s="1"/>
  <c r="D8" i="19"/>
  <c r="I7" i="19"/>
  <c r="D7" i="19"/>
  <c r="E7" i="19" s="1"/>
  <c r="F7" i="19" s="1"/>
  <c r="G7" i="19" s="1"/>
  <c r="J7" i="19" s="1"/>
  <c r="I6" i="19"/>
  <c r="E6" i="19"/>
  <c r="D6" i="19"/>
  <c r="T5" i="19"/>
  <c r="G14" i="19" s="1"/>
  <c r="I5" i="19"/>
  <c r="I4" i="19"/>
  <c r="I3" i="19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AG31" i="28" s="1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O70" i="17"/>
  <c r="N70" i="17"/>
  <c r="M70" i="17"/>
  <c r="L70" i="17"/>
  <c r="H70" i="17"/>
  <c r="C70" i="17"/>
  <c r="F67" i="17" s="1"/>
  <c r="G67" i="17" s="1"/>
  <c r="J67" i="17" s="1"/>
  <c r="I69" i="17"/>
  <c r="E69" i="17"/>
  <c r="D69" i="17"/>
  <c r="I68" i="17"/>
  <c r="E68" i="17"/>
  <c r="D68" i="17"/>
  <c r="I67" i="17"/>
  <c r="D67" i="17"/>
  <c r="E67" i="17" s="1"/>
  <c r="I66" i="17"/>
  <c r="E66" i="17"/>
  <c r="D66" i="17"/>
  <c r="K65" i="17"/>
  <c r="I65" i="17"/>
  <c r="D65" i="17"/>
  <c r="E65" i="17" s="1"/>
  <c r="I64" i="17"/>
  <c r="E64" i="17"/>
  <c r="D64" i="17"/>
  <c r="I63" i="17"/>
  <c r="E63" i="17"/>
  <c r="D63" i="17"/>
  <c r="I62" i="17"/>
  <c r="E62" i="17"/>
  <c r="D62" i="17"/>
  <c r="I61" i="17"/>
  <c r="D61" i="17"/>
  <c r="E61" i="17" s="1"/>
  <c r="I60" i="17"/>
  <c r="E60" i="17"/>
  <c r="D60" i="17"/>
  <c r="K59" i="17"/>
  <c r="I59" i="17"/>
  <c r="D59" i="17"/>
  <c r="E59" i="17" s="1"/>
  <c r="I58" i="17"/>
  <c r="E58" i="17"/>
  <c r="D58" i="17"/>
  <c r="I57" i="17"/>
  <c r="E57" i="17"/>
  <c r="D57" i="17"/>
  <c r="I56" i="17"/>
  <c r="E56" i="17"/>
  <c r="D56" i="17"/>
  <c r="I55" i="17"/>
  <c r="F55" i="17"/>
  <c r="G55" i="17" s="1"/>
  <c r="J55" i="17" s="1"/>
  <c r="D55" i="17"/>
  <c r="E55" i="17" s="1"/>
  <c r="I54" i="17"/>
  <c r="E54" i="17"/>
  <c r="D54" i="17"/>
  <c r="K53" i="17"/>
  <c r="I53" i="17"/>
  <c r="D53" i="17"/>
  <c r="E53" i="17" s="1"/>
  <c r="I52" i="17"/>
  <c r="D52" i="17"/>
  <c r="E52" i="17" s="1"/>
  <c r="I51" i="17"/>
  <c r="E51" i="17"/>
  <c r="D51" i="17"/>
  <c r="I50" i="17"/>
  <c r="D50" i="17"/>
  <c r="E50" i="17" s="1"/>
  <c r="I49" i="17"/>
  <c r="D49" i="17"/>
  <c r="E49" i="17" s="1"/>
  <c r="F49" i="17" s="1"/>
  <c r="G49" i="17" s="1"/>
  <c r="J49" i="17" s="1"/>
  <c r="I48" i="17"/>
  <c r="E48" i="17"/>
  <c r="D48" i="17"/>
  <c r="K47" i="17"/>
  <c r="I47" i="17"/>
  <c r="D47" i="17"/>
  <c r="E47" i="17" s="1"/>
  <c r="I46" i="17"/>
  <c r="E46" i="17"/>
  <c r="D46" i="17"/>
  <c r="I45" i="17"/>
  <c r="E45" i="17"/>
  <c r="D45" i="17"/>
  <c r="I44" i="17"/>
  <c r="E44" i="17"/>
  <c r="D44" i="17"/>
  <c r="I43" i="17"/>
  <c r="F43" i="17"/>
  <c r="G43" i="17" s="1"/>
  <c r="J43" i="17" s="1"/>
  <c r="E43" i="17"/>
  <c r="D43" i="17"/>
  <c r="I42" i="17"/>
  <c r="E42" i="17"/>
  <c r="D42" i="17"/>
  <c r="K41" i="17"/>
  <c r="I41" i="17"/>
  <c r="E41" i="17"/>
  <c r="D41" i="17"/>
  <c r="I40" i="17"/>
  <c r="D40" i="17"/>
  <c r="E40" i="17" s="1"/>
  <c r="I39" i="17"/>
  <c r="E39" i="17"/>
  <c r="D39" i="17"/>
  <c r="I38" i="17"/>
  <c r="E38" i="17"/>
  <c r="D38" i="17"/>
  <c r="I37" i="17"/>
  <c r="F37" i="17"/>
  <c r="G37" i="17" s="1"/>
  <c r="J37" i="17" s="1"/>
  <c r="E37" i="17"/>
  <c r="D37" i="17"/>
  <c r="I36" i="17"/>
  <c r="E36" i="17"/>
  <c r="D36" i="17"/>
  <c r="K35" i="17"/>
  <c r="I35" i="17"/>
  <c r="E35" i="17"/>
  <c r="D35" i="17"/>
  <c r="I34" i="17"/>
  <c r="E34" i="17"/>
  <c r="D34" i="17"/>
  <c r="I33" i="17"/>
  <c r="E33" i="17"/>
  <c r="D33" i="17"/>
  <c r="I32" i="17"/>
  <c r="E32" i="17"/>
  <c r="D32" i="17"/>
  <c r="I31" i="17"/>
  <c r="E31" i="17"/>
  <c r="D31" i="17"/>
  <c r="I30" i="17"/>
  <c r="E30" i="17"/>
  <c r="D30" i="17"/>
  <c r="K29" i="17"/>
  <c r="I29" i="17"/>
  <c r="E29" i="17"/>
  <c r="D29" i="17"/>
  <c r="I28" i="17"/>
  <c r="E28" i="17"/>
  <c r="D28" i="17"/>
  <c r="I27" i="17"/>
  <c r="E27" i="17"/>
  <c r="D27" i="17"/>
  <c r="I26" i="17"/>
  <c r="E26" i="17"/>
  <c r="D26" i="17"/>
  <c r="I25" i="17"/>
  <c r="E25" i="17"/>
  <c r="D25" i="17"/>
  <c r="I24" i="17"/>
  <c r="E24" i="17"/>
  <c r="D24" i="17"/>
  <c r="K23" i="17"/>
  <c r="I23" i="17"/>
  <c r="E23" i="17"/>
  <c r="D23" i="17"/>
  <c r="I22" i="17"/>
  <c r="E22" i="17"/>
  <c r="D22" i="17"/>
  <c r="T21" i="17"/>
  <c r="K21" i="17"/>
  <c r="I21" i="17"/>
  <c r="E21" i="17"/>
  <c r="D21" i="17"/>
  <c r="I20" i="17"/>
  <c r="F20" i="17"/>
  <c r="G20" i="17" s="1"/>
  <c r="J20" i="17" s="1"/>
  <c r="E20" i="17"/>
  <c r="D20" i="17"/>
  <c r="T19" i="17"/>
  <c r="T20" i="17" s="1"/>
  <c r="I19" i="17"/>
  <c r="D19" i="17"/>
  <c r="E19" i="17" s="1"/>
  <c r="K18" i="17"/>
  <c r="I18" i="17"/>
  <c r="E18" i="17"/>
  <c r="D18" i="17"/>
  <c r="I17" i="17"/>
  <c r="D17" i="17"/>
  <c r="E17" i="17" s="1"/>
  <c r="I16" i="17"/>
  <c r="E16" i="17"/>
  <c r="D16" i="17"/>
  <c r="I15" i="17"/>
  <c r="E15" i="17"/>
  <c r="D15" i="17"/>
  <c r="K14" i="17"/>
  <c r="I14" i="17"/>
  <c r="E14" i="17"/>
  <c r="D14" i="17"/>
  <c r="K13" i="17"/>
  <c r="I13" i="17"/>
  <c r="D13" i="17"/>
  <c r="E13" i="17" s="1"/>
  <c r="F13" i="17" s="1"/>
  <c r="G13" i="17" s="1"/>
  <c r="J13" i="17" s="1"/>
  <c r="R13" i="17" s="1"/>
  <c r="I12" i="17"/>
  <c r="D12" i="17"/>
  <c r="E12" i="17" s="1"/>
  <c r="T11" i="17"/>
  <c r="K11" i="17"/>
  <c r="I11" i="17"/>
  <c r="E11" i="17"/>
  <c r="D11" i="17"/>
  <c r="I10" i="17"/>
  <c r="D10" i="17"/>
  <c r="E10" i="17" s="1"/>
  <c r="F10" i="17" s="1"/>
  <c r="G10" i="17" s="1"/>
  <c r="J10" i="17" s="1"/>
  <c r="K9" i="17"/>
  <c r="I9" i="17"/>
  <c r="E9" i="17"/>
  <c r="D9" i="17"/>
  <c r="T8" i="17"/>
  <c r="T9" i="17" s="1"/>
  <c r="K8" i="17"/>
  <c r="I8" i="17"/>
  <c r="D8" i="17"/>
  <c r="I7" i="17"/>
  <c r="F7" i="17"/>
  <c r="G7" i="17" s="1"/>
  <c r="J7" i="17" s="1"/>
  <c r="D7" i="17"/>
  <c r="E7" i="17" s="1"/>
  <c r="I6" i="17"/>
  <c r="E6" i="17"/>
  <c r="D6" i="17"/>
  <c r="T5" i="17"/>
  <c r="I5" i="17"/>
  <c r="T4" i="17"/>
  <c r="I4" i="17"/>
  <c r="I3" i="17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O70" i="15"/>
  <c r="N70" i="15"/>
  <c r="M70" i="15"/>
  <c r="L70" i="15"/>
  <c r="H70" i="15"/>
  <c r="C70" i="15"/>
  <c r="I69" i="15"/>
  <c r="D69" i="15"/>
  <c r="E69" i="15" s="1"/>
  <c r="K68" i="15"/>
  <c r="I68" i="15"/>
  <c r="D68" i="15"/>
  <c r="E68" i="15" s="1"/>
  <c r="I67" i="15"/>
  <c r="D67" i="15"/>
  <c r="E67" i="15" s="1"/>
  <c r="K66" i="15"/>
  <c r="I66" i="15"/>
  <c r="E66" i="15"/>
  <c r="D66" i="15"/>
  <c r="I65" i="15"/>
  <c r="D65" i="15"/>
  <c r="E65" i="15" s="1"/>
  <c r="I64" i="15"/>
  <c r="E64" i="15"/>
  <c r="D64" i="15"/>
  <c r="K63" i="15"/>
  <c r="I63" i="15"/>
  <c r="E63" i="15"/>
  <c r="D63" i="15"/>
  <c r="K62" i="15"/>
  <c r="I62" i="15"/>
  <c r="D62" i="15"/>
  <c r="E62" i="15" s="1"/>
  <c r="I61" i="15"/>
  <c r="E61" i="15"/>
  <c r="F61" i="15" s="1"/>
  <c r="G61" i="15" s="1"/>
  <c r="J61" i="15" s="1"/>
  <c r="D61" i="15"/>
  <c r="I60" i="15"/>
  <c r="D60" i="15"/>
  <c r="E60" i="15" s="1"/>
  <c r="K59" i="15"/>
  <c r="I59" i="15"/>
  <c r="G59" i="15"/>
  <c r="J59" i="15" s="1"/>
  <c r="R59" i="15" s="1"/>
  <c r="F59" i="15"/>
  <c r="D59" i="15"/>
  <c r="E59" i="15" s="1"/>
  <c r="I58" i="15"/>
  <c r="F58" i="15"/>
  <c r="G58" i="15" s="1"/>
  <c r="J58" i="15" s="1"/>
  <c r="D58" i="15"/>
  <c r="E58" i="15" s="1"/>
  <c r="K57" i="15"/>
  <c r="I57" i="15"/>
  <c r="F57" i="15"/>
  <c r="G57" i="15" s="1"/>
  <c r="D57" i="15"/>
  <c r="E57" i="15" s="1"/>
  <c r="I56" i="15"/>
  <c r="F56" i="15"/>
  <c r="G56" i="15" s="1"/>
  <c r="J56" i="15" s="1"/>
  <c r="E56" i="15"/>
  <c r="D56" i="15"/>
  <c r="K55" i="15"/>
  <c r="I55" i="15"/>
  <c r="E55" i="15"/>
  <c r="D55" i="15"/>
  <c r="K54" i="15"/>
  <c r="I54" i="15"/>
  <c r="F54" i="15"/>
  <c r="G54" i="15" s="1"/>
  <c r="J54" i="15" s="1"/>
  <c r="R54" i="15" s="1"/>
  <c r="D54" i="15"/>
  <c r="E54" i="15" s="1"/>
  <c r="I53" i="15"/>
  <c r="E53" i="15"/>
  <c r="D53" i="15"/>
  <c r="K52" i="15"/>
  <c r="I52" i="15"/>
  <c r="E52" i="15"/>
  <c r="D52" i="15"/>
  <c r="K51" i="15"/>
  <c r="I51" i="15"/>
  <c r="F51" i="15"/>
  <c r="G51" i="15" s="1"/>
  <c r="J51" i="15" s="1"/>
  <c r="R51" i="15" s="1"/>
  <c r="D51" i="15"/>
  <c r="E51" i="15" s="1"/>
  <c r="J50" i="15"/>
  <c r="I50" i="15"/>
  <c r="G50" i="15"/>
  <c r="E50" i="15"/>
  <c r="F50" i="15" s="1"/>
  <c r="D50" i="15"/>
  <c r="K49" i="15"/>
  <c r="I49" i="15"/>
  <c r="E49" i="15"/>
  <c r="D49" i="15"/>
  <c r="K48" i="15"/>
  <c r="I48" i="15"/>
  <c r="G48" i="15"/>
  <c r="J48" i="15" s="1"/>
  <c r="R48" i="15" s="1"/>
  <c r="F48" i="15"/>
  <c r="D48" i="15"/>
  <c r="E48" i="15" s="1"/>
  <c r="I47" i="15"/>
  <c r="E47" i="15"/>
  <c r="D47" i="15"/>
  <c r="K46" i="15"/>
  <c r="I46" i="15"/>
  <c r="E46" i="15"/>
  <c r="D46" i="15"/>
  <c r="K45" i="15"/>
  <c r="I45" i="15"/>
  <c r="F45" i="15"/>
  <c r="G45" i="15" s="1"/>
  <c r="J45" i="15" s="1"/>
  <c r="R45" i="15" s="1"/>
  <c r="D45" i="15"/>
  <c r="E45" i="15" s="1"/>
  <c r="I44" i="15"/>
  <c r="E44" i="15"/>
  <c r="F44" i="15" s="1"/>
  <c r="G44" i="15" s="1"/>
  <c r="J44" i="15" s="1"/>
  <c r="D44" i="15"/>
  <c r="K43" i="15"/>
  <c r="I43" i="15"/>
  <c r="E43" i="15"/>
  <c r="D43" i="15"/>
  <c r="K42" i="15"/>
  <c r="I42" i="15"/>
  <c r="G42" i="15"/>
  <c r="F42" i="15"/>
  <c r="D42" i="15"/>
  <c r="E42" i="15" s="1"/>
  <c r="I41" i="15"/>
  <c r="E41" i="15"/>
  <c r="D41" i="15"/>
  <c r="K40" i="15"/>
  <c r="I40" i="15"/>
  <c r="E40" i="15"/>
  <c r="D40" i="15"/>
  <c r="K39" i="15"/>
  <c r="I39" i="15"/>
  <c r="F39" i="15"/>
  <c r="G39" i="15" s="1"/>
  <c r="D39" i="15"/>
  <c r="E39" i="15" s="1"/>
  <c r="I38" i="15"/>
  <c r="E38" i="15"/>
  <c r="F38" i="15" s="1"/>
  <c r="G38" i="15" s="1"/>
  <c r="J38" i="15" s="1"/>
  <c r="D38" i="15"/>
  <c r="K37" i="15"/>
  <c r="I37" i="15"/>
  <c r="E37" i="15"/>
  <c r="D37" i="15"/>
  <c r="K36" i="15"/>
  <c r="I36" i="15"/>
  <c r="F36" i="15"/>
  <c r="G36" i="15" s="1"/>
  <c r="J36" i="15" s="1"/>
  <c r="R36" i="15" s="1"/>
  <c r="D36" i="15"/>
  <c r="E36" i="15" s="1"/>
  <c r="I35" i="15"/>
  <c r="E35" i="15"/>
  <c r="D35" i="15"/>
  <c r="K34" i="15"/>
  <c r="I34" i="15"/>
  <c r="E34" i="15"/>
  <c r="D34" i="15"/>
  <c r="K33" i="15"/>
  <c r="I33" i="15"/>
  <c r="F33" i="15"/>
  <c r="G33" i="15" s="1"/>
  <c r="J33" i="15" s="1"/>
  <c r="R33" i="15" s="1"/>
  <c r="D33" i="15"/>
  <c r="E33" i="15" s="1"/>
  <c r="I32" i="15"/>
  <c r="E32" i="15"/>
  <c r="F32" i="15" s="1"/>
  <c r="G32" i="15" s="1"/>
  <c r="J32" i="15" s="1"/>
  <c r="D32" i="15"/>
  <c r="K31" i="15"/>
  <c r="I31" i="15"/>
  <c r="E31" i="15"/>
  <c r="D31" i="15"/>
  <c r="K30" i="15"/>
  <c r="J30" i="15"/>
  <c r="R30" i="15" s="1"/>
  <c r="I30" i="15"/>
  <c r="G30" i="15"/>
  <c r="F30" i="15"/>
  <c r="D30" i="15"/>
  <c r="E30" i="15" s="1"/>
  <c r="I29" i="15"/>
  <c r="E29" i="15"/>
  <c r="D29" i="15"/>
  <c r="K28" i="15"/>
  <c r="I28" i="15"/>
  <c r="E28" i="15"/>
  <c r="D28" i="15"/>
  <c r="K27" i="15"/>
  <c r="I27" i="15"/>
  <c r="F27" i="15"/>
  <c r="G27" i="15" s="1"/>
  <c r="J27" i="15" s="1"/>
  <c r="R27" i="15" s="1"/>
  <c r="D27" i="15"/>
  <c r="E27" i="15" s="1"/>
  <c r="I26" i="15"/>
  <c r="E26" i="15"/>
  <c r="F26" i="15" s="1"/>
  <c r="G26" i="15" s="1"/>
  <c r="J26" i="15" s="1"/>
  <c r="D26" i="15"/>
  <c r="K25" i="15"/>
  <c r="I25" i="15"/>
  <c r="E25" i="15"/>
  <c r="D25" i="15"/>
  <c r="K24" i="15"/>
  <c r="I24" i="15"/>
  <c r="G24" i="15"/>
  <c r="F24" i="15"/>
  <c r="D24" i="15"/>
  <c r="E24" i="15" s="1"/>
  <c r="I23" i="15"/>
  <c r="E23" i="15"/>
  <c r="D23" i="15"/>
  <c r="K22" i="15"/>
  <c r="I22" i="15"/>
  <c r="E22" i="15"/>
  <c r="D22" i="15"/>
  <c r="K21" i="15"/>
  <c r="I21" i="15"/>
  <c r="F21" i="15"/>
  <c r="G21" i="15" s="1"/>
  <c r="D21" i="15"/>
  <c r="E21" i="15" s="1"/>
  <c r="I20" i="15"/>
  <c r="E20" i="15"/>
  <c r="F20" i="15" s="1"/>
  <c r="G20" i="15" s="1"/>
  <c r="J20" i="15" s="1"/>
  <c r="D20" i="15"/>
  <c r="K19" i="15"/>
  <c r="I19" i="15"/>
  <c r="E19" i="15"/>
  <c r="D19" i="15"/>
  <c r="T18" i="15"/>
  <c r="K18" i="15"/>
  <c r="I18" i="15"/>
  <c r="E18" i="15"/>
  <c r="D18" i="15"/>
  <c r="I17" i="15"/>
  <c r="D17" i="15"/>
  <c r="E17" i="15" s="1"/>
  <c r="F17" i="15" s="1"/>
  <c r="G17" i="15" s="1"/>
  <c r="J17" i="15" s="1"/>
  <c r="T16" i="15"/>
  <c r="T17" i="15" s="1"/>
  <c r="I16" i="15"/>
  <c r="F16" i="15"/>
  <c r="G16" i="15" s="1"/>
  <c r="E16" i="15"/>
  <c r="D16" i="15"/>
  <c r="K15" i="15"/>
  <c r="I15" i="15"/>
  <c r="D15" i="15"/>
  <c r="E15" i="15" s="1"/>
  <c r="K14" i="15"/>
  <c r="J14" i="15"/>
  <c r="I14" i="15"/>
  <c r="G14" i="15"/>
  <c r="F14" i="15"/>
  <c r="E14" i="15"/>
  <c r="D14" i="15"/>
  <c r="I13" i="15"/>
  <c r="D13" i="15"/>
  <c r="E13" i="15" s="1"/>
  <c r="K12" i="15"/>
  <c r="I12" i="15"/>
  <c r="D12" i="15"/>
  <c r="E12" i="15" s="1"/>
  <c r="T11" i="15"/>
  <c r="K11" i="15"/>
  <c r="I11" i="15"/>
  <c r="F11" i="15"/>
  <c r="G11" i="15" s="1"/>
  <c r="E11" i="15"/>
  <c r="D11" i="15"/>
  <c r="I10" i="15"/>
  <c r="F10" i="15"/>
  <c r="G10" i="15" s="1"/>
  <c r="J10" i="15" s="1"/>
  <c r="E10" i="15"/>
  <c r="D10" i="15"/>
  <c r="I9" i="15"/>
  <c r="D9" i="15"/>
  <c r="E9" i="15" s="1"/>
  <c r="F9" i="15" s="1"/>
  <c r="G9" i="15" s="1"/>
  <c r="T8" i="15"/>
  <c r="T9" i="15" s="1"/>
  <c r="J42" i="15" s="1"/>
  <c r="R42" i="15" s="1"/>
  <c r="K8" i="15"/>
  <c r="I8" i="15"/>
  <c r="D8" i="15"/>
  <c r="E8" i="15" s="1"/>
  <c r="K7" i="15"/>
  <c r="I7" i="15"/>
  <c r="D7" i="15"/>
  <c r="E7" i="15" s="1"/>
  <c r="F7" i="15" s="1"/>
  <c r="G7" i="15" s="1"/>
  <c r="J7" i="15" s="1"/>
  <c r="R7" i="15" s="1"/>
  <c r="I6" i="15"/>
  <c r="E6" i="15"/>
  <c r="D6" i="15"/>
  <c r="T5" i="15"/>
  <c r="J5" i="15"/>
  <c r="I5" i="15"/>
  <c r="T4" i="15"/>
  <c r="J4" i="15"/>
  <c r="I4" i="15"/>
  <c r="I3" i="15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Y52" i="28" s="1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Y34" i="28" s="1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O70" i="13"/>
  <c r="N70" i="13"/>
  <c r="M70" i="13"/>
  <c r="L70" i="13"/>
  <c r="H70" i="13"/>
  <c r="C70" i="13"/>
  <c r="F63" i="13" s="1"/>
  <c r="G63" i="13" s="1"/>
  <c r="J63" i="13" s="1"/>
  <c r="I69" i="13"/>
  <c r="D69" i="13"/>
  <c r="E69" i="13" s="1"/>
  <c r="I68" i="13"/>
  <c r="E68" i="13"/>
  <c r="D68" i="13"/>
  <c r="I67" i="13"/>
  <c r="D67" i="13"/>
  <c r="E67" i="13" s="1"/>
  <c r="I66" i="13"/>
  <c r="F66" i="13"/>
  <c r="G66" i="13" s="1"/>
  <c r="J66" i="13" s="1"/>
  <c r="D66" i="13"/>
  <c r="E66" i="13" s="1"/>
  <c r="I65" i="13"/>
  <c r="E65" i="13"/>
  <c r="D65" i="13"/>
  <c r="I64" i="13"/>
  <c r="D64" i="13"/>
  <c r="E64" i="13" s="1"/>
  <c r="F64" i="13" s="1"/>
  <c r="G64" i="13" s="1"/>
  <c r="J64" i="13" s="1"/>
  <c r="I63" i="13"/>
  <c r="D63" i="13"/>
  <c r="E63" i="13" s="1"/>
  <c r="I62" i="13"/>
  <c r="E62" i="13"/>
  <c r="D62" i="13"/>
  <c r="I61" i="13"/>
  <c r="E61" i="13"/>
  <c r="D61" i="13"/>
  <c r="I60" i="13"/>
  <c r="D60" i="13"/>
  <c r="E60" i="13" s="1"/>
  <c r="F60" i="13" s="1"/>
  <c r="G60" i="13" s="1"/>
  <c r="J60" i="13" s="1"/>
  <c r="I59" i="13"/>
  <c r="E59" i="13"/>
  <c r="D59" i="13"/>
  <c r="I58" i="13"/>
  <c r="D58" i="13"/>
  <c r="E58" i="13" s="1"/>
  <c r="F58" i="13" s="1"/>
  <c r="G58" i="13" s="1"/>
  <c r="J58" i="13" s="1"/>
  <c r="I57" i="13"/>
  <c r="F57" i="13"/>
  <c r="G57" i="13" s="1"/>
  <c r="J57" i="13" s="1"/>
  <c r="D57" i="13"/>
  <c r="E57" i="13" s="1"/>
  <c r="I56" i="13"/>
  <c r="E56" i="13"/>
  <c r="D56" i="13"/>
  <c r="I55" i="13"/>
  <c r="F55" i="13"/>
  <c r="G55" i="13" s="1"/>
  <c r="J55" i="13" s="1"/>
  <c r="E55" i="13"/>
  <c r="D55" i="13"/>
  <c r="I54" i="13"/>
  <c r="D54" i="13"/>
  <c r="E54" i="13" s="1"/>
  <c r="I53" i="13"/>
  <c r="E53" i="13"/>
  <c r="D53" i="13"/>
  <c r="I52" i="13"/>
  <c r="E52" i="13"/>
  <c r="D52" i="13"/>
  <c r="I51" i="13"/>
  <c r="F51" i="13"/>
  <c r="G51" i="13" s="1"/>
  <c r="J51" i="13" s="1"/>
  <c r="D51" i="13"/>
  <c r="E51" i="13" s="1"/>
  <c r="I50" i="13"/>
  <c r="E50" i="13"/>
  <c r="D50" i="13"/>
  <c r="I49" i="13"/>
  <c r="D49" i="13"/>
  <c r="E49" i="13" s="1"/>
  <c r="F49" i="13" s="1"/>
  <c r="G49" i="13" s="1"/>
  <c r="J49" i="13" s="1"/>
  <c r="I48" i="13"/>
  <c r="F48" i="13"/>
  <c r="G48" i="13" s="1"/>
  <c r="D48" i="13"/>
  <c r="E48" i="13" s="1"/>
  <c r="I47" i="13"/>
  <c r="E47" i="13"/>
  <c r="D47" i="13"/>
  <c r="I46" i="13"/>
  <c r="F46" i="13"/>
  <c r="G46" i="13" s="1"/>
  <c r="J46" i="13" s="1"/>
  <c r="E46" i="13"/>
  <c r="D46" i="13"/>
  <c r="I45" i="13"/>
  <c r="F45" i="13"/>
  <c r="G45" i="13" s="1"/>
  <c r="J45" i="13" s="1"/>
  <c r="D45" i="13"/>
  <c r="E45" i="13" s="1"/>
  <c r="I44" i="13"/>
  <c r="E44" i="13"/>
  <c r="D44" i="13"/>
  <c r="I43" i="13"/>
  <c r="F43" i="13"/>
  <c r="G43" i="13" s="1"/>
  <c r="J43" i="13" s="1"/>
  <c r="E43" i="13"/>
  <c r="D43" i="13"/>
  <c r="I42" i="13"/>
  <c r="F42" i="13"/>
  <c r="G42" i="13" s="1"/>
  <c r="D42" i="13"/>
  <c r="E42" i="13" s="1"/>
  <c r="I41" i="13"/>
  <c r="E41" i="13"/>
  <c r="D41" i="13"/>
  <c r="I40" i="13"/>
  <c r="D40" i="13"/>
  <c r="E40" i="13" s="1"/>
  <c r="F40" i="13" s="1"/>
  <c r="G40" i="13" s="1"/>
  <c r="I39" i="13"/>
  <c r="F39" i="13"/>
  <c r="G39" i="13" s="1"/>
  <c r="D39" i="13"/>
  <c r="E39" i="13" s="1"/>
  <c r="I38" i="13"/>
  <c r="E38" i="13"/>
  <c r="D38" i="13"/>
  <c r="I37" i="13"/>
  <c r="D37" i="13"/>
  <c r="E37" i="13" s="1"/>
  <c r="F37" i="13" s="1"/>
  <c r="G37" i="13" s="1"/>
  <c r="J37" i="13" s="1"/>
  <c r="I36" i="13"/>
  <c r="D36" i="13"/>
  <c r="E36" i="13" s="1"/>
  <c r="F36" i="13" s="1"/>
  <c r="G36" i="13" s="1"/>
  <c r="J36" i="13" s="1"/>
  <c r="I35" i="13"/>
  <c r="E35" i="13"/>
  <c r="D35" i="13"/>
  <c r="I34" i="13"/>
  <c r="E34" i="13"/>
  <c r="F34" i="13" s="1"/>
  <c r="G34" i="13" s="1"/>
  <c r="J34" i="13" s="1"/>
  <c r="D34" i="13"/>
  <c r="I33" i="13"/>
  <c r="F33" i="13"/>
  <c r="G33" i="13" s="1"/>
  <c r="D33" i="13"/>
  <c r="E33" i="13" s="1"/>
  <c r="I32" i="13"/>
  <c r="E32" i="13"/>
  <c r="D32" i="13"/>
  <c r="I31" i="13"/>
  <c r="D31" i="13"/>
  <c r="E31" i="13" s="1"/>
  <c r="F31" i="13" s="1"/>
  <c r="G31" i="13" s="1"/>
  <c r="J31" i="13" s="1"/>
  <c r="I30" i="13"/>
  <c r="D30" i="13"/>
  <c r="E30" i="13" s="1"/>
  <c r="F30" i="13" s="1"/>
  <c r="G30" i="13" s="1"/>
  <c r="J30" i="13" s="1"/>
  <c r="I29" i="13"/>
  <c r="E29" i="13"/>
  <c r="D29" i="13"/>
  <c r="I28" i="13"/>
  <c r="E28" i="13"/>
  <c r="F28" i="13" s="1"/>
  <c r="G28" i="13" s="1"/>
  <c r="J28" i="13" s="1"/>
  <c r="D28" i="13"/>
  <c r="I27" i="13"/>
  <c r="D27" i="13"/>
  <c r="E27" i="13" s="1"/>
  <c r="I26" i="13"/>
  <c r="E26" i="13"/>
  <c r="D26" i="13"/>
  <c r="I25" i="13"/>
  <c r="E25" i="13"/>
  <c r="D25" i="13"/>
  <c r="I24" i="13"/>
  <c r="D24" i="13"/>
  <c r="E24" i="13" s="1"/>
  <c r="F24" i="13" s="1"/>
  <c r="G24" i="13" s="1"/>
  <c r="J24" i="13" s="1"/>
  <c r="I23" i="13"/>
  <c r="E23" i="13"/>
  <c r="D23" i="13"/>
  <c r="I22" i="13"/>
  <c r="D22" i="13"/>
  <c r="I21" i="13"/>
  <c r="F21" i="13"/>
  <c r="G21" i="13" s="1"/>
  <c r="J21" i="13" s="1"/>
  <c r="D21" i="13"/>
  <c r="E21" i="13" s="1"/>
  <c r="T20" i="13"/>
  <c r="I20" i="13"/>
  <c r="D20" i="13"/>
  <c r="E20" i="13" s="1"/>
  <c r="T19" i="13"/>
  <c r="I19" i="13"/>
  <c r="G19" i="13"/>
  <c r="J19" i="13" s="1"/>
  <c r="F19" i="13"/>
  <c r="E19" i="13"/>
  <c r="D19" i="13"/>
  <c r="T18" i="13"/>
  <c r="I18" i="13"/>
  <c r="F18" i="13"/>
  <c r="G18" i="13" s="1"/>
  <c r="J18" i="13" s="1"/>
  <c r="E18" i="13"/>
  <c r="D18" i="13"/>
  <c r="I17" i="13"/>
  <c r="E17" i="13"/>
  <c r="D17" i="13"/>
  <c r="I16" i="13"/>
  <c r="F16" i="13"/>
  <c r="G16" i="13" s="1"/>
  <c r="J16" i="13" s="1"/>
  <c r="D16" i="13"/>
  <c r="E16" i="13" s="1"/>
  <c r="I15" i="13"/>
  <c r="E15" i="13"/>
  <c r="D15" i="13"/>
  <c r="I14" i="13"/>
  <c r="E14" i="13"/>
  <c r="D14" i="13"/>
  <c r="J13" i="13"/>
  <c r="I13" i="13"/>
  <c r="F13" i="13"/>
  <c r="G13" i="13" s="1"/>
  <c r="D13" i="13"/>
  <c r="E13" i="13" s="1"/>
  <c r="I12" i="13"/>
  <c r="D12" i="13"/>
  <c r="E12" i="13" s="1"/>
  <c r="F12" i="13" s="1"/>
  <c r="G12" i="13" s="1"/>
  <c r="J12" i="13" s="1"/>
  <c r="I11" i="13"/>
  <c r="D11" i="13"/>
  <c r="E11" i="13" s="1"/>
  <c r="I10" i="13"/>
  <c r="E10" i="13"/>
  <c r="D10" i="13"/>
  <c r="J9" i="13"/>
  <c r="I9" i="13"/>
  <c r="F9" i="13"/>
  <c r="G9" i="13" s="1"/>
  <c r="E9" i="13"/>
  <c r="D9" i="13"/>
  <c r="T8" i="13"/>
  <c r="T9" i="13" s="1"/>
  <c r="I8" i="13"/>
  <c r="G8" i="13"/>
  <c r="J8" i="13" s="1"/>
  <c r="F8" i="13"/>
  <c r="D8" i="13"/>
  <c r="E8" i="13" s="1"/>
  <c r="I7" i="13"/>
  <c r="D7" i="13"/>
  <c r="E7" i="13" s="1"/>
  <c r="I6" i="13"/>
  <c r="F6" i="13"/>
  <c r="G6" i="13" s="1"/>
  <c r="J6" i="13" s="1"/>
  <c r="E6" i="13"/>
  <c r="D6" i="13"/>
  <c r="T5" i="13"/>
  <c r="I5" i="13"/>
  <c r="I4" i="13"/>
  <c r="I3" i="13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O70" i="11"/>
  <c r="N70" i="11"/>
  <c r="M70" i="11"/>
  <c r="L70" i="11"/>
  <c r="H70" i="11"/>
  <c r="C70" i="11"/>
  <c r="F12" i="11" s="1"/>
  <c r="G12" i="11" s="1"/>
  <c r="J12" i="11" s="1"/>
  <c r="I69" i="11"/>
  <c r="E69" i="11"/>
  <c r="D69" i="11"/>
  <c r="I68" i="11"/>
  <c r="D68" i="11"/>
  <c r="E68" i="11" s="1"/>
  <c r="I67" i="11"/>
  <c r="D67" i="11"/>
  <c r="E67" i="11" s="1"/>
  <c r="I66" i="11"/>
  <c r="E66" i="11"/>
  <c r="D66" i="11"/>
  <c r="I65" i="11"/>
  <c r="D65" i="11"/>
  <c r="E65" i="11" s="1"/>
  <c r="I64" i="11"/>
  <c r="D64" i="11"/>
  <c r="E64" i="11" s="1"/>
  <c r="I63" i="11"/>
  <c r="D63" i="11"/>
  <c r="E63" i="11" s="1"/>
  <c r="K62" i="11"/>
  <c r="I62" i="11"/>
  <c r="D62" i="11"/>
  <c r="E62" i="11" s="1"/>
  <c r="I61" i="11"/>
  <c r="D61" i="11"/>
  <c r="E61" i="11" s="1"/>
  <c r="F61" i="11" s="1"/>
  <c r="G61" i="11" s="1"/>
  <c r="J61" i="11" s="1"/>
  <c r="I60" i="11"/>
  <c r="E60" i="11"/>
  <c r="D60" i="11"/>
  <c r="I59" i="11"/>
  <c r="D59" i="11"/>
  <c r="E59" i="11" s="1"/>
  <c r="I58" i="11"/>
  <c r="D58" i="11"/>
  <c r="E58" i="11" s="1"/>
  <c r="I57" i="11"/>
  <c r="E57" i="11"/>
  <c r="F57" i="11" s="1"/>
  <c r="G57" i="11" s="1"/>
  <c r="J57" i="11" s="1"/>
  <c r="D57" i="11"/>
  <c r="I56" i="11"/>
  <c r="D56" i="11"/>
  <c r="E56" i="11" s="1"/>
  <c r="I55" i="11"/>
  <c r="D55" i="11"/>
  <c r="E55" i="11" s="1"/>
  <c r="I54" i="11"/>
  <c r="E54" i="11"/>
  <c r="D54" i="11"/>
  <c r="K53" i="11"/>
  <c r="I53" i="11"/>
  <c r="D53" i="11"/>
  <c r="E53" i="11" s="1"/>
  <c r="I52" i="11"/>
  <c r="D52" i="11"/>
  <c r="E52" i="11" s="1"/>
  <c r="F52" i="11" s="1"/>
  <c r="G52" i="11" s="1"/>
  <c r="J52" i="11" s="1"/>
  <c r="I51" i="11"/>
  <c r="E51" i="11"/>
  <c r="D51" i="11"/>
  <c r="I50" i="11"/>
  <c r="D50" i="11"/>
  <c r="E50" i="11" s="1"/>
  <c r="I49" i="11"/>
  <c r="D49" i="11"/>
  <c r="E49" i="11" s="1"/>
  <c r="I48" i="11"/>
  <c r="E48" i="11"/>
  <c r="F48" i="11" s="1"/>
  <c r="G48" i="11" s="1"/>
  <c r="J48" i="11" s="1"/>
  <c r="D48" i="11"/>
  <c r="I47" i="11"/>
  <c r="D47" i="11"/>
  <c r="E47" i="11" s="1"/>
  <c r="I46" i="11"/>
  <c r="D46" i="11"/>
  <c r="E46" i="11" s="1"/>
  <c r="I45" i="11"/>
  <c r="D45" i="11"/>
  <c r="E45" i="11" s="1"/>
  <c r="I44" i="11"/>
  <c r="E44" i="11"/>
  <c r="D44" i="11"/>
  <c r="I43" i="11"/>
  <c r="F43" i="11"/>
  <c r="G43" i="11" s="1"/>
  <c r="J43" i="11" s="1"/>
  <c r="E43" i="11"/>
  <c r="D43" i="11"/>
  <c r="I42" i="11"/>
  <c r="D42" i="11"/>
  <c r="E42" i="11" s="1"/>
  <c r="I41" i="11"/>
  <c r="E41" i="11"/>
  <c r="D41" i="11"/>
  <c r="I40" i="11"/>
  <c r="E40" i="11"/>
  <c r="F40" i="11" s="1"/>
  <c r="G40" i="11" s="1"/>
  <c r="J40" i="11" s="1"/>
  <c r="D40" i="11"/>
  <c r="I39" i="11"/>
  <c r="D39" i="11"/>
  <c r="E39" i="11" s="1"/>
  <c r="I38" i="11"/>
  <c r="E38" i="11"/>
  <c r="D38" i="11"/>
  <c r="I37" i="11"/>
  <c r="E37" i="11"/>
  <c r="F37" i="11" s="1"/>
  <c r="G37" i="11" s="1"/>
  <c r="J37" i="11" s="1"/>
  <c r="D37" i="11"/>
  <c r="I36" i="11"/>
  <c r="D36" i="11"/>
  <c r="E36" i="11" s="1"/>
  <c r="I35" i="11"/>
  <c r="E35" i="11"/>
  <c r="D35" i="11"/>
  <c r="I34" i="11"/>
  <c r="F34" i="11"/>
  <c r="G34" i="11" s="1"/>
  <c r="D34" i="11"/>
  <c r="E34" i="11" s="1"/>
  <c r="I33" i="11"/>
  <c r="D33" i="11"/>
  <c r="E33" i="11" s="1"/>
  <c r="I32" i="11"/>
  <c r="E32" i="11"/>
  <c r="D32" i="11"/>
  <c r="I31" i="11"/>
  <c r="E31" i="11"/>
  <c r="F31" i="11" s="1"/>
  <c r="G31" i="11" s="1"/>
  <c r="J31" i="11" s="1"/>
  <c r="D31" i="11"/>
  <c r="I30" i="11"/>
  <c r="D30" i="11"/>
  <c r="E30" i="11" s="1"/>
  <c r="I29" i="11"/>
  <c r="E29" i="11"/>
  <c r="D29" i="11"/>
  <c r="I28" i="11"/>
  <c r="F28" i="11"/>
  <c r="G28" i="11" s="1"/>
  <c r="E28" i="11"/>
  <c r="D28" i="11"/>
  <c r="I27" i="11"/>
  <c r="D27" i="11"/>
  <c r="E27" i="11" s="1"/>
  <c r="I26" i="11"/>
  <c r="E26" i="11"/>
  <c r="D26" i="11"/>
  <c r="I25" i="11"/>
  <c r="G25" i="11"/>
  <c r="J25" i="11" s="1"/>
  <c r="F25" i="11"/>
  <c r="E25" i="11"/>
  <c r="D25" i="11"/>
  <c r="I24" i="11"/>
  <c r="D24" i="11"/>
  <c r="E24" i="11" s="1"/>
  <c r="I23" i="11"/>
  <c r="E23" i="11"/>
  <c r="D23" i="11"/>
  <c r="I22" i="11"/>
  <c r="D22" i="11"/>
  <c r="E22" i="11" s="1"/>
  <c r="F22" i="11" s="1"/>
  <c r="G22" i="11" s="1"/>
  <c r="J22" i="11" s="1"/>
  <c r="I21" i="11"/>
  <c r="D21" i="11"/>
  <c r="E21" i="11" s="1"/>
  <c r="I20" i="11"/>
  <c r="E20" i="11"/>
  <c r="D20" i="11"/>
  <c r="I19" i="11"/>
  <c r="E19" i="11"/>
  <c r="F19" i="11" s="1"/>
  <c r="G19" i="11" s="1"/>
  <c r="J19" i="11" s="1"/>
  <c r="D19" i="11"/>
  <c r="I18" i="11"/>
  <c r="D18" i="11"/>
  <c r="E18" i="11" s="1"/>
  <c r="T17" i="11"/>
  <c r="I17" i="11"/>
  <c r="D17" i="11"/>
  <c r="E17" i="11" s="1"/>
  <c r="T16" i="11"/>
  <c r="I16" i="11"/>
  <c r="D16" i="11"/>
  <c r="E16" i="11" s="1"/>
  <c r="I15" i="11"/>
  <c r="G15" i="11"/>
  <c r="J15" i="11" s="1"/>
  <c r="F15" i="11"/>
  <c r="E15" i="11"/>
  <c r="D15" i="11"/>
  <c r="I14" i="11"/>
  <c r="D14" i="11"/>
  <c r="E14" i="11" s="1"/>
  <c r="I13" i="11"/>
  <c r="D13" i="11"/>
  <c r="E13" i="11" s="1"/>
  <c r="I12" i="11"/>
  <c r="E12" i="11"/>
  <c r="D12" i="11"/>
  <c r="T11" i="11"/>
  <c r="I11" i="11"/>
  <c r="E11" i="11"/>
  <c r="D11" i="11"/>
  <c r="I10" i="11"/>
  <c r="E10" i="11"/>
  <c r="D10" i="11"/>
  <c r="T9" i="11"/>
  <c r="I9" i="11"/>
  <c r="F9" i="11"/>
  <c r="G9" i="11" s="1"/>
  <c r="J9" i="11" s="1"/>
  <c r="E9" i="11"/>
  <c r="D9" i="11"/>
  <c r="T8" i="11"/>
  <c r="I8" i="11"/>
  <c r="E8" i="11"/>
  <c r="D8" i="11"/>
  <c r="I7" i="11"/>
  <c r="D7" i="11"/>
  <c r="E7" i="11" s="1"/>
  <c r="I6" i="11"/>
  <c r="E6" i="11"/>
  <c r="D6" i="11"/>
  <c r="T5" i="11"/>
  <c r="I5" i="11"/>
  <c r="T4" i="11"/>
  <c r="I4" i="11"/>
  <c r="I3" i="11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BI50" i="8"/>
  <c r="BC50" i="8"/>
  <c r="AW50" i="8"/>
  <c r="AU50" i="8"/>
  <c r="Q50" i="8"/>
  <c r="O50" i="8"/>
  <c r="E50" i="8"/>
  <c r="D50" i="8"/>
  <c r="AM49" i="8"/>
  <c r="AD49" i="8"/>
  <c r="AC49" i="8"/>
  <c r="AI47" i="8"/>
  <c r="AE47" i="8"/>
  <c r="BK42" i="8"/>
  <c r="X42" i="8"/>
  <c r="AW41" i="8"/>
  <c r="AU41" i="8"/>
  <c r="D41" i="8"/>
  <c r="AY26" i="8"/>
  <c r="AW26" i="8"/>
  <c r="AN26" i="8"/>
  <c r="AM26" i="8"/>
  <c r="O26" i="8"/>
  <c r="M26" i="8"/>
  <c r="D26" i="8"/>
  <c r="C26" i="8"/>
  <c r="AO25" i="8"/>
  <c r="AF25" i="8"/>
  <c r="AE25" i="8"/>
  <c r="G25" i="8"/>
  <c r="BL23" i="8"/>
  <c r="BK23" i="8"/>
  <c r="AG23" i="8"/>
  <c r="AE23" i="8"/>
  <c r="AJ17" i="8"/>
  <c r="K17" i="8"/>
  <c r="B50" i="8"/>
  <c r="B49" i="8"/>
  <c r="BM49" i="8" s="1"/>
  <c r="B47" i="8"/>
  <c r="BA47" i="8" s="1"/>
  <c r="B42" i="8"/>
  <c r="W42" i="8" s="1"/>
  <c r="B41" i="8"/>
  <c r="B26" i="8"/>
  <c r="BE26" i="8" s="1"/>
  <c r="B25" i="8"/>
  <c r="B23" i="8"/>
  <c r="AT23" i="8" s="1"/>
  <c r="B18" i="8"/>
  <c r="AS18" i="8" s="1"/>
  <c r="B17" i="8"/>
  <c r="BG17" i="8" s="1"/>
  <c r="B11" i="8" a="1"/>
  <c r="B54" i="8" s="1"/>
  <c r="AA54" i="8" s="1"/>
  <c r="A57" i="8"/>
  <c r="A56" i="8"/>
  <c r="A54" i="8"/>
  <c r="A49" i="8"/>
  <c r="A48" i="8"/>
  <c r="A33" i="8"/>
  <c r="A32" i="8"/>
  <c r="A30" i="8"/>
  <c r="A25" i="8"/>
  <c r="A24" i="8"/>
  <c r="A11" i="8" a="1"/>
  <c r="BN10" i="8"/>
  <c r="BM10" i="8"/>
  <c r="BK10" i="8"/>
  <c r="BF10" i="8"/>
  <c r="BE10" i="8"/>
  <c r="AR10" i="8"/>
  <c r="AP10" i="8"/>
  <c r="AO10" i="8"/>
  <c r="AM10" i="8"/>
  <c r="AH10" i="8"/>
  <c r="AG10" i="8"/>
  <c r="T10" i="8"/>
  <c r="R10" i="8"/>
  <c r="Q10" i="8"/>
  <c r="O10" i="8"/>
  <c r="J10" i="8"/>
  <c r="I10" i="8"/>
  <c r="C10" i="8" a="1"/>
  <c r="AT10" i="8" s="1"/>
  <c r="C9" i="8" a="1"/>
  <c r="Z9" i="8" s="1"/>
  <c r="C9" i="8"/>
  <c r="AW8" i="8"/>
  <c r="AR8" i="8"/>
  <c r="AQ8" i="8"/>
  <c r="Y8" i="8"/>
  <c r="T8" i="8"/>
  <c r="S8" i="8"/>
  <c r="C8" i="8" a="1"/>
  <c r="BD8" i="8" s="1"/>
  <c r="BN7" i="8"/>
  <c r="BM7" i="8"/>
  <c r="BJ7" i="8"/>
  <c r="BI7" i="8"/>
  <c r="BH7" i="8"/>
  <c r="BG7" i="8"/>
  <c r="BF7" i="8"/>
  <c r="BE7" i="8"/>
  <c r="BD7" i="8"/>
  <c r="BB7" i="8"/>
  <c r="BA7" i="8"/>
  <c r="AZ7" i="8"/>
  <c r="AX7" i="8"/>
  <c r="AW7" i="8"/>
  <c r="AV7" i="8"/>
  <c r="AU7" i="8"/>
  <c r="AT7" i="8"/>
  <c r="AS7" i="8"/>
  <c r="AR7" i="8"/>
  <c r="AP7" i="8"/>
  <c r="AO7" i="8"/>
  <c r="AN7" i="8"/>
  <c r="AL7" i="8"/>
  <c r="AK7" i="8"/>
  <c r="AJ7" i="8"/>
  <c r="AI7" i="8"/>
  <c r="AH7" i="8"/>
  <c r="AG7" i="8"/>
  <c r="AF7" i="8"/>
  <c r="AD7" i="8"/>
  <c r="AC7" i="8"/>
  <c r="AB7" i="8"/>
  <c r="Z7" i="8"/>
  <c r="Y7" i="8"/>
  <c r="X7" i="8"/>
  <c r="W7" i="8"/>
  <c r="V7" i="8"/>
  <c r="U7" i="8"/>
  <c r="T7" i="8"/>
  <c r="R7" i="8"/>
  <c r="Q7" i="8"/>
  <c r="P7" i="8"/>
  <c r="N7" i="8"/>
  <c r="M7" i="8"/>
  <c r="L7" i="8"/>
  <c r="K7" i="8"/>
  <c r="J7" i="8"/>
  <c r="I7" i="8"/>
  <c r="H7" i="8"/>
  <c r="F7" i="8"/>
  <c r="E7" i="8"/>
  <c r="D7" i="8"/>
  <c r="C7" i="8" a="1"/>
  <c r="BC7" i="8" s="1"/>
  <c r="C7" i="8"/>
  <c r="BN5" i="8"/>
  <c r="BG5" i="8"/>
  <c r="BF5" i="8"/>
  <c r="BE5" i="8"/>
  <c r="BC5" i="8"/>
  <c r="BB5" i="8"/>
  <c r="AZ5" i="8"/>
  <c r="AU5" i="8"/>
  <c r="AT5" i="8"/>
  <c r="AS5" i="8"/>
  <c r="AQ5" i="8"/>
  <c r="AP5" i="8"/>
  <c r="AI5" i="8"/>
  <c r="AH5" i="8"/>
  <c r="AG5" i="8"/>
  <c r="AE5" i="8"/>
  <c r="AD5" i="8"/>
  <c r="AB5" i="8"/>
  <c r="W5" i="8"/>
  <c r="V5" i="8"/>
  <c r="U5" i="8"/>
  <c r="S5" i="8"/>
  <c r="R5" i="8"/>
  <c r="K5" i="8"/>
  <c r="J5" i="8"/>
  <c r="I5" i="8"/>
  <c r="G5" i="8"/>
  <c r="F5" i="8"/>
  <c r="D5" i="8"/>
  <c r="AO1" i="8"/>
  <c r="S1" i="8"/>
  <c r="C1" i="8" a="1"/>
  <c r="BH1" i="8" s="1"/>
  <c r="C1" i="8"/>
  <c r="O70" i="7"/>
  <c r="N70" i="7"/>
  <c r="M70" i="7"/>
  <c r="L70" i="7"/>
  <c r="H70" i="7"/>
  <c r="C70" i="7"/>
  <c r="I69" i="7"/>
  <c r="D69" i="7"/>
  <c r="E69" i="7" s="1"/>
  <c r="F69" i="7" s="1"/>
  <c r="G69" i="7" s="1"/>
  <c r="J69" i="7" s="1"/>
  <c r="I68" i="7"/>
  <c r="D68" i="7"/>
  <c r="E68" i="7" s="1"/>
  <c r="F68" i="7" s="1"/>
  <c r="G68" i="7" s="1"/>
  <c r="J68" i="7" s="1"/>
  <c r="I67" i="7"/>
  <c r="F67" i="7"/>
  <c r="G67" i="7" s="1"/>
  <c r="J67" i="7" s="1"/>
  <c r="E67" i="7"/>
  <c r="D67" i="7"/>
  <c r="I66" i="7"/>
  <c r="D66" i="7"/>
  <c r="E66" i="7" s="1"/>
  <c r="F66" i="7" s="1"/>
  <c r="G66" i="7" s="1"/>
  <c r="J66" i="7" s="1"/>
  <c r="J65" i="7"/>
  <c r="I65" i="7"/>
  <c r="D65" i="7"/>
  <c r="E65" i="7" s="1"/>
  <c r="F65" i="7" s="1"/>
  <c r="G65" i="7" s="1"/>
  <c r="I64" i="7"/>
  <c r="E64" i="7"/>
  <c r="F64" i="7" s="1"/>
  <c r="G64" i="7" s="1"/>
  <c r="J64" i="7" s="1"/>
  <c r="D64" i="7"/>
  <c r="I63" i="7"/>
  <c r="D63" i="7"/>
  <c r="E63" i="7" s="1"/>
  <c r="F63" i="7" s="1"/>
  <c r="G63" i="7" s="1"/>
  <c r="J63" i="7" s="1"/>
  <c r="I62" i="7"/>
  <c r="D62" i="7"/>
  <c r="E62" i="7" s="1"/>
  <c r="F62" i="7" s="1"/>
  <c r="G62" i="7" s="1"/>
  <c r="J62" i="7" s="1"/>
  <c r="I61" i="7"/>
  <c r="F61" i="7"/>
  <c r="G61" i="7" s="1"/>
  <c r="J61" i="7" s="1"/>
  <c r="E61" i="7"/>
  <c r="D61" i="7"/>
  <c r="I60" i="7"/>
  <c r="F60" i="7"/>
  <c r="G60" i="7" s="1"/>
  <c r="J60" i="7" s="1"/>
  <c r="E60" i="7"/>
  <c r="D60" i="7"/>
  <c r="I59" i="7"/>
  <c r="D59" i="7"/>
  <c r="E59" i="7" s="1"/>
  <c r="F59" i="7" s="1"/>
  <c r="G59" i="7" s="1"/>
  <c r="J59" i="7" s="1"/>
  <c r="I58" i="7"/>
  <c r="F58" i="7"/>
  <c r="G58" i="7" s="1"/>
  <c r="J58" i="7" s="1"/>
  <c r="E58" i="7"/>
  <c r="D58" i="7"/>
  <c r="I57" i="7"/>
  <c r="D57" i="7"/>
  <c r="E57" i="7" s="1"/>
  <c r="F57" i="7" s="1"/>
  <c r="G57" i="7" s="1"/>
  <c r="J57" i="7" s="1"/>
  <c r="I56" i="7"/>
  <c r="D56" i="7"/>
  <c r="E56" i="7" s="1"/>
  <c r="F56" i="7" s="1"/>
  <c r="G56" i="7" s="1"/>
  <c r="J56" i="7" s="1"/>
  <c r="I55" i="7"/>
  <c r="E55" i="7"/>
  <c r="F55" i="7" s="1"/>
  <c r="G55" i="7" s="1"/>
  <c r="J55" i="7" s="1"/>
  <c r="D55" i="7"/>
  <c r="I54" i="7"/>
  <c r="D54" i="7"/>
  <c r="E54" i="7" s="1"/>
  <c r="F54" i="7" s="1"/>
  <c r="G54" i="7" s="1"/>
  <c r="J54" i="7" s="1"/>
  <c r="I53" i="7"/>
  <c r="D53" i="7"/>
  <c r="E53" i="7" s="1"/>
  <c r="F53" i="7" s="1"/>
  <c r="G53" i="7" s="1"/>
  <c r="J53" i="7" s="1"/>
  <c r="I52" i="7"/>
  <c r="F52" i="7"/>
  <c r="G52" i="7" s="1"/>
  <c r="J52" i="7" s="1"/>
  <c r="E52" i="7"/>
  <c r="D52" i="7"/>
  <c r="I51" i="7"/>
  <c r="D51" i="7"/>
  <c r="E51" i="7" s="1"/>
  <c r="F51" i="7" s="1"/>
  <c r="G51" i="7" s="1"/>
  <c r="J51" i="7" s="1"/>
  <c r="I50" i="7"/>
  <c r="D50" i="7"/>
  <c r="E50" i="7" s="1"/>
  <c r="F50" i="7" s="1"/>
  <c r="G50" i="7" s="1"/>
  <c r="J50" i="7" s="1"/>
  <c r="I49" i="7"/>
  <c r="G49" i="7"/>
  <c r="F49" i="7"/>
  <c r="E49" i="7"/>
  <c r="D49" i="7"/>
  <c r="I48" i="7"/>
  <c r="D48" i="7"/>
  <c r="E48" i="7" s="1"/>
  <c r="F48" i="7" s="1"/>
  <c r="G48" i="7" s="1"/>
  <c r="J48" i="7" s="1"/>
  <c r="I47" i="7"/>
  <c r="D47" i="7"/>
  <c r="E47" i="7" s="1"/>
  <c r="F47" i="7" s="1"/>
  <c r="G47" i="7" s="1"/>
  <c r="J47" i="7" s="1"/>
  <c r="I46" i="7"/>
  <c r="E46" i="7"/>
  <c r="F46" i="7" s="1"/>
  <c r="G46" i="7" s="1"/>
  <c r="J46" i="7" s="1"/>
  <c r="D46" i="7"/>
  <c r="I45" i="7"/>
  <c r="D45" i="7"/>
  <c r="E45" i="7" s="1"/>
  <c r="F45" i="7" s="1"/>
  <c r="G45" i="7" s="1"/>
  <c r="J45" i="7" s="1"/>
  <c r="I44" i="7"/>
  <c r="D44" i="7"/>
  <c r="E44" i="7" s="1"/>
  <c r="F44" i="7" s="1"/>
  <c r="G44" i="7" s="1"/>
  <c r="J44" i="7" s="1"/>
  <c r="I43" i="7"/>
  <c r="F43" i="7"/>
  <c r="G43" i="7" s="1"/>
  <c r="J43" i="7" s="1"/>
  <c r="E43" i="7"/>
  <c r="D43" i="7"/>
  <c r="I42" i="7"/>
  <c r="D42" i="7"/>
  <c r="E42" i="7" s="1"/>
  <c r="F42" i="7" s="1"/>
  <c r="G42" i="7" s="1"/>
  <c r="J42" i="7" s="1"/>
  <c r="I41" i="7"/>
  <c r="D41" i="7"/>
  <c r="E41" i="7" s="1"/>
  <c r="F41" i="7" s="1"/>
  <c r="G41" i="7" s="1"/>
  <c r="J41" i="7" s="1"/>
  <c r="I40" i="7"/>
  <c r="F40" i="7"/>
  <c r="G40" i="7" s="1"/>
  <c r="J40" i="7" s="1"/>
  <c r="E40" i="7"/>
  <c r="D40" i="7"/>
  <c r="I39" i="7"/>
  <c r="D39" i="7"/>
  <c r="E39" i="7" s="1"/>
  <c r="F39" i="7" s="1"/>
  <c r="G39" i="7" s="1"/>
  <c r="J39" i="7" s="1"/>
  <c r="I38" i="7"/>
  <c r="D38" i="7"/>
  <c r="E38" i="7" s="1"/>
  <c r="F38" i="7" s="1"/>
  <c r="G38" i="7" s="1"/>
  <c r="J38" i="7" s="1"/>
  <c r="I37" i="7"/>
  <c r="E37" i="7"/>
  <c r="F37" i="7" s="1"/>
  <c r="G37" i="7" s="1"/>
  <c r="J37" i="7" s="1"/>
  <c r="D37" i="7"/>
  <c r="I36" i="7"/>
  <c r="D36" i="7"/>
  <c r="E36" i="7" s="1"/>
  <c r="F36" i="7" s="1"/>
  <c r="G36" i="7" s="1"/>
  <c r="J36" i="7" s="1"/>
  <c r="I35" i="7"/>
  <c r="D35" i="7"/>
  <c r="E35" i="7" s="1"/>
  <c r="F35" i="7" s="1"/>
  <c r="G35" i="7" s="1"/>
  <c r="J35" i="7" s="1"/>
  <c r="I34" i="7"/>
  <c r="F34" i="7"/>
  <c r="G34" i="7" s="1"/>
  <c r="J34" i="7" s="1"/>
  <c r="E34" i="7"/>
  <c r="D34" i="7"/>
  <c r="I33" i="7"/>
  <c r="E33" i="7"/>
  <c r="F33" i="7" s="1"/>
  <c r="G33" i="7" s="1"/>
  <c r="J33" i="7" s="1"/>
  <c r="D33" i="7"/>
  <c r="I32" i="7"/>
  <c r="D32" i="7"/>
  <c r="E32" i="7" s="1"/>
  <c r="F32" i="7" s="1"/>
  <c r="G32" i="7" s="1"/>
  <c r="J32" i="7" s="1"/>
  <c r="I31" i="7"/>
  <c r="G31" i="7"/>
  <c r="J31" i="7" s="1"/>
  <c r="F31" i="7"/>
  <c r="E31" i="7"/>
  <c r="D31" i="7"/>
  <c r="I30" i="7"/>
  <c r="D30" i="7"/>
  <c r="E30" i="7" s="1"/>
  <c r="F30" i="7" s="1"/>
  <c r="G30" i="7" s="1"/>
  <c r="J30" i="7" s="1"/>
  <c r="J29" i="7"/>
  <c r="I29" i="7"/>
  <c r="D29" i="7"/>
  <c r="E29" i="7" s="1"/>
  <c r="F29" i="7" s="1"/>
  <c r="G29" i="7" s="1"/>
  <c r="I28" i="7"/>
  <c r="E28" i="7"/>
  <c r="F28" i="7" s="1"/>
  <c r="G28" i="7" s="1"/>
  <c r="J28" i="7" s="1"/>
  <c r="D28" i="7"/>
  <c r="I27" i="7"/>
  <c r="D27" i="7"/>
  <c r="E27" i="7" s="1"/>
  <c r="F27" i="7" s="1"/>
  <c r="G27" i="7" s="1"/>
  <c r="J27" i="7" s="1"/>
  <c r="I26" i="7"/>
  <c r="D26" i="7"/>
  <c r="E26" i="7" s="1"/>
  <c r="F26" i="7" s="1"/>
  <c r="G26" i="7" s="1"/>
  <c r="J26" i="7" s="1"/>
  <c r="I25" i="7"/>
  <c r="F25" i="7"/>
  <c r="G25" i="7" s="1"/>
  <c r="J25" i="7" s="1"/>
  <c r="E25" i="7"/>
  <c r="D25" i="7"/>
  <c r="I24" i="7"/>
  <c r="D24" i="7"/>
  <c r="E24" i="7" s="1"/>
  <c r="F24" i="7" s="1"/>
  <c r="G24" i="7" s="1"/>
  <c r="J24" i="7" s="1"/>
  <c r="I23" i="7"/>
  <c r="D23" i="7"/>
  <c r="E23" i="7" s="1"/>
  <c r="F23" i="7" s="1"/>
  <c r="G23" i="7" s="1"/>
  <c r="J23" i="7" s="1"/>
  <c r="I22" i="7"/>
  <c r="G22" i="7"/>
  <c r="J22" i="7" s="1"/>
  <c r="F22" i="7"/>
  <c r="E22" i="7"/>
  <c r="D22" i="7"/>
  <c r="I21" i="7"/>
  <c r="D21" i="7"/>
  <c r="E21" i="7" s="1"/>
  <c r="F21" i="7" s="1"/>
  <c r="G21" i="7" s="1"/>
  <c r="J21" i="7" s="1"/>
  <c r="I20" i="7"/>
  <c r="D20" i="7"/>
  <c r="E20" i="7" s="1"/>
  <c r="F20" i="7" s="1"/>
  <c r="G20" i="7" s="1"/>
  <c r="J20" i="7" s="1"/>
  <c r="I19" i="7"/>
  <c r="E19" i="7"/>
  <c r="F19" i="7" s="1"/>
  <c r="G19" i="7" s="1"/>
  <c r="J19" i="7" s="1"/>
  <c r="D19" i="7"/>
  <c r="T18" i="7"/>
  <c r="I18" i="7"/>
  <c r="D18" i="7"/>
  <c r="E18" i="7" s="1"/>
  <c r="F18" i="7" s="1"/>
  <c r="G18" i="7" s="1"/>
  <c r="T17" i="7"/>
  <c r="I17" i="7"/>
  <c r="D17" i="7"/>
  <c r="E17" i="7" s="1"/>
  <c r="F17" i="7" s="1"/>
  <c r="G17" i="7" s="1"/>
  <c r="J17" i="7" s="1"/>
  <c r="I16" i="7"/>
  <c r="E16" i="7"/>
  <c r="F16" i="7" s="1"/>
  <c r="G16" i="7" s="1"/>
  <c r="J16" i="7" s="1"/>
  <c r="D16" i="7"/>
  <c r="I15" i="7"/>
  <c r="D15" i="7"/>
  <c r="E15" i="7" s="1"/>
  <c r="F15" i="7" s="1"/>
  <c r="G15" i="7" s="1"/>
  <c r="J15" i="7" s="1"/>
  <c r="I14" i="7"/>
  <c r="D14" i="7"/>
  <c r="E14" i="7" s="1"/>
  <c r="F14" i="7" s="1"/>
  <c r="G14" i="7" s="1"/>
  <c r="J14" i="7" s="1"/>
  <c r="I13" i="7"/>
  <c r="E13" i="7"/>
  <c r="F13" i="7" s="1"/>
  <c r="G13" i="7" s="1"/>
  <c r="J13" i="7" s="1"/>
  <c r="D13" i="7"/>
  <c r="J12" i="7"/>
  <c r="I12" i="7"/>
  <c r="E12" i="7"/>
  <c r="F12" i="7" s="1"/>
  <c r="G12" i="7" s="1"/>
  <c r="D12" i="7"/>
  <c r="I11" i="7"/>
  <c r="E11" i="7"/>
  <c r="F11" i="7" s="1"/>
  <c r="G11" i="7" s="1"/>
  <c r="J11" i="7" s="1"/>
  <c r="D11" i="7"/>
  <c r="I10" i="7"/>
  <c r="F10" i="7"/>
  <c r="G10" i="7" s="1"/>
  <c r="J10" i="7" s="1"/>
  <c r="E10" i="7"/>
  <c r="D10" i="7"/>
  <c r="I9" i="7"/>
  <c r="F9" i="7"/>
  <c r="G9" i="7" s="1"/>
  <c r="J9" i="7" s="1"/>
  <c r="E9" i="7"/>
  <c r="D9" i="7"/>
  <c r="T8" i="7"/>
  <c r="T9" i="7" s="1"/>
  <c r="I8" i="7"/>
  <c r="D8" i="7"/>
  <c r="E8" i="7" s="1"/>
  <c r="F8" i="7" s="1"/>
  <c r="G8" i="7" s="1"/>
  <c r="J8" i="7" s="1"/>
  <c r="I7" i="7"/>
  <c r="D7" i="7"/>
  <c r="E7" i="7" s="1"/>
  <c r="F7" i="7" s="1"/>
  <c r="G7" i="7" s="1"/>
  <c r="J7" i="7" s="1"/>
  <c r="I6" i="7"/>
  <c r="D6" i="7"/>
  <c r="E6" i="7" s="1"/>
  <c r="T5" i="7"/>
  <c r="I5" i="7"/>
  <c r="I4" i="7"/>
  <c r="I3" i="7"/>
  <c r="I70" i="7" s="1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P70" i="5"/>
  <c r="O70" i="5"/>
  <c r="N70" i="5"/>
  <c r="M70" i="5"/>
  <c r="L70" i="5"/>
  <c r="H70" i="5"/>
  <c r="C70" i="5"/>
  <c r="I69" i="5"/>
  <c r="D69" i="5"/>
  <c r="E69" i="5" s="1"/>
  <c r="F69" i="5" s="1"/>
  <c r="G69" i="5" s="1"/>
  <c r="J69" i="5" s="1"/>
  <c r="I68" i="5"/>
  <c r="D68" i="5"/>
  <c r="E68" i="5" s="1"/>
  <c r="I67" i="5"/>
  <c r="E67" i="5"/>
  <c r="D67" i="5"/>
  <c r="I66" i="5"/>
  <c r="E66" i="5"/>
  <c r="D66" i="5"/>
  <c r="I65" i="5"/>
  <c r="D65" i="5"/>
  <c r="E65" i="5" s="1"/>
  <c r="I64" i="5"/>
  <c r="E64" i="5"/>
  <c r="D64" i="5"/>
  <c r="I63" i="5"/>
  <c r="E63" i="5"/>
  <c r="F63" i="5" s="1"/>
  <c r="G63" i="5" s="1"/>
  <c r="J63" i="5" s="1"/>
  <c r="D63" i="5"/>
  <c r="I62" i="5"/>
  <c r="D62" i="5"/>
  <c r="E62" i="5" s="1"/>
  <c r="I61" i="5"/>
  <c r="D61" i="5"/>
  <c r="E61" i="5" s="1"/>
  <c r="I60" i="5"/>
  <c r="E60" i="5"/>
  <c r="D60" i="5"/>
  <c r="I59" i="5"/>
  <c r="D59" i="5"/>
  <c r="E59" i="5" s="1"/>
  <c r="I58" i="5"/>
  <c r="E58" i="5"/>
  <c r="D58" i="5"/>
  <c r="I57" i="5"/>
  <c r="D57" i="5"/>
  <c r="E57" i="5" s="1"/>
  <c r="F57" i="5" s="1"/>
  <c r="G57" i="5" s="1"/>
  <c r="J57" i="5" s="1"/>
  <c r="I56" i="5"/>
  <c r="D56" i="5"/>
  <c r="E56" i="5" s="1"/>
  <c r="I55" i="5"/>
  <c r="D55" i="5"/>
  <c r="E55" i="5" s="1"/>
  <c r="I54" i="5"/>
  <c r="E54" i="5"/>
  <c r="D54" i="5"/>
  <c r="I53" i="5"/>
  <c r="D53" i="5"/>
  <c r="E53" i="5" s="1"/>
  <c r="I52" i="5"/>
  <c r="E52" i="5"/>
  <c r="D52" i="5"/>
  <c r="I51" i="5"/>
  <c r="D51" i="5"/>
  <c r="E51" i="5" s="1"/>
  <c r="F51" i="5" s="1"/>
  <c r="G51" i="5" s="1"/>
  <c r="J51" i="5" s="1"/>
  <c r="I50" i="5"/>
  <c r="D50" i="5"/>
  <c r="E50" i="5" s="1"/>
  <c r="I49" i="5"/>
  <c r="E49" i="5"/>
  <c r="D49" i="5"/>
  <c r="I48" i="5"/>
  <c r="E48" i="5"/>
  <c r="D48" i="5"/>
  <c r="I47" i="5"/>
  <c r="D47" i="5"/>
  <c r="E47" i="5" s="1"/>
  <c r="F47" i="5" s="1"/>
  <c r="G47" i="5" s="1"/>
  <c r="J47" i="5" s="1"/>
  <c r="I46" i="5"/>
  <c r="D46" i="5"/>
  <c r="E46" i="5" s="1"/>
  <c r="I45" i="5"/>
  <c r="F45" i="5"/>
  <c r="G45" i="5" s="1"/>
  <c r="J45" i="5" s="1"/>
  <c r="E45" i="5"/>
  <c r="D45" i="5"/>
  <c r="I44" i="5"/>
  <c r="D44" i="5"/>
  <c r="E44" i="5" s="1"/>
  <c r="F44" i="5" s="1"/>
  <c r="G44" i="5" s="1"/>
  <c r="J44" i="5" s="1"/>
  <c r="I43" i="5"/>
  <c r="D43" i="5"/>
  <c r="E43" i="5" s="1"/>
  <c r="I42" i="5"/>
  <c r="D42" i="5"/>
  <c r="E42" i="5" s="1"/>
  <c r="F42" i="5" s="1"/>
  <c r="G42" i="5" s="1"/>
  <c r="J42" i="5" s="1"/>
  <c r="J41" i="5"/>
  <c r="I41" i="5"/>
  <c r="D41" i="5"/>
  <c r="E41" i="5" s="1"/>
  <c r="F41" i="5" s="1"/>
  <c r="G41" i="5" s="1"/>
  <c r="I40" i="5"/>
  <c r="D40" i="5"/>
  <c r="E40" i="5" s="1"/>
  <c r="I39" i="5"/>
  <c r="D39" i="5"/>
  <c r="E39" i="5" s="1"/>
  <c r="F39" i="5" s="1"/>
  <c r="G39" i="5" s="1"/>
  <c r="I38" i="5"/>
  <c r="D38" i="5"/>
  <c r="E38" i="5" s="1"/>
  <c r="F38" i="5" s="1"/>
  <c r="G38" i="5" s="1"/>
  <c r="J38" i="5" s="1"/>
  <c r="I37" i="5"/>
  <c r="D37" i="5"/>
  <c r="E37" i="5" s="1"/>
  <c r="I36" i="5"/>
  <c r="E36" i="5"/>
  <c r="D36" i="5"/>
  <c r="I35" i="5"/>
  <c r="D35" i="5"/>
  <c r="E35" i="5" s="1"/>
  <c r="F35" i="5" s="1"/>
  <c r="G35" i="5" s="1"/>
  <c r="J35" i="5" s="1"/>
  <c r="I34" i="5"/>
  <c r="D34" i="5"/>
  <c r="E34" i="5" s="1"/>
  <c r="I33" i="5"/>
  <c r="E33" i="5"/>
  <c r="F33" i="5" s="1"/>
  <c r="G33" i="5" s="1"/>
  <c r="J33" i="5" s="1"/>
  <c r="D33" i="5"/>
  <c r="I32" i="5"/>
  <c r="D32" i="5"/>
  <c r="E32" i="5" s="1"/>
  <c r="F32" i="5" s="1"/>
  <c r="G32" i="5" s="1"/>
  <c r="J32" i="5" s="1"/>
  <c r="I31" i="5"/>
  <c r="E31" i="5"/>
  <c r="D31" i="5"/>
  <c r="I30" i="5"/>
  <c r="E30" i="5"/>
  <c r="F30" i="5" s="1"/>
  <c r="G30" i="5" s="1"/>
  <c r="J30" i="5" s="1"/>
  <c r="D30" i="5"/>
  <c r="I29" i="5"/>
  <c r="D29" i="5"/>
  <c r="E29" i="5" s="1"/>
  <c r="F29" i="5" s="1"/>
  <c r="G29" i="5" s="1"/>
  <c r="J29" i="5" s="1"/>
  <c r="I28" i="5"/>
  <c r="E28" i="5"/>
  <c r="D28" i="5"/>
  <c r="I27" i="5"/>
  <c r="D27" i="5"/>
  <c r="E27" i="5" s="1"/>
  <c r="F27" i="5" s="1"/>
  <c r="G27" i="5" s="1"/>
  <c r="J27" i="5" s="1"/>
  <c r="I26" i="5"/>
  <c r="D26" i="5"/>
  <c r="E26" i="5" s="1"/>
  <c r="F26" i="5" s="1"/>
  <c r="G26" i="5" s="1"/>
  <c r="I25" i="5"/>
  <c r="E25" i="5"/>
  <c r="D25" i="5"/>
  <c r="I24" i="5"/>
  <c r="D24" i="5"/>
  <c r="E24" i="5" s="1"/>
  <c r="F24" i="5" s="1"/>
  <c r="G24" i="5" s="1"/>
  <c r="I23" i="5"/>
  <c r="D23" i="5"/>
  <c r="E23" i="5" s="1"/>
  <c r="F23" i="5" s="1"/>
  <c r="G23" i="5" s="1"/>
  <c r="J23" i="5" s="1"/>
  <c r="I22" i="5"/>
  <c r="D22" i="5"/>
  <c r="E22" i="5" s="1"/>
  <c r="I21" i="5"/>
  <c r="D21" i="5"/>
  <c r="E21" i="5" s="1"/>
  <c r="F21" i="5" s="1"/>
  <c r="G21" i="5" s="1"/>
  <c r="J21" i="5" s="1"/>
  <c r="I20" i="5"/>
  <c r="D20" i="5"/>
  <c r="E20" i="5" s="1"/>
  <c r="F20" i="5" s="1"/>
  <c r="G20" i="5" s="1"/>
  <c r="J20" i="5" s="1"/>
  <c r="I19" i="5"/>
  <c r="D19" i="5"/>
  <c r="E19" i="5" s="1"/>
  <c r="T18" i="5"/>
  <c r="I18" i="5"/>
  <c r="D18" i="5"/>
  <c r="E18" i="5" s="1"/>
  <c r="F18" i="5" s="1"/>
  <c r="G18" i="5" s="1"/>
  <c r="J18" i="5" s="1"/>
  <c r="T17" i="5"/>
  <c r="I17" i="5"/>
  <c r="E17" i="5"/>
  <c r="F17" i="5" s="1"/>
  <c r="G17" i="5" s="1"/>
  <c r="J17" i="5" s="1"/>
  <c r="D17" i="5"/>
  <c r="I16" i="5"/>
  <c r="E16" i="5"/>
  <c r="F16" i="5" s="1"/>
  <c r="G16" i="5" s="1"/>
  <c r="J16" i="5" s="1"/>
  <c r="D16" i="5"/>
  <c r="I15" i="5"/>
  <c r="E15" i="5"/>
  <c r="F15" i="5" s="1"/>
  <c r="G15" i="5" s="1"/>
  <c r="J15" i="5" s="1"/>
  <c r="D15" i="5"/>
  <c r="I14" i="5"/>
  <c r="E14" i="5"/>
  <c r="F14" i="5" s="1"/>
  <c r="G14" i="5" s="1"/>
  <c r="J14" i="5" s="1"/>
  <c r="D14" i="5"/>
  <c r="I13" i="5"/>
  <c r="E13" i="5"/>
  <c r="F13" i="5" s="1"/>
  <c r="G13" i="5" s="1"/>
  <c r="J13" i="5" s="1"/>
  <c r="D13" i="5"/>
  <c r="I12" i="5"/>
  <c r="E12" i="5"/>
  <c r="F12" i="5" s="1"/>
  <c r="G12" i="5" s="1"/>
  <c r="J12" i="5" s="1"/>
  <c r="D12" i="5"/>
  <c r="I11" i="5"/>
  <c r="D11" i="5"/>
  <c r="E11" i="5" s="1"/>
  <c r="F11" i="5" s="1"/>
  <c r="G11" i="5" s="1"/>
  <c r="J11" i="5" s="1"/>
  <c r="I10" i="5"/>
  <c r="D10" i="5"/>
  <c r="E10" i="5" s="1"/>
  <c r="F10" i="5" s="1"/>
  <c r="G10" i="5" s="1"/>
  <c r="J10" i="5" s="1"/>
  <c r="T9" i="5"/>
  <c r="I9" i="5"/>
  <c r="D9" i="5"/>
  <c r="E9" i="5" s="1"/>
  <c r="T8" i="5"/>
  <c r="I8" i="5"/>
  <c r="D8" i="5"/>
  <c r="E8" i="5" s="1"/>
  <c r="F8" i="5" s="1"/>
  <c r="G8" i="5" s="1"/>
  <c r="J8" i="5" s="1"/>
  <c r="I7" i="5"/>
  <c r="D7" i="5"/>
  <c r="I6" i="5"/>
  <c r="D6" i="5"/>
  <c r="E6" i="5" s="1"/>
  <c r="T5" i="5"/>
  <c r="I5" i="5"/>
  <c r="I4" i="5"/>
  <c r="I70" i="5" s="1"/>
  <c r="I3" i="5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70" i="3"/>
  <c r="O70" i="3"/>
  <c r="N70" i="3"/>
  <c r="M70" i="3"/>
  <c r="L70" i="3"/>
  <c r="H70" i="3"/>
  <c r="C70" i="3"/>
  <c r="F13" i="3" s="1"/>
  <c r="K69" i="3"/>
  <c r="I69" i="3"/>
  <c r="F69" i="3"/>
  <c r="G69" i="3" s="1"/>
  <c r="J69" i="3" s="1"/>
  <c r="R69" i="3" s="1"/>
  <c r="E69" i="3"/>
  <c r="D69" i="3"/>
  <c r="K68" i="3"/>
  <c r="I68" i="3"/>
  <c r="D68" i="3"/>
  <c r="E68" i="3" s="1"/>
  <c r="F68" i="3" s="1"/>
  <c r="G68" i="3" s="1"/>
  <c r="J68" i="3" s="1"/>
  <c r="R68" i="3" s="1"/>
  <c r="K67" i="3"/>
  <c r="I67" i="3"/>
  <c r="D67" i="3"/>
  <c r="E67" i="3" s="1"/>
  <c r="F67" i="3" s="1"/>
  <c r="K66" i="3"/>
  <c r="I66" i="3"/>
  <c r="G66" i="3"/>
  <c r="J66" i="3" s="1"/>
  <c r="R66" i="3" s="1"/>
  <c r="F66" i="3"/>
  <c r="E66" i="3"/>
  <c r="D66" i="3"/>
  <c r="K65" i="3"/>
  <c r="I65" i="3"/>
  <c r="D65" i="3"/>
  <c r="E65" i="3" s="1"/>
  <c r="F65" i="3" s="1"/>
  <c r="K64" i="3"/>
  <c r="I64" i="3"/>
  <c r="D64" i="3"/>
  <c r="E64" i="3" s="1"/>
  <c r="F64" i="3" s="1"/>
  <c r="G64" i="3" s="1"/>
  <c r="J64" i="3" s="1"/>
  <c r="R64" i="3" s="1"/>
  <c r="K63" i="3"/>
  <c r="I63" i="3"/>
  <c r="F63" i="3"/>
  <c r="G63" i="3" s="1"/>
  <c r="J63" i="3" s="1"/>
  <c r="R63" i="3" s="1"/>
  <c r="E63" i="3"/>
  <c r="D63" i="3"/>
  <c r="K62" i="3"/>
  <c r="I62" i="3"/>
  <c r="D62" i="3"/>
  <c r="E62" i="3" s="1"/>
  <c r="F62" i="3" s="1"/>
  <c r="K61" i="3"/>
  <c r="I61" i="3"/>
  <c r="D61" i="3"/>
  <c r="E61" i="3" s="1"/>
  <c r="F61" i="3" s="1"/>
  <c r="G61" i="3" s="1"/>
  <c r="J61" i="3" s="1"/>
  <c r="R61" i="3" s="1"/>
  <c r="K60" i="3"/>
  <c r="I60" i="3"/>
  <c r="F60" i="3"/>
  <c r="G60" i="3" s="1"/>
  <c r="J60" i="3" s="1"/>
  <c r="R60" i="3" s="1"/>
  <c r="E60" i="3"/>
  <c r="D60" i="3"/>
  <c r="K59" i="3"/>
  <c r="I59" i="3"/>
  <c r="D59" i="3"/>
  <c r="E59" i="3" s="1"/>
  <c r="F59" i="3" s="1"/>
  <c r="K58" i="3"/>
  <c r="I58" i="3"/>
  <c r="D58" i="3"/>
  <c r="E58" i="3" s="1"/>
  <c r="F58" i="3" s="1"/>
  <c r="G58" i="3" s="1"/>
  <c r="J58" i="3" s="1"/>
  <c r="R58" i="3" s="1"/>
  <c r="K57" i="3"/>
  <c r="I57" i="3"/>
  <c r="G57" i="3"/>
  <c r="J57" i="3" s="1"/>
  <c r="R57" i="3" s="1"/>
  <c r="F57" i="3"/>
  <c r="E57" i="3"/>
  <c r="D57" i="3"/>
  <c r="K56" i="3"/>
  <c r="I56" i="3"/>
  <c r="D56" i="3"/>
  <c r="E56" i="3" s="1"/>
  <c r="F56" i="3" s="1"/>
  <c r="K55" i="3"/>
  <c r="I55" i="3"/>
  <c r="D55" i="3"/>
  <c r="E55" i="3" s="1"/>
  <c r="F55" i="3" s="1"/>
  <c r="K54" i="3"/>
  <c r="I54" i="3"/>
  <c r="F54" i="3"/>
  <c r="G54" i="3" s="1"/>
  <c r="J54" i="3" s="1"/>
  <c r="R54" i="3" s="1"/>
  <c r="E54" i="3"/>
  <c r="D54" i="3"/>
  <c r="K53" i="3"/>
  <c r="I53" i="3"/>
  <c r="D53" i="3"/>
  <c r="E53" i="3" s="1"/>
  <c r="F53" i="3" s="1"/>
  <c r="G53" i="3" s="1"/>
  <c r="J53" i="3" s="1"/>
  <c r="R53" i="3" s="1"/>
  <c r="K52" i="3"/>
  <c r="R52" i="3" s="1"/>
  <c r="I52" i="3"/>
  <c r="D52" i="3"/>
  <c r="E52" i="3" s="1"/>
  <c r="F52" i="3" s="1"/>
  <c r="G52" i="3" s="1"/>
  <c r="J52" i="3" s="1"/>
  <c r="K51" i="3"/>
  <c r="I51" i="3"/>
  <c r="G51" i="3"/>
  <c r="J51" i="3" s="1"/>
  <c r="R51" i="3" s="1"/>
  <c r="F51" i="3"/>
  <c r="E51" i="3"/>
  <c r="D51" i="3"/>
  <c r="K50" i="3"/>
  <c r="I50" i="3"/>
  <c r="D50" i="3"/>
  <c r="E50" i="3" s="1"/>
  <c r="F50" i="3" s="1"/>
  <c r="G50" i="3" s="1"/>
  <c r="J50" i="3" s="1"/>
  <c r="R50" i="3" s="1"/>
  <c r="R49" i="3"/>
  <c r="K49" i="3"/>
  <c r="I49" i="3"/>
  <c r="D49" i="3"/>
  <c r="E49" i="3" s="1"/>
  <c r="F49" i="3" s="1"/>
  <c r="G49" i="3" s="1"/>
  <c r="J49" i="3" s="1"/>
  <c r="K48" i="3"/>
  <c r="I48" i="3"/>
  <c r="F48" i="3"/>
  <c r="E48" i="3"/>
  <c r="D48" i="3"/>
  <c r="K47" i="3"/>
  <c r="I47" i="3"/>
  <c r="D47" i="3"/>
  <c r="E47" i="3" s="1"/>
  <c r="F47" i="3" s="1"/>
  <c r="G47" i="3" s="1"/>
  <c r="J47" i="3" s="1"/>
  <c r="R47" i="3" s="1"/>
  <c r="K46" i="3"/>
  <c r="I46" i="3"/>
  <c r="D46" i="3"/>
  <c r="E46" i="3" s="1"/>
  <c r="F46" i="3" s="1"/>
  <c r="K45" i="3"/>
  <c r="I45" i="3"/>
  <c r="F45" i="3"/>
  <c r="G45" i="3" s="1"/>
  <c r="J45" i="3" s="1"/>
  <c r="R45" i="3" s="1"/>
  <c r="E45" i="3"/>
  <c r="D45" i="3"/>
  <c r="K44" i="3"/>
  <c r="I44" i="3"/>
  <c r="D44" i="3"/>
  <c r="E44" i="3" s="1"/>
  <c r="F44" i="3" s="1"/>
  <c r="K43" i="3"/>
  <c r="R43" i="3" s="1"/>
  <c r="I43" i="3"/>
  <c r="D43" i="3"/>
  <c r="E43" i="3" s="1"/>
  <c r="F43" i="3" s="1"/>
  <c r="G43" i="3" s="1"/>
  <c r="J43" i="3" s="1"/>
  <c r="K42" i="3"/>
  <c r="I42" i="3"/>
  <c r="F42" i="3"/>
  <c r="G42" i="3" s="1"/>
  <c r="J42" i="3" s="1"/>
  <c r="R42" i="3" s="1"/>
  <c r="E42" i="3"/>
  <c r="D42" i="3"/>
  <c r="K41" i="3"/>
  <c r="I41" i="3"/>
  <c r="D41" i="3"/>
  <c r="E41" i="3" s="1"/>
  <c r="F41" i="3" s="1"/>
  <c r="G41" i="3" s="1"/>
  <c r="J41" i="3" s="1"/>
  <c r="R41" i="3" s="1"/>
  <c r="K40" i="3"/>
  <c r="I40" i="3"/>
  <c r="D40" i="3"/>
  <c r="E40" i="3" s="1"/>
  <c r="F40" i="3" s="1"/>
  <c r="K39" i="3"/>
  <c r="I39" i="3"/>
  <c r="F39" i="3"/>
  <c r="G39" i="3" s="1"/>
  <c r="J39" i="3" s="1"/>
  <c r="R39" i="3" s="1"/>
  <c r="E39" i="3"/>
  <c r="D39" i="3"/>
  <c r="K38" i="3"/>
  <c r="I38" i="3"/>
  <c r="D38" i="3"/>
  <c r="E38" i="3" s="1"/>
  <c r="F38" i="3" s="1"/>
  <c r="G38" i="3" s="1"/>
  <c r="J38" i="3" s="1"/>
  <c r="R38" i="3" s="1"/>
  <c r="K37" i="3"/>
  <c r="I37" i="3"/>
  <c r="D37" i="3"/>
  <c r="E37" i="3" s="1"/>
  <c r="F37" i="3" s="1"/>
  <c r="K36" i="3"/>
  <c r="I36" i="3"/>
  <c r="F36" i="3"/>
  <c r="G36" i="3" s="1"/>
  <c r="J36" i="3" s="1"/>
  <c r="R36" i="3" s="1"/>
  <c r="E36" i="3"/>
  <c r="D36" i="3"/>
  <c r="K35" i="3"/>
  <c r="I35" i="3"/>
  <c r="D35" i="3"/>
  <c r="E35" i="3" s="1"/>
  <c r="F35" i="3" s="1"/>
  <c r="K34" i="3"/>
  <c r="I34" i="3"/>
  <c r="D34" i="3"/>
  <c r="E34" i="3" s="1"/>
  <c r="F34" i="3" s="1"/>
  <c r="K33" i="3"/>
  <c r="I33" i="3"/>
  <c r="F33" i="3"/>
  <c r="G33" i="3" s="1"/>
  <c r="J33" i="3" s="1"/>
  <c r="R33" i="3" s="1"/>
  <c r="E33" i="3"/>
  <c r="D33" i="3"/>
  <c r="K32" i="3"/>
  <c r="I32" i="3"/>
  <c r="D32" i="3"/>
  <c r="E32" i="3" s="1"/>
  <c r="F32" i="3" s="1"/>
  <c r="G32" i="3" s="1"/>
  <c r="J32" i="3" s="1"/>
  <c r="R32" i="3" s="1"/>
  <c r="K31" i="3"/>
  <c r="I31" i="3"/>
  <c r="D31" i="3"/>
  <c r="E31" i="3" s="1"/>
  <c r="F31" i="3" s="1"/>
  <c r="K30" i="3"/>
  <c r="I30" i="3"/>
  <c r="G30" i="3"/>
  <c r="J30" i="3" s="1"/>
  <c r="R30" i="3" s="1"/>
  <c r="F30" i="3"/>
  <c r="E30" i="3"/>
  <c r="D30" i="3"/>
  <c r="K29" i="3"/>
  <c r="I29" i="3"/>
  <c r="D29" i="3"/>
  <c r="E29" i="3" s="1"/>
  <c r="F29" i="3" s="1"/>
  <c r="K28" i="3"/>
  <c r="I28" i="3"/>
  <c r="D28" i="3"/>
  <c r="E28" i="3" s="1"/>
  <c r="F28" i="3" s="1"/>
  <c r="G28" i="3" s="1"/>
  <c r="J28" i="3" s="1"/>
  <c r="R28" i="3" s="1"/>
  <c r="K27" i="3"/>
  <c r="I27" i="3"/>
  <c r="F27" i="3"/>
  <c r="G27" i="3" s="1"/>
  <c r="J27" i="3" s="1"/>
  <c r="R27" i="3" s="1"/>
  <c r="E27" i="3"/>
  <c r="D27" i="3"/>
  <c r="K26" i="3"/>
  <c r="I26" i="3"/>
  <c r="D26" i="3"/>
  <c r="E26" i="3" s="1"/>
  <c r="F26" i="3" s="1"/>
  <c r="K25" i="3"/>
  <c r="I25" i="3"/>
  <c r="D25" i="3"/>
  <c r="E25" i="3" s="1"/>
  <c r="F25" i="3" s="1"/>
  <c r="G25" i="3" s="1"/>
  <c r="J25" i="3" s="1"/>
  <c r="R25" i="3" s="1"/>
  <c r="K24" i="3"/>
  <c r="I24" i="3"/>
  <c r="F24" i="3"/>
  <c r="G24" i="3" s="1"/>
  <c r="J24" i="3" s="1"/>
  <c r="R24" i="3" s="1"/>
  <c r="E24" i="3"/>
  <c r="D24" i="3"/>
  <c r="K23" i="3"/>
  <c r="I23" i="3"/>
  <c r="D23" i="3"/>
  <c r="E23" i="3" s="1"/>
  <c r="F23" i="3" s="1"/>
  <c r="K22" i="3"/>
  <c r="I22" i="3"/>
  <c r="D22" i="3"/>
  <c r="E22" i="3" s="1"/>
  <c r="F22" i="3" s="1"/>
  <c r="G22" i="3" s="1"/>
  <c r="J22" i="3" s="1"/>
  <c r="R22" i="3" s="1"/>
  <c r="K21" i="3"/>
  <c r="I21" i="3"/>
  <c r="G21" i="3"/>
  <c r="J21" i="3" s="1"/>
  <c r="R21" i="3" s="1"/>
  <c r="F21" i="3"/>
  <c r="E21" i="3"/>
  <c r="D21" i="3"/>
  <c r="K20" i="3"/>
  <c r="I20" i="3"/>
  <c r="D20" i="3"/>
  <c r="E20" i="3" s="1"/>
  <c r="F20" i="3" s="1"/>
  <c r="K19" i="3"/>
  <c r="I19" i="3"/>
  <c r="D19" i="3"/>
  <c r="E19" i="3" s="1"/>
  <c r="F19" i="3" s="1"/>
  <c r="K18" i="3"/>
  <c r="J18" i="3"/>
  <c r="R18" i="3" s="1"/>
  <c r="I18" i="3"/>
  <c r="G18" i="3"/>
  <c r="D18" i="3"/>
  <c r="E18" i="3" s="1"/>
  <c r="F18" i="3" s="1"/>
  <c r="I17" i="3"/>
  <c r="D17" i="3"/>
  <c r="E17" i="3" s="1"/>
  <c r="F17" i="3" s="1"/>
  <c r="G17" i="3" s="1"/>
  <c r="J17" i="3" s="1"/>
  <c r="T16" i="3"/>
  <c r="T17" i="3" s="1"/>
  <c r="T18" i="3" s="1"/>
  <c r="I16" i="3"/>
  <c r="D16" i="3"/>
  <c r="E16" i="3" s="1"/>
  <c r="F16" i="3" s="1"/>
  <c r="G16" i="3" s="1"/>
  <c r="J16" i="3" s="1"/>
  <c r="R16" i="3" s="1"/>
  <c r="K15" i="3"/>
  <c r="I15" i="3"/>
  <c r="D15" i="3"/>
  <c r="E15" i="3" s="1"/>
  <c r="F15" i="3" s="1"/>
  <c r="G15" i="3" s="1"/>
  <c r="J15" i="3" s="1"/>
  <c r="R15" i="3" s="1"/>
  <c r="K14" i="3"/>
  <c r="I14" i="3"/>
  <c r="D14" i="3"/>
  <c r="E14" i="3" s="1"/>
  <c r="F14" i="3" s="1"/>
  <c r="K13" i="3"/>
  <c r="I13" i="3"/>
  <c r="E13" i="3"/>
  <c r="D13" i="3"/>
  <c r="K12" i="3"/>
  <c r="I12" i="3"/>
  <c r="E12" i="3"/>
  <c r="F12" i="3" s="1"/>
  <c r="G12" i="3" s="1"/>
  <c r="J12" i="3" s="1"/>
  <c r="R12" i="3" s="1"/>
  <c r="D12" i="3"/>
  <c r="I11" i="3"/>
  <c r="D11" i="3"/>
  <c r="E11" i="3" s="1"/>
  <c r="F11" i="3" s="1"/>
  <c r="K10" i="3"/>
  <c r="I10" i="3"/>
  <c r="G10" i="3"/>
  <c r="J10" i="3" s="1"/>
  <c r="R10" i="3" s="1"/>
  <c r="E10" i="3"/>
  <c r="F10" i="3" s="1"/>
  <c r="D10" i="3"/>
  <c r="T9" i="3"/>
  <c r="K9" i="3"/>
  <c r="I9" i="3"/>
  <c r="D9" i="3"/>
  <c r="E9" i="3" s="1"/>
  <c r="F9" i="3" s="1"/>
  <c r="G9" i="3" s="1"/>
  <c r="J9" i="3" s="1"/>
  <c r="R9" i="3" s="1"/>
  <c r="T8" i="3"/>
  <c r="I8" i="3"/>
  <c r="D8" i="3"/>
  <c r="E8" i="3" s="1"/>
  <c r="F8" i="3" s="1"/>
  <c r="G8" i="3" s="1"/>
  <c r="J8" i="3" s="1"/>
  <c r="K7" i="3"/>
  <c r="I7" i="3"/>
  <c r="D7" i="3"/>
  <c r="E7" i="3" s="1"/>
  <c r="F7" i="3" s="1"/>
  <c r="G7" i="3" s="1"/>
  <c r="J7" i="3" s="1"/>
  <c r="R7" i="3" s="1"/>
  <c r="K6" i="3"/>
  <c r="I6" i="3"/>
  <c r="E6" i="3"/>
  <c r="D6" i="3"/>
  <c r="T5" i="3"/>
  <c r="G48" i="3" s="1"/>
  <c r="J48" i="3" s="1"/>
  <c r="R48" i="3" s="1"/>
  <c r="I5" i="3"/>
  <c r="T4" i="3"/>
  <c r="K16" i="3" s="1"/>
  <c r="I4" i="3"/>
  <c r="I3" i="3"/>
  <c r="I70" i="3" s="1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Q70" i="1"/>
  <c r="P70" i="1"/>
  <c r="O70" i="1"/>
  <c r="N70" i="1"/>
  <c r="M70" i="1"/>
  <c r="L70" i="1"/>
  <c r="H70" i="1"/>
  <c r="C70" i="1"/>
  <c r="F68" i="1" s="1"/>
  <c r="G68" i="1" s="1"/>
  <c r="J68" i="1" s="1"/>
  <c r="I69" i="1"/>
  <c r="D69" i="1"/>
  <c r="E69" i="1" s="1"/>
  <c r="F69" i="1" s="1"/>
  <c r="G69" i="1" s="1"/>
  <c r="J69" i="1" s="1"/>
  <c r="I68" i="1"/>
  <c r="E68" i="1"/>
  <c r="D68" i="1"/>
  <c r="I67" i="1"/>
  <c r="F67" i="1"/>
  <c r="G67" i="1" s="1"/>
  <c r="J67" i="1" s="1"/>
  <c r="E67" i="1"/>
  <c r="D67" i="1"/>
  <c r="I66" i="1"/>
  <c r="D66" i="1"/>
  <c r="E66" i="1" s="1"/>
  <c r="F66" i="1" s="1"/>
  <c r="G66" i="1" s="1"/>
  <c r="J66" i="1" s="1"/>
  <c r="I65" i="1"/>
  <c r="E65" i="1"/>
  <c r="D65" i="1"/>
  <c r="I64" i="1"/>
  <c r="E64" i="1"/>
  <c r="F64" i="1" s="1"/>
  <c r="G64" i="1" s="1"/>
  <c r="J64" i="1" s="1"/>
  <c r="D64" i="1"/>
  <c r="I63" i="1"/>
  <c r="D63" i="1"/>
  <c r="E63" i="1" s="1"/>
  <c r="F63" i="1" s="1"/>
  <c r="G63" i="1" s="1"/>
  <c r="J63" i="1" s="1"/>
  <c r="I62" i="1"/>
  <c r="E62" i="1"/>
  <c r="D62" i="1"/>
  <c r="I61" i="1"/>
  <c r="F61" i="1"/>
  <c r="G61" i="1" s="1"/>
  <c r="J61" i="1" s="1"/>
  <c r="E61" i="1"/>
  <c r="D61" i="1"/>
  <c r="I60" i="1"/>
  <c r="D60" i="1"/>
  <c r="E60" i="1" s="1"/>
  <c r="F60" i="1" s="1"/>
  <c r="G60" i="1" s="1"/>
  <c r="J60" i="1" s="1"/>
  <c r="I59" i="1"/>
  <c r="E59" i="1"/>
  <c r="D59" i="1"/>
  <c r="I58" i="1"/>
  <c r="G58" i="1"/>
  <c r="J58" i="1" s="1"/>
  <c r="F58" i="1"/>
  <c r="E58" i="1"/>
  <c r="D58" i="1"/>
  <c r="I57" i="1"/>
  <c r="D57" i="1"/>
  <c r="E57" i="1" s="1"/>
  <c r="F57" i="1" s="1"/>
  <c r="G57" i="1" s="1"/>
  <c r="J57" i="1" s="1"/>
  <c r="I56" i="1"/>
  <c r="E56" i="1"/>
  <c r="D56" i="1"/>
  <c r="I55" i="1"/>
  <c r="E55" i="1"/>
  <c r="F55" i="1" s="1"/>
  <c r="G55" i="1" s="1"/>
  <c r="J55" i="1" s="1"/>
  <c r="D55" i="1"/>
  <c r="I54" i="1"/>
  <c r="D54" i="1"/>
  <c r="E54" i="1" s="1"/>
  <c r="F54" i="1" s="1"/>
  <c r="G54" i="1" s="1"/>
  <c r="J54" i="1" s="1"/>
  <c r="I53" i="1"/>
  <c r="E53" i="1"/>
  <c r="D53" i="1"/>
  <c r="I52" i="1"/>
  <c r="E52" i="1"/>
  <c r="F52" i="1" s="1"/>
  <c r="G52" i="1" s="1"/>
  <c r="J52" i="1" s="1"/>
  <c r="D52" i="1"/>
  <c r="I51" i="1"/>
  <c r="D51" i="1"/>
  <c r="E51" i="1" s="1"/>
  <c r="F51" i="1" s="1"/>
  <c r="G51" i="1" s="1"/>
  <c r="J51" i="1" s="1"/>
  <c r="I50" i="1"/>
  <c r="E50" i="1"/>
  <c r="D50" i="1"/>
  <c r="I49" i="1"/>
  <c r="E49" i="1"/>
  <c r="F49" i="1" s="1"/>
  <c r="G49" i="1" s="1"/>
  <c r="J49" i="1" s="1"/>
  <c r="D49" i="1"/>
  <c r="I48" i="1"/>
  <c r="D48" i="1"/>
  <c r="E48" i="1" s="1"/>
  <c r="F48" i="1" s="1"/>
  <c r="G48" i="1" s="1"/>
  <c r="J48" i="1" s="1"/>
  <c r="I47" i="1"/>
  <c r="E47" i="1"/>
  <c r="D47" i="1"/>
  <c r="I46" i="1"/>
  <c r="E46" i="1"/>
  <c r="F46" i="1" s="1"/>
  <c r="G46" i="1" s="1"/>
  <c r="J46" i="1" s="1"/>
  <c r="D46" i="1"/>
  <c r="I45" i="1"/>
  <c r="D45" i="1"/>
  <c r="E45" i="1" s="1"/>
  <c r="F45" i="1" s="1"/>
  <c r="G45" i="1" s="1"/>
  <c r="J45" i="1" s="1"/>
  <c r="I44" i="1"/>
  <c r="E44" i="1"/>
  <c r="D44" i="1"/>
  <c r="I43" i="1"/>
  <c r="E43" i="1"/>
  <c r="F43" i="1" s="1"/>
  <c r="G43" i="1" s="1"/>
  <c r="J43" i="1" s="1"/>
  <c r="D43" i="1"/>
  <c r="I42" i="1"/>
  <c r="D42" i="1"/>
  <c r="E42" i="1" s="1"/>
  <c r="F42" i="1" s="1"/>
  <c r="G42" i="1" s="1"/>
  <c r="J42" i="1" s="1"/>
  <c r="I41" i="1"/>
  <c r="E41" i="1"/>
  <c r="D41" i="1"/>
  <c r="I40" i="1"/>
  <c r="F40" i="1"/>
  <c r="G40" i="1" s="1"/>
  <c r="J40" i="1" s="1"/>
  <c r="E40" i="1"/>
  <c r="D40" i="1"/>
  <c r="I39" i="1"/>
  <c r="D39" i="1"/>
  <c r="E39" i="1" s="1"/>
  <c r="F39" i="1" s="1"/>
  <c r="G39" i="1" s="1"/>
  <c r="J39" i="1" s="1"/>
  <c r="I38" i="1"/>
  <c r="E38" i="1"/>
  <c r="D38" i="1"/>
  <c r="I37" i="1"/>
  <c r="E37" i="1"/>
  <c r="F37" i="1" s="1"/>
  <c r="G37" i="1" s="1"/>
  <c r="J37" i="1" s="1"/>
  <c r="D37" i="1"/>
  <c r="I36" i="1"/>
  <c r="D36" i="1"/>
  <c r="E36" i="1" s="1"/>
  <c r="F36" i="1" s="1"/>
  <c r="G36" i="1" s="1"/>
  <c r="J36" i="1" s="1"/>
  <c r="I35" i="1"/>
  <c r="E35" i="1"/>
  <c r="D35" i="1"/>
  <c r="I34" i="1"/>
  <c r="E34" i="1"/>
  <c r="F34" i="1" s="1"/>
  <c r="G34" i="1" s="1"/>
  <c r="J34" i="1" s="1"/>
  <c r="D34" i="1"/>
  <c r="I33" i="1"/>
  <c r="D33" i="1"/>
  <c r="E33" i="1" s="1"/>
  <c r="F33" i="1" s="1"/>
  <c r="G33" i="1" s="1"/>
  <c r="J33" i="1" s="1"/>
  <c r="I32" i="1"/>
  <c r="E32" i="1"/>
  <c r="D32" i="1"/>
  <c r="I31" i="1"/>
  <c r="F31" i="1"/>
  <c r="G31" i="1" s="1"/>
  <c r="J31" i="1" s="1"/>
  <c r="E31" i="1"/>
  <c r="D31" i="1"/>
  <c r="I30" i="1"/>
  <c r="D30" i="1"/>
  <c r="E30" i="1" s="1"/>
  <c r="F30" i="1" s="1"/>
  <c r="G30" i="1" s="1"/>
  <c r="J30" i="1" s="1"/>
  <c r="I29" i="1"/>
  <c r="E29" i="1"/>
  <c r="D29" i="1"/>
  <c r="I28" i="1"/>
  <c r="E28" i="1"/>
  <c r="F28" i="1" s="1"/>
  <c r="G28" i="1" s="1"/>
  <c r="J28" i="1" s="1"/>
  <c r="D28" i="1"/>
  <c r="I27" i="1"/>
  <c r="D27" i="1"/>
  <c r="E27" i="1" s="1"/>
  <c r="F27" i="1" s="1"/>
  <c r="G27" i="1" s="1"/>
  <c r="J27" i="1" s="1"/>
  <c r="I26" i="1"/>
  <c r="E26" i="1"/>
  <c r="D26" i="1"/>
  <c r="I25" i="1"/>
  <c r="F25" i="1"/>
  <c r="G25" i="1" s="1"/>
  <c r="J25" i="1" s="1"/>
  <c r="E25" i="1"/>
  <c r="D25" i="1"/>
  <c r="I24" i="1"/>
  <c r="D24" i="1"/>
  <c r="E24" i="1" s="1"/>
  <c r="F24" i="1" s="1"/>
  <c r="G24" i="1" s="1"/>
  <c r="J24" i="1" s="1"/>
  <c r="I23" i="1"/>
  <c r="E23" i="1"/>
  <c r="D23" i="1"/>
  <c r="I22" i="1"/>
  <c r="G22" i="1"/>
  <c r="J22" i="1" s="1"/>
  <c r="F22" i="1"/>
  <c r="E22" i="1"/>
  <c r="D22" i="1"/>
  <c r="I21" i="1"/>
  <c r="D21" i="1"/>
  <c r="E21" i="1" s="1"/>
  <c r="F21" i="1" s="1"/>
  <c r="G21" i="1" s="1"/>
  <c r="J21" i="1" s="1"/>
  <c r="I20" i="1"/>
  <c r="E20" i="1"/>
  <c r="D20" i="1"/>
  <c r="I19" i="1"/>
  <c r="E19" i="1"/>
  <c r="F19" i="1" s="1"/>
  <c r="G19" i="1" s="1"/>
  <c r="J19" i="1" s="1"/>
  <c r="D19" i="1"/>
  <c r="I18" i="1"/>
  <c r="D18" i="1"/>
  <c r="E18" i="1" s="1"/>
  <c r="F18" i="1" s="1"/>
  <c r="G18" i="1" s="1"/>
  <c r="J18" i="1" s="1"/>
  <c r="T17" i="1"/>
  <c r="I17" i="1"/>
  <c r="D17" i="1"/>
  <c r="E17" i="1" s="1"/>
  <c r="F17" i="1" s="1"/>
  <c r="G17" i="1" s="1"/>
  <c r="J17" i="1" s="1"/>
  <c r="T16" i="1"/>
  <c r="J16" i="1"/>
  <c r="I16" i="1"/>
  <c r="D16" i="1"/>
  <c r="E16" i="1" s="1"/>
  <c r="F16" i="1" s="1"/>
  <c r="G16" i="1" s="1"/>
  <c r="I15" i="1"/>
  <c r="D15" i="1"/>
  <c r="E15" i="1" s="1"/>
  <c r="F15" i="1" s="1"/>
  <c r="G15" i="1" s="1"/>
  <c r="J15" i="1" s="1"/>
  <c r="T14" i="1"/>
  <c r="I14" i="1"/>
  <c r="D14" i="1"/>
  <c r="E14" i="1" s="1"/>
  <c r="F14" i="1" s="1"/>
  <c r="G14" i="1" s="1"/>
  <c r="J14" i="1" s="1"/>
  <c r="I13" i="1"/>
  <c r="E13" i="1"/>
  <c r="D13" i="1"/>
  <c r="I12" i="1"/>
  <c r="F12" i="1"/>
  <c r="G12" i="1" s="1"/>
  <c r="J12" i="1" s="1"/>
  <c r="E12" i="1"/>
  <c r="D12" i="1"/>
  <c r="I11" i="1"/>
  <c r="D11" i="1"/>
  <c r="E11" i="1" s="1"/>
  <c r="F11" i="1" s="1"/>
  <c r="G11" i="1" s="1"/>
  <c r="J11" i="1" s="1"/>
  <c r="I10" i="1"/>
  <c r="E10" i="1"/>
  <c r="D10" i="1"/>
  <c r="T9" i="1"/>
  <c r="I9" i="1"/>
  <c r="F9" i="1"/>
  <c r="G9" i="1" s="1"/>
  <c r="J9" i="1" s="1"/>
  <c r="E9" i="1"/>
  <c r="D9" i="1"/>
  <c r="T8" i="1"/>
  <c r="I8" i="1"/>
  <c r="D8" i="1"/>
  <c r="E8" i="1" s="1"/>
  <c r="F8" i="1" s="1"/>
  <c r="G8" i="1" s="1"/>
  <c r="J8" i="1" s="1"/>
  <c r="I7" i="1"/>
  <c r="D7" i="1"/>
  <c r="E7" i="1" s="1"/>
  <c r="F7" i="1" s="1"/>
  <c r="G7" i="1" s="1"/>
  <c r="J7" i="1" s="1"/>
  <c r="J6" i="1"/>
  <c r="I6" i="1"/>
  <c r="G6" i="1"/>
  <c r="F6" i="1"/>
  <c r="E6" i="1"/>
  <c r="D6" i="1"/>
  <c r="T5" i="1"/>
  <c r="I5" i="1"/>
  <c r="I4" i="1"/>
  <c r="I3" i="1"/>
  <c r="R1" i="8" l="1"/>
  <c r="AN1" i="8"/>
  <c r="BI1" i="8"/>
  <c r="BJ1" i="8"/>
  <c r="AC1" i="8"/>
  <c r="AD1" i="8"/>
  <c r="Z1" i="8"/>
  <c r="AB1" i="8"/>
  <c r="AX1" i="8"/>
  <c r="W1" i="8"/>
  <c r="AP1" i="8"/>
  <c r="AQ1" i="8"/>
  <c r="AU1" i="8"/>
  <c r="F1" i="8"/>
  <c r="G1" i="8"/>
  <c r="K1" i="8"/>
  <c r="AZ1" i="8"/>
  <c r="M1" i="8"/>
  <c r="BA1" i="8"/>
  <c r="N1" i="8"/>
  <c r="AI1" i="8"/>
  <c r="BB1" i="8"/>
  <c r="E1" i="8"/>
  <c r="P1" i="8"/>
  <c r="AK1" i="8"/>
  <c r="BC1" i="8"/>
  <c r="BL1" i="8"/>
  <c r="D1" i="8"/>
  <c r="Y1" i="8"/>
  <c r="BM1" i="8"/>
  <c r="BN1" i="8"/>
  <c r="AW1" i="8"/>
  <c r="AE1" i="8"/>
  <c r="Q1" i="8"/>
  <c r="AL1" i="8"/>
  <c r="BG1" i="8"/>
  <c r="D4" i="34"/>
  <c r="K6" i="31"/>
  <c r="K6" i="30"/>
  <c r="K6" i="29"/>
  <c r="J6" i="28"/>
  <c r="D7" i="34"/>
  <c r="K9" i="31"/>
  <c r="K9" i="30"/>
  <c r="K9" i="29"/>
  <c r="J9" i="28"/>
  <c r="D49" i="34"/>
  <c r="K51" i="31"/>
  <c r="K51" i="30"/>
  <c r="K51" i="29"/>
  <c r="J51" i="28"/>
  <c r="D10" i="34"/>
  <c r="K12" i="31"/>
  <c r="K12" i="30"/>
  <c r="K12" i="29"/>
  <c r="J12" i="28"/>
  <c r="D64" i="34"/>
  <c r="K66" i="31"/>
  <c r="K66" i="30"/>
  <c r="K66" i="29"/>
  <c r="J66" i="28"/>
  <c r="D56" i="34"/>
  <c r="K58" i="31"/>
  <c r="K58" i="29"/>
  <c r="K58" i="30"/>
  <c r="J58" i="28"/>
  <c r="D55" i="34"/>
  <c r="K57" i="31"/>
  <c r="K57" i="30"/>
  <c r="K57" i="29"/>
  <c r="J57" i="28"/>
  <c r="D40" i="34"/>
  <c r="K42" i="31"/>
  <c r="K42" i="30"/>
  <c r="K42" i="29"/>
  <c r="J42" i="28"/>
  <c r="D59" i="34"/>
  <c r="K61" i="31"/>
  <c r="K61" i="30"/>
  <c r="K61" i="29"/>
  <c r="J61" i="28"/>
  <c r="K55" i="31"/>
  <c r="D53" i="34"/>
  <c r="K55" i="30"/>
  <c r="K55" i="29"/>
  <c r="J55" i="28"/>
  <c r="D31" i="34"/>
  <c r="K33" i="31"/>
  <c r="K33" i="30"/>
  <c r="K33" i="29"/>
  <c r="J33" i="28"/>
  <c r="D23" i="34"/>
  <c r="K25" i="31"/>
  <c r="K25" i="30"/>
  <c r="K25" i="29"/>
  <c r="J25" i="28"/>
  <c r="D17" i="34"/>
  <c r="K19" i="31"/>
  <c r="K19" i="30"/>
  <c r="K19" i="29"/>
  <c r="J19" i="28"/>
  <c r="D28" i="34"/>
  <c r="K30" i="31"/>
  <c r="K30" i="30"/>
  <c r="K30" i="29"/>
  <c r="J30" i="28"/>
  <c r="D20" i="34"/>
  <c r="K22" i="31"/>
  <c r="K22" i="30"/>
  <c r="K22" i="29"/>
  <c r="J22" i="28"/>
  <c r="D37" i="34"/>
  <c r="K39" i="31"/>
  <c r="K39" i="29"/>
  <c r="K39" i="30"/>
  <c r="J39" i="28"/>
  <c r="D5" i="34"/>
  <c r="K7" i="31"/>
  <c r="K7" i="30"/>
  <c r="K7" i="29"/>
  <c r="J7" i="28"/>
  <c r="D22" i="34"/>
  <c r="K24" i="31"/>
  <c r="K24" i="30"/>
  <c r="K24" i="29"/>
  <c r="J24" i="28"/>
  <c r="D47" i="34"/>
  <c r="K49" i="31"/>
  <c r="K49" i="30"/>
  <c r="K49" i="29"/>
  <c r="J49" i="28"/>
  <c r="K60" i="31"/>
  <c r="D58" i="34"/>
  <c r="K60" i="30"/>
  <c r="K60" i="29"/>
  <c r="J60" i="28"/>
  <c r="D43" i="34"/>
  <c r="K45" i="31"/>
  <c r="K45" i="30"/>
  <c r="K45" i="29"/>
  <c r="J45" i="28"/>
  <c r="D34" i="34"/>
  <c r="K36" i="31"/>
  <c r="K36" i="30"/>
  <c r="K36" i="29"/>
  <c r="J36" i="28"/>
  <c r="D2" i="34"/>
  <c r="K4" i="31"/>
  <c r="K4" i="30"/>
  <c r="K4" i="29"/>
  <c r="J4" i="28"/>
  <c r="D19" i="34"/>
  <c r="K21" i="31"/>
  <c r="K21" i="30"/>
  <c r="K21" i="29"/>
  <c r="J21" i="28"/>
  <c r="D38" i="34"/>
  <c r="K40" i="31"/>
  <c r="K40" i="30"/>
  <c r="K40" i="29"/>
  <c r="J40" i="28"/>
  <c r="D70" i="1"/>
  <c r="D13" i="34"/>
  <c r="K15" i="31"/>
  <c r="K15" i="30"/>
  <c r="K15" i="29"/>
  <c r="J15" i="28"/>
  <c r="D16" i="34"/>
  <c r="K18" i="31"/>
  <c r="K18" i="30"/>
  <c r="K18" i="29"/>
  <c r="J18" i="28"/>
  <c r="D33" i="34"/>
  <c r="K35" i="31"/>
  <c r="K35" i="30"/>
  <c r="K35" i="29"/>
  <c r="J35" i="28"/>
  <c r="D52" i="34"/>
  <c r="K54" i="31"/>
  <c r="K54" i="30"/>
  <c r="K54" i="29"/>
  <c r="J54" i="28"/>
  <c r="E7" i="35"/>
  <c r="N9" i="31"/>
  <c r="N9" i="30"/>
  <c r="N9" i="29"/>
  <c r="M9" i="28"/>
  <c r="E19" i="35"/>
  <c r="N21" i="31"/>
  <c r="N21" i="30"/>
  <c r="N21" i="29"/>
  <c r="M21" i="28"/>
  <c r="E31" i="35"/>
  <c r="N33" i="31"/>
  <c r="N33" i="30"/>
  <c r="N33" i="29"/>
  <c r="M33" i="28"/>
  <c r="E43" i="35"/>
  <c r="N45" i="31"/>
  <c r="N45" i="30"/>
  <c r="N45" i="29"/>
  <c r="M45" i="28"/>
  <c r="E55" i="35"/>
  <c r="N57" i="31"/>
  <c r="N57" i="30"/>
  <c r="N57" i="29"/>
  <c r="M57" i="28"/>
  <c r="E70" i="1"/>
  <c r="D36" i="34"/>
  <c r="K38" i="31"/>
  <c r="K38" i="30"/>
  <c r="K38" i="29"/>
  <c r="J38" i="28"/>
  <c r="F6" i="5"/>
  <c r="G6" i="5" s="1"/>
  <c r="L17" i="8"/>
  <c r="G19" i="3"/>
  <c r="J19" i="3" s="1"/>
  <c r="R19" i="3" s="1"/>
  <c r="G44" i="3"/>
  <c r="J44" i="3" s="1"/>
  <c r="R44" i="3" s="1"/>
  <c r="G55" i="3"/>
  <c r="J55" i="3" s="1"/>
  <c r="R55" i="3" s="1"/>
  <c r="J26" i="5"/>
  <c r="J39" i="5"/>
  <c r="AI17" i="8"/>
  <c r="D25" i="34"/>
  <c r="K27" i="31"/>
  <c r="K27" i="30"/>
  <c r="K27" i="29"/>
  <c r="J27" i="28"/>
  <c r="D44" i="34"/>
  <c r="K46" i="31"/>
  <c r="K46" i="30"/>
  <c r="K46" i="29"/>
  <c r="J46" i="28"/>
  <c r="D45" i="34"/>
  <c r="K47" i="31"/>
  <c r="K47" i="30"/>
  <c r="K47" i="29"/>
  <c r="J47" i="28"/>
  <c r="D70" i="5"/>
  <c r="E7" i="5"/>
  <c r="F7" i="5" s="1"/>
  <c r="G7" i="5" s="1"/>
  <c r="J7" i="5" s="1"/>
  <c r="G20" i="3"/>
  <c r="J20" i="3" s="1"/>
  <c r="R20" i="3" s="1"/>
  <c r="G31" i="3"/>
  <c r="J31" i="3" s="1"/>
  <c r="R31" i="3" s="1"/>
  <c r="G56" i="3"/>
  <c r="J56" i="3" s="1"/>
  <c r="R56" i="3" s="1"/>
  <c r="G67" i="3"/>
  <c r="J67" i="3" s="1"/>
  <c r="R67" i="3" s="1"/>
  <c r="S18" i="8"/>
  <c r="C4" i="8" a="1"/>
  <c r="BN17" i="8"/>
  <c r="BB17" i="8"/>
  <c r="AP17" i="8"/>
  <c r="AD17" i="8"/>
  <c r="R17" i="8"/>
  <c r="F17" i="8"/>
  <c r="BL17" i="8"/>
  <c r="AZ17" i="8"/>
  <c r="AN17" i="8"/>
  <c r="AB17" i="8"/>
  <c r="P17" i="8"/>
  <c r="D17" i="8"/>
  <c r="BK17" i="8"/>
  <c r="AY17" i="8"/>
  <c r="AM17" i="8"/>
  <c r="AA17" i="8"/>
  <c r="O17" i="8"/>
  <c r="C17" i="8"/>
  <c r="BJ17" i="8"/>
  <c r="AX17" i="8"/>
  <c r="AL17" i="8"/>
  <c r="Z17" i="8"/>
  <c r="N17" i="8"/>
  <c r="BI17" i="8"/>
  <c r="AW17" i="8"/>
  <c r="AK17" i="8"/>
  <c r="Y17" i="8"/>
  <c r="M17" i="8"/>
  <c r="BE17" i="8"/>
  <c r="AS17" i="8"/>
  <c r="AG17" i="8"/>
  <c r="U17" i="8"/>
  <c r="I17" i="8"/>
  <c r="BF17" i="8"/>
  <c r="AH17" i="8"/>
  <c r="J17" i="8"/>
  <c r="BD17" i="8"/>
  <c r="AF17" i="8"/>
  <c r="H17" i="8"/>
  <c r="AQ17" i="8"/>
  <c r="Q17" i="8"/>
  <c r="BC17" i="8"/>
  <c r="AE17" i="8"/>
  <c r="G17" i="8"/>
  <c r="BA17" i="8"/>
  <c r="AC17" i="8"/>
  <c r="E17" i="8"/>
  <c r="AV17" i="8"/>
  <c r="X17" i="8"/>
  <c r="AR17" i="8"/>
  <c r="BM17" i="8"/>
  <c r="AU17" i="8"/>
  <c r="W17" i="8"/>
  <c r="T17" i="8"/>
  <c r="S17" i="8"/>
  <c r="AT17" i="8"/>
  <c r="V17" i="8"/>
  <c r="AO17" i="8"/>
  <c r="BE9" i="8"/>
  <c r="AS9" i="8"/>
  <c r="AG9" i="8"/>
  <c r="U9" i="8"/>
  <c r="I9" i="8"/>
  <c r="BC9" i="8"/>
  <c r="AQ9" i="8"/>
  <c r="AE9" i="8"/>
  <c r="S9" i="8"/>
  <c r="G9" i="8"/>
  <c r="BN9" i="8"/>
  <c r="BB9" i="8"/>
  <c r="AP9" i="8"/>
  <c r="AD9" i="8"/>
  <c r="R9" i="8"/>
  <c r="F9" i="8"/>
  <c r="BM9" i="8"/>
  <c r="BA9" i="8"/>
  <c r="AO9" i="8"/>
  <c r="AC9" i="8"/>
  <c r="Q9" i="8"/>
  <c r="E9" i="8"/>
  <c r="BL9" i="8"/>
  <c r="AZ9" i="8"/>
  <c r="AN9" i="8"/>
  <c r="AB9" i="8"/>
  <c r="P9" i="8"/>
  <c r="D9" i="8"/>
  <c r="BH9" i="8"/>
  <c r="AV9" i="8"/>
  <c r="AJ9" i="8"/>
  <c r="X9" i="8"/>
  <c r="L9" i="8"/>
  <c r="AW9" i="8"/>
  <c r="Y9" i="8"/>
  <c r="AH9" i="8"/>
  <c r="AU9" i="8"/>
  <c r="W9" i="8"/>
  <c r="K9" i="8"/>
  <c r="AF9" i="8"/>
  <c r="AT9" i="8"/>
  <c r="V9" i="8"/>
  <c r="AR9" i="8"/>
  <c r="T9" i="8"/>
  <c r="BK9" i="8"/>
  <c r="AM9" i="8"/>
  <c r="O9" i="8"/>
  <c r="BG9" i="8"/>
  <c r="J9" i="8"/>
  <c r="BJ9" i="8"/>
  <c r="AL9" i="8"/>
  <c r="N9" i="8"/>
  <c r="BD9" i="8"/>
  <c r="BI9" i="8"/>
  <c r="AK9" i="8"/>
  <c r="M9" i="8"/>
  <c r="AI9" i="8"/>
  <c r="BF9" i="8"/>
  <c r="H9" i="8"/>
  <c r="G11" i="3"/>
  <c r="J11" i="3" s="1"/>
  <c r="R11" i="3" s="1"/>
  <c r="G23" i="3"/>
  <c r="J23" i="3" s="1"/>
  <c r="R23" i="3" s="1"/>
  <c r="G34" i="3"/>
  <c r="J34" i="3" s="1"/>
  <c r="R34" i="3" s="1"/>
  <c r="G59" i="3"/>
  <c r="J59" i="3" s="1"/>
  <c r="R59" i="3" s="1"/>
  <c r="G13" i="3"/>
  <c r="J13" i="3" s="1"/>
  <c r="R13" i="3" s="1"/>
  <c r="AA9" i="8"/>
  <c r="T18" i="8"/>
  <c r="Z54" i="8"/>
  <c r="D61" i="34"/>
  <c r="K63" i="31"/>
  <c r="K63" i="30"/>
  <c r="K63" i="29"/>
  <c r="J63" i="28"/>
  <c r="I70" i="1"/>
  <c r="G14" i="3"/>
  <c r="J14" i="3" s="1"/>
  <c r="R14" i="3" s="1"/>
  <c r="F12" i="31"/>
  <c r="F12" i="30"/>
  <c r="F12" i="29"/>
  <c r="E12" i="28"/>
  <c r="F24" i="31"/>
  <c r="F24" i="30"/>
  <c r="F24" i="29"/>
  <c r="E24" i="28"/>
  <c r="F36" i="31"/>
  <c r="F36" i="30"/>
  <c r="F36" i="29"/>
  <c r="E36" i="28"/>
  <c r="F48" i="31"/>
  <c r="F48" i="30"/>
  <c r="F48" i="29"/>
  <c r="E48" i="28"/>
  <c r="F60" i="31"/>
  <c r="F60" i="30"/>
  <c r="F60" i="29"/>
  <c r="E60" i="28"/>
  <c r="D70" i="3"/>
  <c r="G26" i="3"/>
  <c r="J26" i="3" s="1"/>
  <c r="R26" i="3" s="1"/>
  <c r="G37" i="3"/>
  <c r="J37" i="3" s="1"/>
  <c r="R37" i="3" s="1"/>
  <c r="G62" i="3"/>
  <c r="J62" i="3" s="1"/>
  <c r="R62" i="3" s="1"/>
  <c r="D5" i="35"/>
  <c r="J7" i="31"/>
  <c r="J7" i="30"/>
  <c r="J7" i="29"/>
  <c r="M7" i="29" s="1"/>
  <c r="I7" i="28"/>
  <c r="D17" i="35"/>
  <c r="J19" i="31"/>
  <c r="M19" i="31" s="1"/>
  <c r="J19" i="29"/>
  <c r="M19" i="29" s="1"/>
  <c r="I19" i="28"/>
  <c r="L19" i="28" s="1"/>
  <c r="J19" i="30"/>
  <c r="D29" i="35"/>
  <c r="J31" i="31"/>
  <c r="J31" i="30"/>
  <c r="I31" i="28"/>
  <c r="J31" i="29"/>
  <c r="D41" i="35"/>
  <c r="J43" i="31"/>
  <c r="J43" i="29"/>
  <c r="J43" i="30"/>
  <c r="I43" i="28"/>
  <c r="D53" i="35"/>
  <c r="J55" i="31"/>
  <c r="M55" i="31" s="1"/>
  <c r="J55" i="30"/>
  <c r="J55" i="29"/>
  <c r="M55" i="29" s="1"/>
  <c r="I55" i="28"/>
  <c r="K66" i="4"/>
  <c r="J24" i="5"/>
  <c r="AX9" i="8"/>
  <c r="AR18" i="8"/>
  <c r="R8" i="3"/>
  <c r="F13" i="31"/>
  <c r="F13" i="30"/>
  <c r="F13" i="29"/>
  <c r="E13" i="28"/>
  <c r="F25" i="31"/>
  <c r="F25" i="30"/>
  <c r="F25" i="29"/>
  <c r="E25" i="28"/>
  <c r="F37" i="31"/>
  <c r="F37" i="30"/>
  <c r="F37" i="29"/>
  <c r="E37" i="28"/>
  <c r="F49" i="31"/>
  <c r="F49" i="30"/>
  <c r="F49" i="29"/>
  <c r="E49" i="28"/>
  <c r="F61" i="31"/>
  <c r="F61" i="30"/>
  <c r="F61" i="29"/>
  <c r="E61" i="28"/>
  <c r="F6" i="3"/>
  <c r="E70" i="3"/>
  <c r="G29" i="3"/>
  <c r="J29" i="3" s="1"/>
  <c r="R29" i="3" s="1"/>
  <c r="G40" i="3"/>
  <c r="J40" i="3" s="1"/>
  <c r="R40" i="3" s="1"/>
  <c r="G65" i="3"/>
  <c r="J65" i="3" s="1"/>
  <c r="R65" i="3" s="1"/>
  <c r="D6" i="35"/>
  <c r="J8" i="31"/>
  <c r="J8" i="30"/>
  <c r="J8" i="29"/>
  <c r="I8" i="28"/>
  <c r="D18" i="35"/>
  <c r="J20" i="31"/>
  <c r="J20" i="30"/>
  <c r="J20" i="29"/>
  <c r="I20" i="28"/>
  <c r="D30" i="35"/>
  <c r="J32" i="31"/>
  <c r="J32" i="30"/>
  <c r="J32" i="29"/>
  <c r="I32" i="28"/>
  <c r="D42" i="35"/>
  <c r="J44" i="31"/>
  <c r="J44" i="30"/>
  <c r="J44" i="29"/>
  <c r="M44" i="29" s="1"/>
  <c r="I44" i="28"/>
  <c r="D54" i="35"/>
  <c r="J56" i="31"/>
  <c r="J56" i="30"/>
  <c r="J56" i="29"/>
  <c r="I56" i="28"/>
  <c r="J18" i="7"/>
  <c r="J49" i="7"/>
  <c r="AY9" i="8"/>
  <c r="BH41" i="8"/>
  <c r="AV41" i="8"/>
  <c r="AJ41" i="8"/>
  <c r="X41" i="8"/>
  <c r="L41" i="8"/>
  <c r="BF41" i="8"/>
  <c r="AT41" i="8"/>
  <c r="AH41" i="8"/>
  <c r="V41" i="8"/>
  <c r="J41" i="8"/>
  <c r="BE41" i="8"/>
  <c r="AS41" i="8"/>
  <c r="AG41" i="8"/>
  <c r="U41" i="8"/>
  <c r="I41" i="8"/>
  <c r="BD41" i="8"/>
  <c r="AR41" i="8"/>
  <c r="AF41" i="8"/>
  <c r="T41" i="8"/>
  <c r="H41" i="8"/>
  <c r="BN41" i="8"/>
  <c r="BB41" i="8"/>
  <c r="AP41" i="8"/>
  <c r="AD41" i="8"/>
  <c r="R41" i="8"/>
  <c r="F41" i="8"/>
  <c r="BG41" i="8"/>
  <c r="AL41" i="8"/>
  <c r="P41" i="8"/>
  <c r="BA41" i="8"/>
  <c r="AI41" i="8"/>
  <c r="N41" i="8"/>
  <c r="AZ41" i="8"/>
  <c r="AE41" i="8"/>
  <c r="M41" i="8"/>
  <c r="AY41" i="8"/>
  <c r="AC41" i="8"/>
  <c r="K41" i="8"/>
  <c r="AX41" i="8"/>
  <c r="AB41" i="8"/>
  <c r="G41" i="8"/>
  <c r="BK41" i="8"/>
  <c r="AO41" i="8"/>
  <c r="W41" i="8"/>
  <c r="AQ41" i="8"/>
  <c r="C41" i="8"/>
  <c r="AN41" i="8"/>
  <c r="AM41" i="8"/>
  <c r="AK41" i="8"/>
  <c r="BJ41" i="8"/>
  <c r="AA41" i="8"/>
  <c r="Q41" i="8"/>
  <c r="O41" i="8"/>
  <c r="BM41" i="8"/>
  <c r="Z41" i="8"/>
  <c r="BI41" i="8"/>
  <c r="BL41" i="8"/>
  <c r="Y41" i="8"/>
  <c r="S41" i="8"/>
  <c r="BC41" i="8"/>
  <c r="D11" i="34"/>
  <c r="K13" i="31"/>
  <c r="K13" i="30"/>
  <c r="K13" i="29"/>
  <c r="J13" i="28"/>
  <c r="BN54" i="8"/>
  <c r="BB54" i="8"/>
  <c r="AP54" i="8"/>
  <c r="AD54" i="8"/>
  <c r="R54" i="8"/>
  <c r="F54" i="8"/>
  <c r="BM54" i="8"/>
  <c r="BA54" i="8"/>
  <c r="AO54" i="8"/>
  <c r="AC54" i="8"/>
  <c r="Q54" i="8"/>
  <c r="E54" i="8"/>
  <c r="BC54" i="8"/>
  <c r="AM54" i="8"/>
  <c r="Y54" i="8"/>
  <c r="K54" i="8"/>
  <c r="AY54" i="8"/>
  <c r="AK54" i="8"/>
  <c r="W54" i="8"/>
  <c r="I54" i="8"/>
  <c r="BL54" i="8"/>
  <c r="AX54" i="8"/>
  <c r="AJ54" i="8"/>
  <c r="V54" i="8"/>
  <c r="H54" i="8"/>
  <c r="BK54" i="8"/>
  <c r="AW54" i="8"/>
  <c r="AI54" i="8"/>
  <c r="U54" i="8"/>
  <c r="G54" i="8"/>
  <c r="BI54" i="8"/>
  <c r="AU54" i="8"/>
  <c r="AG54" i="8"/>
  <c r="S54" i="8"/>
  <c r="C54" i="8"/>
  <c r="BJ54" i="8"/>
  <c r="AN54" i="8"/>
  <c r="N54" i="8"/>
  <c r="BG54" i="8"/>
  <c r="AH54" i="8"/>
  <c r="L54" i="8"/>
  <c r="BF54" i="8"/>
  <c r="AF54" i="8"/>
  <c r="J54" i="8"/>
  <c r="BE54" i="8"/>
  <c r="AE54" i="8"/>
  <c r="D54" i="8"/>
  <c r="BD54" i="8"/>
  <c r="AB54" i="8"/>
  <c r="AS54" i="8"/>
  <c r="T54" i="8"/>
  <c r="X54" i="8"/>
  <c r="P54" i="8"/>
  <c r="O54" i="8"/>
  <c r="BH54" i="8"/>
  <c r="M54" i="8"/>
  <c r="AZ54" i="8"/>
  <c r="AV54" i="8"/>
  <c r="AR54" i="8"/>
  <c r="AQ54" i="8"/>
  <c r="AL54" i="8"/>
  <c r="AT54" i="8"/>
  <c r="F14" i="31"/>
  <c r="F14" i="30"/>
  <c r="F14" i="29"/>
  <c r="E14" i="28"/>
  <c r="F26" i="31"/>
  <c r="F26" i="30"/>
  <c r="F26" i="29"/>
  <c r="E26" i="28"/>
  <c r="F50" i="31"/>
  <c r="F50" i="30"/>
  <c r="F50" i="29"/>
  <c r="E50" i="28"/>
  <c r="F62" i="31"/>
  <c r="F62" i="30"/>
  <c r="F62" i="29"/>
  <c r="E62" i="28"/>
  <c r="D27" i="34"/>
  <c r="K29" i="31"/>
  <c r="K29" i="30"/>
  <c r="K29" i="29"/>
  <c r="J29" i="28"/>
  <c r="D46" i="34"/>
  <c r="K48" i="31"/>
  <c r="K48" i="30"/>
  <c r="K48" i="29"/>
  <c r="J48" i="28"/>
  <c r="D63" i="34"/>
  <c r="K65" i="31"/>
  <c r="K65" i="30"/>
  <c r="K65" i="29"/>
  <c r="J65" i="28"/>
  <c r="D7" i="35"/>
  <c r="J9" i="31"/>
  <c r="M9" i="31" s="1"/>
  <c r="J9" i="30"/>
  <c r="J9" i="29"/>
  <c r="M9" i="29" s="1"/>
  <c r="I9" i="28"/>
  <c r="D19" i="35"/>
  <c r="J21" i="31"/>
  <c r="M21" i="31" s="1"/>
  <c r="J21" i="30"/>
  <c r="J21" i="29"/>
  <c r="I21" i="28"/>
  <c r="D31" i="35"/>
  <c r="J33" i="31"/>
  <c r="M33" i="31" s="1"/>
  <c r="J33" i="30"/>
  <c r="J33" i="29"/>
  <c r="M33" i="29" s="1"/>
  <c r="I33" i="28"/>
  <c r="L33" i="28" s="1"/>
  <c r="D43" i="35"/>
  <c r="J45" i="31"/>
  <c r="J45" i="30"/>
  <c r="J45" i="29"/>
  <c r="M45" i="29" s="1"/>
  <c r="I45" i="28"/>
  <c r="L45" i="28" s="1"/>
  <c r="D55" i="35"/>
  <c r="J57" i="31"/>
  <c r="M57" i="31" s="1"/>
  <c r="J57" i="30"/>
  <c r="J57" i="29"/>
  <c r="I57" i="28"/>
  <c r="E5" i="35"/>
  <c r="N7" i="31"/>
  <c r="N7" i="30"/>
  <c r="N7" i="29"/>
  <c r="M7" i="28"/>
  <c r="E17" i="35"/>
  <c r="N19" i="31"/>
  <c r="N19" i="30"/>
  <c r="N19" i="29"/>
  <c r="M19" i="28"/>
  <c r="E29" i="35"/>
  <c r="N31" i="31"/>
  <c r="N31" i="30"/>
  <c r="N31" i="29"/>
  <c r="M31" i="28"/>
  <c r="E41" i="35"/>
  <c r="N43" i="31"/>
  <c r="N43" i="30"/>
  <c r="N43" i="29"/>
  <c r="M43" i="28"/>
  <c r="E53" i="35"/>
  <c r="N55" i="31"/>
  <c r="N55" i="30"/>
  <c r="N55" i="29"/>
  <c r="M55" i="28"/>
  <c r="K66" i="6"/>
  <c r="BD42" i="8"/>
  <c r="AR42" i="8"/>
  <c r="AF42" i="8"/>
  <c r="T42" i="8"/>
  <c r="H42" i="8"/>
  <c r="BN42" i="8"/>
  <c r="BB42" i="8"/>
  <c r="AP42" i="8"/>
  <c r="AD42" i="8"/>
  <c r="R42" i="8"/>
  <c r="F42" i="8"/>
  <c r="BM42" i="8"/>
  <c r="BA42" i="8"/>
  <c r="AO42" i="8"/>
  <c r="AC42" i="8"/>
  <c r="Q42" i="8"/>
  <c r="E42" i="8"/>
  <c r="BL42" i="8"/>
  <c r="AZ42" i="8"/>
  <c r="AN42" i="8"/>
  <c r="AB42" i="8"/>
  <c r="P42" i="8"/>
  <c r="D42" i="8"/>
  <c r="BJ42" i="8"/>
  <c r="AX42" i="8"/>
  <c r="AL42" i="8"/>
  <c r="Z42" i="8"/>
  <c r="N42" i="8"/>
  <c r="BE42" i="8"/>
  <c r="AI42" i="8"/>
  <c r="M42" i="8"/>
  <c r="AY42" i="8"/>
  <c r="AG42" i="8"/>
  <c r="K42" i="8"/>
  <c r="AW42" i="8"/>
  <c r="AE42" i="8"/>
  <c r="J42" i="8"/>
  <c r="AV42" i="8"/>
  <c r="AA42" i="8"/>
  <c r="I42" i="8"/>
  <c r="AU42" i="8"/>
  <c r="Y42" i="8"/>
  <c r="G42" i="8"/>
  <c r="BH42" i="8"/>
  <c r="AM42" i="8"/>
  <c r="U42" i="8"/>
  <c r="BI42" i="8"/>
  <c r="V42" i="8"/>
  <c r="BG42" i="8"/>
  <c r="S42" i="8"/>
  <c r="AK42" i="8"/>
  <c r="BF42" i="8"/>
  <c r="O42" i="8"/>
  <c r="BC42" i="8"/>
  <c r="L42" i="8"/>
  <c r="AH42" i="8"/>
  <c r="AT42" i="8"/>
  <c r="C42" i="8"/>
  <c r="AS42" i="8"/>
  <c r="AQ42" i="8"/>
  <c r="AJ42" i="8"/>
  <c r="D42" i="34"/>
  <c r="K44" i="31"/>
  <c r="K44" i="30"/>
  <c r="K44" i="29"/>
  <c r="J44" i="28"/>
  <c r="D48" i="34"/>
  <c r="K50" i="31"/>
  <c r="K50" i="30"/>
  <c r="K50" i="29"/>
  <c r="J50" i="28"/>
  <c r="BL18" i="8"/>
  <c r="AZ18" i="8"/>
  <c r="AN18" i="8"/>
  <c r="BM18" i="8"/>
  <c r="AY18" i="8"/>
  <c r="AL18" i="8"/>
  <c r="Z18" i="8"/>
  <c r="N18" i="8"/>
  <c r="BJ18" i="8"/>
  <c r="AW18" i="8"/>
  <c r="AJ18" i="8"/>
  <c r="X18" i="8"/>
  <c r="L18" i="8"/>
  <c r="BI18" i="8"/>
  <c r="AV18" i="8"/>
  <c r="AI18" i="8"/>
  <c r="W18" i="8"/>
  <c r="K18" i="8"/>
  <c r="BH18" i="8"/>
  <c r="AU18" i="8"/>
  <c r="AH18" i="8"/>
  <c r="V18" i="8"/>
  <c r="J18" i="8"/>
  <c r="BG18" i="8"/>
  <c r="AT18" i="8"/>
  <c r="AG18" i="8"/>
  <c r="U18" i="8"/>
  <c r="I18" i="8"/>
  <c r="BC18" i="8"/>
  <c r="AP18" i="8"/>
  <c r="AC18" i="8"/>
  <c r="Q18" i="8"/>
  <c r="E18" i="8"/>
  <c r="AQ18" i="8"/>
  <c r="R18" i="8"/>
  <c r="AA18" i="8"/>
  <c r="Y18" i="8"/>
  <c r="AO18" i="8"/>
  <c r="P18" i="8"/>
  <c r="AB18" i="8"/>
  <c r="BN18" i="8"/>
  <c r="AM18" i="8"/>
  <c r="O18" i="8"/>
  <c r="BK18" i="8"/>
  <c r="AK18" i="8"/>
  <c r="M18" i="8"/>
  <c r="BB18" i="8"/>
  <c r="C18" i="8"/>
  <c r="AX18" i="8"/>
  <c r="BF18" i="8"/>
  <c r="AF18" i="8"/>
  <c r="H18" i="8"/>
  <c r="BA18" i="8"/>
  <c r="BE18" i="8"/>
  <c r="AE18" i="8"/>
  <c r="G18" i="8"/>
  <c r="BD18" i="8"/>
  <c r="AD18" i="8"/>
  <c r="F18" i="8"/>
  <c r="D18" i="8"/>
  <c r="BH17" i="8"/>
  <c r="F38" i="31"/>
  <c r="F38" i="30"/>
  <c r="E38" i="28"/>
  <c r="F38" i="29"/>
  <c r="T18" i="1"/>
  <c r="K66" i="2"/>
  <c r="G35" i="3"/>
  <c r="J35" i="3" s="1"/>
  <c r="R35" i="3" s="1"/>
  <c r="G46" i="3"/>
  <c r="J46" i="3" s="1"/>
  <c r="R46" i="3" s="1"/>
  <c r="E6" i="35"/>
  <c r="N8" i="31"/>
  <c r="N8" i="30"/>
  <c r="N8" i="29"/>
  <c r="M8" i="28"/>
  <c r="E18" i="35"/>
  <c r="N20" i="31"/>
  <c r="N20" i="30"/>
  <c r="N20" i="29"/>
  <c r="M20" i="28"/>
  <c r="E30" i="35"/>
  <c r="N32" i="31"/>
  <c r="N32" i="30"/>
  <c r="N32" i="29"/>
  <c r="M32" i="28"/>
  <c r="E42" i="35"/>
  <c r="N44" i="31"/>
  <c r="N44" i="30"/>
  <c r="N44" i="29"/>
  <c r="M44" i="28"/>
  <c r="E54" i="35"/>
  <c r="N56" i="31"/>
  <c r="N56" i="30"/>
  <c r="M56" i="28"/>
  <c r="N56" i="29"/>
  <c r="E41" i="8"/>
  <c r="F51" i="31"/>
  <c r="F51" i="30"/>
  <c r="F51" i="29"/>
  <c r="E51" i="28"/>
  <c r="D20" i="35"/>
  <c r="J22" i="31"/>
  <c r="M22" i="31" s="1"/>
  <c r="J22" i="30"/>
  <c r="J22" i="29"/>
  <c r="M22" i="29" s="1"/>
  <c r="I22" i="28"/>
  <c r="L22" i="28" s="1"/>
  <c r="BL25" i="8"/>
  <c r="AZ25" i="8"/>
  <c r="AN25" i="8"/>
  <c r="AB25" i="8"/>
  <c r="P25" i="8"/>
  <c r="D25" i="8"/>
  <c r="BJ25" i="8"/>
  <c r="AX25" i="8"/>
  <c r="AL25" i="8"/>
  <c r="BH25" i="8"/>
  <c r="AV25" i="8"/>
  <c r="AJ25" i="8"/>
  <c r="X25" i="8"/>
  <c r="L25" i="8"/>
  <c r="BF25" i="8"/>
  <c r="AT25" i="8"/>
  <c r="AH25" i="8"/>
  <c r="V25" i="8"/>
  <c r="J25" i="8"/>
  <c r="BG25" i="8"/>
  <c r="AP25" i="8"/>
  <c r="Y25" i="8"/>
  <c r="H25" i="8"/>
  <c r="BD25" i="8"/>
  <c r="AM25" i="8"/>
  <c r="U25" i="8"/>
  <c r="F25" i="8"/>
  <c r="BC25" i="8"/>
  <c r="AK25" i="8"/>
  <c r="T25" i="8"/>
  <c r="E25" i="8"/>
  <c r="BB25" i="8"/>
  <c r="AI25" i="8"/>
  <c r="S25" i="8"/>
  <c r="C25" i="8"/>
  <c r="BA25" i="8"/>
  <c r="AG25" i="8"/>
  <c r="R25" i="8"/>
  <c r="BM25" i="8"/>
  <c r="AS25" i="8"/>
  <c r="AC25" i="8"/>
  <c r="M25" i="8"/>
  <c r="AO23" i="8"/>
  <c r="F64" i="31"/>
  <c r="F64" i="30"/>
  <c r="E64" i="28"/>
  <c r="F64" i="29"/>
  <c r="D33" i="35"/>
  <c r="J35" i="31"/>
  <c r="M35" i="31" s="1"/>
  <c r="J35" i="30"/>
  <c r="J35" i="29"/>
  <c r="I35" i="28"/>
  <c r="BH50" i="8"/>
  <c r="AV50" i="8"/>
  <c r="AJ50" i="8"/>
  <c r="X50" i="8"/>
  <c r="L50" i="8"/>
  <c r="BF50" i="8"/>
  <c r="AT50" i="8"/>
  <c r="AH50" i="8"/>
  <c r="V50" i="8"/>
  <c r="J50" i="8"/>
  <c r="BE50" i="8"/>
  <c r="AS50" i="8"/>
  <c r="AG50" i="8"/>
  <c r="U50" i="8"/>
  <c r="I50" i="8"/>
  <c r="BD50" i="8"/>
  <c r="AR50" i="8"/>
  <c r="AF50" i="8"/>
  <c r="T50" i="8"/>
  <c r="H50" i="8"/>
  <c r="BN50" i="8"/>
  <c r="BB50" i="8"/>
  <c r="AP50" i="8"/>
  <c r="AD50" i="8"/>
  <c r="R50" i="8"/>
  <c r="F50" i="8"/>
  <c r="BG50" i="8"/>
  <c r="AL50" i="8"/>
  <c r="P50" i="8"/>
  <c r="BA50" i="8"/>
  <c r="AI50" i="8"/>
  <c r="N50" i="8"/>
  <c r="AZ50" i="8"/>
  <c r="AE50" i="8"/>
  <c r="M50" i="8"/>
  <c r="AY50" i="8"/>
  <c r="AC50" i="8"/>
  <c r="K50" i="8"/>
  <c r="AX50" i="8"/>
  <c r="AB50" i="8"/>
  <c r="G50" i="8"/>
  <c r="BK50" i="8"/>
  <c r="AO50" i="8"/>
  <c r="W50" i="8"/>
  <c r="AZ26" i="8"/>
  <c r="BJ50" i="8"/>
  <c r="F5" i="31"/>
  <c r="F5" i="30"/>
  <c r="F5" i="29"/>
  <c r="E5" i="28"/>
  <c r="F17" i="31"/>
  <c r="F17" i="30"/>
  <c r="E17" i="28"/>
  <c r="F17" i="29"/>
  <c r="F41" i="31"/>
  <c r="F41" i="30"/>
  <c r="F41" i="29"/>
  <c r="E41" i="28"/>
  <c r="F65" i="31"/>
  <c r="F65" i="30"/>
  <c r="F65" i="29"/>
  <c r="E65" i="28"/>
  <c r="D10" i="35"/>
  <c r="J12" i="31"/>
  <c r="M12" i="31" s="1"/>
  <c r="J12" i="30"/>
  <c r="J12" i="29"/>
  <c r="M12" i="29" s="1"/>
  <c r="I12" i="28"/>
  <c r="D22" i="35"/>
  <c r="J24" i="31"/>
  <c r="M24" i="31" s="1"/>
  <c r="J24" i="30"/>
  <c r="J24" i="29"/>
  <c r="M24" i="29" s="1"/>
  <c r="I24" i="28"/>
  <c r="D34" i="35"/>
  <c r="J36" i="31"/>
  <c r="M36" i="31" s="1"/>
  <c r="J36" i="30"/>
  <c r="J36" i="29"/>
  <c r="M36" i="29" s="1"/>
  <c r="I36" i="28"/>
  <c r="L36" i="28" s="1"/>
  <c r="D46" i="35"/>
  <c r="J48" i="31"/>
  <c r="M48" i="31" s="1"/>
  <c r="J48" i="30"/>
  <c r="J48" i="29"/>
  <c r="M48" i="29" s="1"/>
  <c r="I48" i="28"/>
  <c r="D58" i="35"/>
  <c r="J60" i="31"/>
  <c r="M60" i="31" s="1"/>
  <c r="J60" i="30"/>
  <c r="J60" i="29"/>
  <c r="M60" i="29" s="1"/>
  <c r="I60" i="28"/>
  <c r="C2" i="8" a="1"/>
  <c r="F8" i="8"/>
  <c r="AD8" i="8"/>
  <c r="BB8" i="8"/>
  <c r="A55" i="8"/>
  <c r="A43" i="8"/>
  <c r="A31" i="8"/>
  <c r="A19" i="8"/>
  <c r="A53" i="8"/>
  <c r="A41" i="8"/>
  <c r="A29" i="8"/>
  <c r="A17" i="8"/>
  <c r="A64" i="8"/>
  <c r="A52" i="8"/>
  <c r="A40" i="8"/>
  <c r="A28" i="8"/>
  <c r="A16" i="8"/>
  <c r="A63" i="8"/>
  <c r="A51" i="8"/>
  <c r="A39" i="8"/>
  <c r="A27" i="8"/>
  <c r="A15" i="8"/>
  <c r="A62" i="8"/>
  <c r="A50" i="8"/>
  <c r="A38" i="8"/>
  <c r="A26" i="8"/>
  <c r="A14" i="8"/>
  <c r="A58" i="8"/>
  <c r="A46" i="8"/>
  <c r="A34" i="8"/>
  <c r="A22" i="8"/>
  <c r="A11" i="8"/>
  <c r="A35" i="8"/>
  <c r="A59" i="8"/>
  <c r="B28" i="8"/>
  <c r="B52" i="8"/>
  <c r="N23" i="8"/>
  <c r="N25" i="8"/>
  <c r="AU25" i="8"/>
  <c r="S26" i="8"/>
  <c r="BC26" i="8"/>
  <c r="K47" i="8"/>
  <c r="AY47" i="8"/>
  <c r="F49" i="8"/>
  <c r="AS49" i="8"/>
  <c r="Y50" i="8"/>
  <c r="BL50" i="8"/>
  <c r="BH23" i="8"/>
  <c r="AV23" i="8"/>
  <c r="AJ23" i="8"/>
  <c r="X23" i="8"/>
  <c r="L23" i="8"/>
  <c r="BD23" i="8"/>
  <c r="AR23" i="8"/>
  <c r="AF23" i="8"/>
  <c r="T23" i="8"/>
  <c r="H23" i="8"/>
  <c r="BN23" i="8"/>
  <c r="BB23" i="8"/>
  <c r="AP23" i="8"/>
  <c r="AD23" i="8"/>
  <c r="R23" i="8"/>
  <c r="F23" i="8"/>
  <c r="BE23" i="8"/>
  <c r="AN23" i="8"/>
  <c r="Y23" i="8"/>
  <c r="I23" i="8"/>
  <c r="BA23" i="8"/>
  <c r="AL23" i="8"/>
  <c r="V23" i="8"/>
  <c r="E23" i="8"/>
  <c r="AZ23" i="8"/>
  <c r="AK23" i="8"/>
  <c r="U23" i="8"/>
  <c r="D23" i="8"/>
  <c r="AY23" i="8"/>
  <c r="AI23" i="8"/>
  <c r="S23" i="8"/>
  <c r="C23" i="8"/>
  <c r="BM23" i="8"/>
  <c r="AX23" i="8"/>
  <c r="AH23" i="8"/>
  <c r="Q23" i="8"/>
  <c r="BI23" i="8"/>
  <c r="AS23" i="8"/>
  <c r="AB23" i="8"/>
  <c r="M23" i="8"/>
  <c r="AM23" i="8"/>
  <c r="AO47" i="8"/>
  <c r="F39" i="31"/>
  <c r="F39" i="30"/>
  <c r="F39" i="29"/>
  <c r="E39" i="28"/>
  <c r="D32" i="35"/>
  <c r="J34" i="31"/>
  <c r="J34" i="30"/>
  <c r="J34" i="29"/>
  <c r="I34" i="28"/>
  <c r="AY8" i="8"/>
  <c r="D47" i="8"/>
  <c r="AP49" i="8"/>
  <c r="D21" i="35"/>
  <c r="J23" i="31"/>
  <c r="J23" i="30"/>
  <c r="J23" i="29"/>
  <c r="I23" i="28"/>
  <c r="AB8" i="8"/>
  <c r="AQ23" i="8"/>
  <c r="P26" i="8"/>
  <c r="F29" i="31"/>
  <c r="F29" i="30"/>
  <c r="F29" i="29"/>
  <c r="E29" i="28"/>
  <c r="F6" i="31"/>
  <c r="F6" i="30"/>
  <c r="F6" i="29"/>
  <c r="E6" i="28"/>
  <c r="F18" i="31"/>
  <c r="F18" i="30"/>
  <c r="F18" i="29"/>
  <c r="E18" i="28"/>
  <c r="F30" i="31"/>
  <c r="F30" i="29"/>
  <c r="F30" i="30"/>
  <c r="E30" i="28"/>
  <c r="D11" i="35"/>
  <c r="J13" i="31"/>
  <c r="M13" i="31" s="1"/>
  <c r="J13" i="30"/>
  <c r="J13" i="29"/>
  <c r="M13" i="29" s="1"/>
  <c r="I13" i="28"/>
  <c r="L13" i="28" s="1"/>
  <c r="D23" i="35"/>
  <c r="J25" i="31"/>
  <c r="M25" i="31" s="1"/>
  <c r="J25" i="30"/>
  <c r="J25" i="29"/>
  <c r="M25" i="29" s="1"/>
  <c r="I25" i="28"/>
  <c r="D35" i="35"/>
  <c r="J37" i="30"/>
  <c r="J37" i="31"/>
  <c r="J37" i="29"/>
  <c r="I37" i="28"/>
  <c r="D47" i="35"/>
  <c r="J49" i="31"/>
  <c r="M49" i="31" s="1"/>
  <c r="J49" i="30"/>
  <c r="J49" i="29"/>
  <c r="M49" i="29" s="1"/>
  <c r="I49" i="28"/>
  <c r="L49" i="28" s="1"/>
  <c r="D59" i="35"/>
  <c r="J61" i="31"/>
  <c r="J61" i="30"/>
  <c r="J61" i="29"/>
  <c r="M61" i="29" s="1"/>
  <c r="I61" i="28"/>
  <c r="L61" i="28" s="1"/>
  <c r="E11" i="35"/>
  <c r="N13" i="31"/>
  <c r="N13" i="30"/>
  <c r="N13" i="29"/>
  <c r="M13" i="28"/>
  <c r="E23" i="35"/>
  <c r="N25" i="31"/>
  <c r="N25" i="30"/>
  <c r="N25" i="29"/>
  <c r="M25" i="28"/>
  <c r="E35" i="35"/>
  <c r="N37" i="31"/>
  <c r="N37" i="30"/>
  <c r="N37" i="29"/>
  <c r="M37" i="28"/>
  <c r="E47" i="35"/>
  <c r="N49" i="31"/>
  <c r="N49" i="30"/>
  <c r="N49" i="29"/>
  <c r="M49" i="28"/>
  <c r="E59" i="35"/>
  <c r="N61" i="31"/>
  <c r="N61" i="30"/>
  <c r="N61" i="29"/>
  <c r="M61" i="28"/>
  <c r="F6" i="7"/>
  <c r="G8" i="8"/>
  <c r="AE8" i="8"/>
  <c r="BC8" i="8"/>
  <c r="U10" i="8"/>
  <c r="AS10" i="8"/>
  <c r="A12" i="8"/>
  <c r="A36" i="8"/>
  <c r="A60" i="8"/>
  <c r="B29" i="8"/>
  <c r="B53" i="8"/>
  <c r="O23" i="8"/>
  <c r="AU23" i="8"/>
  <c r="O25" i="8"/>
  <c r="AW25" i="8"/>
  <c r="U26" i="8"/>
  <c r="M47" i="8"/>
  <c r="AZ47" i="8"/>
  <c r="G49" i="8"/>
  <c r="AU49" i="8"/>
  <c r="Z50" i="8"/>
  <c r="BM50" i="8"/>
  <c r="G23" i="8"/>
  <c r="J23" i="8"/>
  <c r="F16" i="31"/>
  <c r="F16" i="30"/>
  <c r="F16" i="29"/>
  <c r="E16" i="28"/>
  <c r="D9" i="35"/>
  <c r="J11" i="31"/>
  <c r="J11" i="30"/>
  <c r="J11" i="29"/>
  <c r="I11" i="28"/>
  <c r="D8" i="8"/>
  <c r="BH26" i="8"/>
  <c r="AV26" i="8"/>
  <c r="AJ26" i="8"/>
  <c r="X26" i="8"/>
  <c r="L26" i="8"/>
  <c r="BF26" i="8"/>
  <c r="AT26" i="8"/>
  <c r="AH26" i="8"/>
  <c r="V26" i="8"/>
  <c r="J26" i="8"/>
  <c r="BD26" i="8"/>
  <c r="AR26" i="8"/>
  <c r="AF26" i="8"/>
  <c r="T26" i="8"/>
  <c r="H26" i="8"/>
  <c r="BN26" i="8"/>
  <c r="BB26" i="8"/>
  <c r="AP26" i="8"/>
  <c r="AD26" i="8"/>
  <c r="R26" i="8"/>
  <c r="F26" i="8"/>
  <c r="AX26" i="8"/>
  <c r="AE26" i="8"/>
  <c r="N26" i="8"/>
  <c r="BL26" i="8"/>
  <c r="AU26" i="8"/>
  <c r="AB26" i="8"/>
  <c r="K26" i="8"/>
  <c r="BK26" i="8"/>
  <c r="AS26" i="8"/>
  <c r="AA26" i="8"/>
  <c r="I26" i="8"/>
  <c r="BJ26" i="8"/>
  <c r="AQ26" i="8"/>
  <c r="Z26" i="8"/>
  <c r="G26" i="8"/>
  <c r="BI26" i="8"/>
  <c r="AO26" i="8"/>
  <c r="Y26" i="8"/>
  <c r="E26" i="8"/>
  <c r="BA26" i="8"/>
  <c r="AK26" i="8"/>
  <c r="Q26" i="8"/>
  <c r="K25" i="8"/>
  <c r="C49" i="8"/>
  <c r="F53" i="31"/>
  <c r="F53" i="30"/>
  <c r="F53" i="29"/>
  <c r="E53" i="28"/>
  <c r="F7" i="31"/>
  <c r="F7" i="30"/>
  <c r="F7" i="29"/>
  <c r="E7" i="28"/>
  <c r="F19" i="31"/>
  <c r="F19" i="30"/>
  <c r="F19" i="29"/>
  <c r="E19" i="28"/>
  <c r="F31" i="31"/>
  <c r="F31" i="30"/>
  <c r="F31" i="29"/>
  <c r="E31" i="28"/>
  <c r="F43" i="31"/>
  <c r="F43" i="30"/>
  <c r="F43" i="29"/>
  <c r="E43" i="28"/>
  <c r="F55" i="31"/>
  <c r="F55" i="30"/>
  <c r="F55" i="29"/>
  <c r="E55" i="28"/>
  <c r="K17" i="3"/>
  <c r="K70" i="3" s="1"/>
  <c r="D12" i="35"/>
  <c r="J14" i="31"/>
  <c r="J14" i="30"/>
  <c r="J14" i="29"/>
  <c r="I14" i="28"/>
  <c r="D24" i="35"/>
  <c r="J26" i="31"/>
  <c r="J26" i="30"/>
  <c r="J26" i="29"/>
  <c r="I26" i="28"/>
  <c r="D36" i="35"/>
  <c r="J38" i="31"/>
  <c r="M38" i="31" s="1"/>
  <c r="J38" i="30"/>
  <c r="J38" i="29"/>
  <c r="M38" i="29" s="1"/>
  <c r="I38" i="28"/>
  <c r="L38" i="28" s="1"/>
  <c r="D48" i="35"/>
  <c r="J50" i="31"/>
  <c r="J50" i="30"/>
  <c r="J50" i="29"/>
  <c r="I50" i="28"/>
  <c r="D60" i="35"/>
  <c r="J62" i="31"/>
  <c r="J62" i="30"/>
  <c r="I62" i="28"/>
  <c r="J62" i="29"/>
  <c r="F67" i="5"/>
  <c r="G67" i="5" s="1"/>
  <c r="J67" i="5" s="1"/>
  <c r="F64" i="5"/>
  <c r="G64" i="5" s="1"/>
  <c r="J64" i="5" s="1"/>
  <c r="F61" i="5"/>
  <c r="G61" i="5" s="1"/>
  <c r="J61" i="5" s="1"/>
  <c r="F58" i="5"/>
  <c r="G58" i="5" s="1"/>
  <c r="J58" i="5" s="1"/>
  <c r="F55" i="5"/>
  <c r="G55" i="5" s="1"/>
  <c r="J55" i="5" s="1"/>
  <c r="F52" i="5"/>
  <c r="G52" i="5" s="1"/>
  <c r="J52" i="5" s="1"/>
  <c r="F49" i="5"/>
  <c r="G49" i="5" s="1"/>
  <c r="J49" i="5" s="1"/>
  <c r="F46" i="5"/>
  <c r="G46" i="5" s="1"/>
  <c r="J46" i="5" s="1"/>
  <c r="F43" i="5"/>
  <c r="G43" i="5" s="1"/>
  <c r="J43" i="5" s="1"/>
  <c r="F40" i="5"/>
  <c r="G40" i="5" s="1"/>
  <c r="J40" i="5" s="1"/>
  <c r="F37" i="5"/>
  <c r="G37" i="5" s="1"/>
  <c r="J37" i="5" s="1"/>
  <c r="F34" i="5"/>
  <c r="G34" i="5" s="1"/>
  <c r="J34" i="5" s="1"/>
  <c r="F31" i="5"/>
  <c r="G31" i="5" s="1"/>
  <c r="J31" i="5" s="1"/>
  <c r="F28" i="5"/>
  <c r="G28" i="5" s="1"/>
  <c r="J28" i="5" s="1"/>
  <c r="F25" i="5"/>
  <c r="G25" i="5" s="1"/>
  <c r="J25" i="5" s="1"/>
  <c r="F22" i="5"/>
  <c r="G22" i="5" s="1"/>
  <c r="J22" i="5" s="1"/>
  <c r="F19" i="5"/>
  <c r="G19" i="5" s="1"/>
  <c r="J19" i="5" s="1"/>
  <c r="F9" i="5"/>
  <c r="G9" i="5" s="1"/>
  <c r="J9" i="5" s="1"/>
  <c r="F68" i="5"/>
  <c r="G68" i="5" s="1"/>
  <c r="J68" i="5" s="1"/>
  <c r="F65" i="5"/>
  <c r="G65" i="5" s="1"/>
  <c r="J65" i="5" s="1"/>
  <c r="F62" i="5"/>
  <c r="G62" i="5" s="1"/>
  <c r="J62" i="5" s="1"/>
  <c r="F59" i="5"/>
  <c r="G59" i="5" s="1"/>
  <c r="J59" i="5" s="1"/>
  <c r="F56" i="5"/>
  <c r="G56" i="5" s="1"/>
  <c r="J56" i="5" s="1"/>
  <c r="F53" i="5"/>
  <c r="G53" i="5" s="1"/>
  <c r="J53" i="5" s="1"/>
  <c r="F50" i="5"/>
  <c r="G50" i="5" s="1"/>
  <c r="J50" i="5" s="1"/>
  <c r="D70" i="7"/>
  <c r="H8" i="8"/>
  <c r="AF8" i="8"/>
  <c r="V10" i="8"/>
  <c r="A13" i="8"/>
  <c r="A37" i="8"/>
  <c r="A61" i="8"/>
  <c r="B30" i="8"/>
  <c r="P23" i="8"/>
  <c r="AW23" i="8"/>
  <c r="Q25" i="8"/>
  <c r="AY25" i="8"/>
  <c r="W26" i="8"/>
  <c r="BG26" i="8"/>
  <c r="N47" i="8"/>
  <c r="H49" i="8"/>
  <c r="AY49" i="8"/>
  <c r="AA50" i="8"/>
  <c r="BH47" i="8"/>
  <c r="AV47" i="8"/>
  <c r="AJ47" i="8"/>
  <c r="X47" i="8"/>
  <c r="L47" i="8"/>
  <c r="BF47" i="8"/>
  <c r="AT47" i="8"/>
  <c r="AH47" i="8"/>
  <c r="V47" i="8"/>
  <c r="J47" i="8"/>
  <c r="BE47" i="8"/>
  <c r="AS47" i="8"/>
  <c r="AG47" i="8"/>
  <c r="U47" i="8"/>
  <c r="I47" i="8"/>
  <c r="BD47" i="8"/>
  <c r="AR47" i="8"/>
  <c r="AF47" i="8"/>
  <c r="T47" i="8"/>
  <c r="H47" i="8"/>
  <c r="BN47" i="8"/>
  <c r="BB47" i="8"/>
  <c r="AP47" i="8"/>
  <c r="AD47" i="8"/>
  <c r="R47" i="8"/>
  <c r="F47" i="8"/>
  <c r="BL47" i="8"/>
  <c r="AQ47" i="8"/>
  <c r="Y47" i="8"/>
  <c r="C47" i="8"/>
  <c r="BJ47" i="8"/>
  <c r="AN47" i="8"/>
  <c r="S47" i="8"/>
  <c r="BI47" i="8"/>
  <c r="AM47" i="8"/>
  <c r="Q47" i="8"/>
  <c r="BG47" i="8"/>
  <c r="AL47" i="8"/>
  <c r="P47" i="8"/>
  <c r="BC47" i="8"/>
  <c r="AK47" i="8"/>
  <c r="O47" i="8"/>
  <c r="AX47" i="8"/>
  <c r="AB47" i="8"/>
  <c r="G47" i="8"/>
  <c r="F27" i="31"/>
  <c r="F27" i="30"/>
  <c r="F27" i="29"/>
  <c r="E27" i="28"/>
  <c r="D56" i="35"/>
  <c r="J58" i="31"/>
  <c r="M58" i="31" s="1"/>
  <c r="J58" i="30"/>
  <c r="J58" i="29"/>
  <c r="M58" i="29" s="1"/>
  <c r="I58" i="28"/>
  <c r="L58" i="28" s="1"/>
  <c r="BJ8" i="8"/>
  <c r="AX8" i="8"/>
  <c r="AL8" i="8"/>
  <c r="Z8" i="8"/>
  <c r="N8" i="8"/>
  <c r="C8" i="8"/>
  <c r="BH8" i="8"/>
  <c r="AV8" i="8"/>
  <c r="AJ8" i="8"/>
  <c r="X8" i="8"/>
  <c r="L8" i="8"/>
  <c r="BG8" i="8"/>
  <c r="AU8" i="8"/>
  <c r="AI8" i="8"/>
  <c r="W8" i="8"/>
  <c r="K8" i="8"/>
  <c r="BF8" i="8"/>
  <c r="AT8" i="8"/>
  <c r="AH8" i="8"/>
  <c r="V8" i="8"/>
  <c r="J8" i="8"/>
  <c r="BE8" i="8"/>
  <c r="AS8" i="8"/>
  <c r="AG8" i="8"/>
  <c r="U8" i="8"/>
  <c r="I8" i="8"/>
  <c r="BM8" i="8"/>
  <c r="BA8" i="8"/>
  <c r="AO8" i="8"/>
  <c r="AC8" i="8"/>
  <c r="Q8" i="8"/>
  <c r="E8" i="8"/>
  <c r="F4" i="31"/>
  <c r="F4" i="30"/>
  <c r="F4" i="29"/>
  <c r="E4" i="28"/>
  <c r="AZ8" i="8"/>
  <c r="E47" i="8"/>
  <c r="F8" i="31"/>
  <c r="F8" i="30"/>
  <c r="F8" i="29"/>
  <c r="E8" i="28"/>
  <c r="F32" i="31"/>
  <c r="F32" i="30"/>
  <c r="F32" i="29"/>
  <c r="E32" i="28"/>
  <c r="F44" i="31"/>
  <c r="F44" i="30"/>
  <c r="F44" i="29"/>
  <c r="E44" i="28"/>
  <c r="D13" i="35"/>
  <c r="J15" i="31"/>
  <c r="J15" i="30"/>
  <c r="I15" i="28"/>
  <c r="J15" i="29"/>
  <c r="M15" i="29" s="1"/>
  <c r="D37" i="35"/>
  <c r="J39" i="31"/>
  <c r="M39" i="31" s="1"/>
  <c r="J39" i="30"/>
  <c r="J39" i="29"/>
  <c r="M39" i="29" s="1"/>
  <c r="I39" i="28"/>
  <c r="D61" i="35"/>
  <c r="J63" i="31"/>
  <c r="M63" i="31" s="1"/>
  <c r="J63" i="29"/>
  <c r="M63" i="29" s="1"/>
  <c r="J63" i="30"/>
  <c r="I63" i="28"/>
  <c r="L63" i="28" s="1"/>
  <c r="E1" i="35"/>
  <c r="N3" i="31"/>
  <c r="N3" i="30"/>
  <c r="N3" i="29"/>
  <c r="M3" i="28"/>
  <c r="E13" i="35"/>
  <c r="N15" i="31"/>
  <c r="N15" i="30"/>
  <c r="N15" i="29"/>
  <c r="M15" i="28"/>
  <c r="E25" i="35"/>
  <c r="N27" i="31"/>
  <c r="N27" i="30"/>
  <c r="N27" i="29"/>
  <c r="M27" i="28"/>
  <c r="E37" i="35"/>
  <c r="N39" i="31"/>
  <c r="N39" i="30"/>
  <c r="N39" i="29"/>
  <c r="M39" i="28"/>
  <c r="E49" i="35"/>
  <c r="N51" i="31"/>
  <c r="N51" i="30"/>
  <c r="N51" i="29"/>
  <c r="M51" i="28"/>
  <c r="E61" i="35"/>
  <c r="N63" i="31"/>
  <c r="N63" i="30"/>
  <c r="N63" i="29"/>
  <c r="M63" i="28"/>
  <c r="E70" i="7"/>
  <c r="M8" i="8"/>
  <c r="AK8" i="8"/>
  <c r="BI8" i="8"/>
  <c r="BL10" i="8"/>
  <c r="AZ10" i="8"/>
  <c r="AN10" i="8"/>
  <c r="AB10" i="8"/>
  <c r="P10" i="8"/>
  <c r="D10" i="8"/>
  <c r="BJ10" i="8"/>
  <c r="AX10" i="8"/>
  <c r="AL10" i="8"/>
  <c r="Z10" i="8"/>
  <c r="N10" i="8"/>
  <c r="C10" i="8"/>
  <c r="BI10" i="8"/>
  <c r="AW10" i="8"/>
  <c r="AK10" i="8"/>
  <c r="Y10" i="8"/>
  <c r="M10" i="8"/>
  <c r="BH10" i="8"/>
  <c r="AV10" i="8"/>
  <c r="AJ10" i="8"/>
  <c r="X10" i="8"/>
  <c r="L10" i="8"/>
  <c r="BG10" i="8"/>
  <c r="AU10" i="8"/>
  <c r="AI10" i="8"/>
  <c r="W10" i="8"/>
  <c r="K10" i="8"/>
  <c r="BC10" i="8"/>
  <c r="AQ10" i="8"/>
  <c r="AE10" i="8"/>
  <c r="S10" i="8"/>
  <c r="G10" i="8"/>
  <c r="AA10" i="8"/>
  <c r="AY10" i="8"/>
  <c r="A18" i="8"/>
  <c r="A42" i="8"/>
  <c r="B60" i="8"/>
  <c r="B48" i="8"/>
  <c r="B36" i="8"/>
  <c r="B24" i="8"/>
  <c r="B12" i="8"/>
  <c r="B58" i="8"/>
  <c r="B46" i="8"/>
  <c r="B34" i="8"/>
  <c r="B22" i="8"/>
  <c r="B11" i="8"/>
  <c r="B57" i="8"/>
  <c r="B45" i="8"/>
  <c r="B33" i="8"/>
  <c r="B21" i="8"/>
  <c r="B56" i="8"/>
  <c r="B44" i="8"/>
  <c r="B32" i="8"/>
  <c r="B20" i="8"/>
  <c r="B55" i="8"/>
  <c r="B43" i="8"/>
  <c r="B31" i="8"/>
  <c r="B19" i="8"/>
  <c r="B63" i="8"/>
  <c r="B51" i="8"/>
  <c r="B39" i="8"/>
  <c r="B27" i="8"/>
  <c r="B15" i="8"/>
  <c r="B35" i="8"/>
  <c r="B59" i="8"/>
  <c r="W23" i="8"/>
  <c r="BC23" i="8"/>
  <c r="W25" i="8"/>
  <c r="BE25" i="8"/>
  <c r="AC26" i="8"/>
  <c r="BM26" i="8"/>
  <c r="W47" i="8"/>
  <c r="BK47" i="8"/>
  <c r="R49" i="8"/>
  <c r="BE49" i="8"/>
  <c r="AK50" i="8"/>
  <c r="F15" i="31"/>
  <c r="F15" i="30"/>
  <c r="F15" i="29"/>
  <c r="E15" i="28"/>
  <c r="D8" i="35"/>
  <c r="J10" i="31"/>
  <c r="J10" i="30"/>
  <c r="J10" i="29"/>
  <c r="I10" i="28"/>
  <c r="F28" i="31"/>
  <c r="F28" i="30"/>
  <c r="F28" i="29"/>
  <c r="E28" i="28"/>
  <c r="D57" i="35"/>
  <c r="J59" i="31"/>
  <c r="J59" i="30"/>
  <c r="J59" i="29"/>
  <c r="I59" i="28"/>
  <c r="F20" i="31"/>
  <c r="F20" i="30"/>
  <c r="E20" i="28"/>
  <c r="F20" i="29"/>
  <c r="F56" i="31"/>
  <c r="F56" i="30"/>
  <c r="F56" i="29"/>
  <c r="E56" i="28"/>
  <c r="D1" i="35"/>
  <c r="J3" i="31"/>
  <c r="J3" i="30"/>
  <c r="J3" i="29"/>
  <c r="I3" i="28"/>
  <c r="D25" i="35"/>
  <c r="J27" i="30"/>
  <c r="J27" i="31"/>
  <c r="M27" i="31" s="1"/>
  <c r="J27" i="29"/>
  <c r="M27" i="29" s="1"/>
  <c r="I27" i="28"/>
  <c r="L27" i="28" s="1"/>
  <c r="D49" i="35"/>
  <c r="J51" i="31"/>
  <c r="M51" i="31" s="1"/>
  <c r="J51" i="30"/>
  <c r="J51" i="29"/>
  <c r="I51" i="28"/>
  <c r="L51" i="28" s="1"/>
  <c r="F10" i="1"/>
  <c r="G10" i="1" s="1"/>
  <c r="J10" i="1" s="1"/>
  <c r="F13" i="1"/>
  <c r="G13" i="1" s="1"/>
  <c r="J13" i="1" s="1"/>
  <c r="F20" i="1"/>
  <c r="G20" i="1" s="1"/>
  <c r="J20" i="1" s="1"/>
  <c r="F23" i="1"/>
  <c r="G23" i="1" s="1"/>
  <c r="J23" i="1" s="1"/>
  <c r="F26" i="1"/>
  <c r="G26" i="1" s="1"/>
  <c r="J26" i="1" s="1"/>
  <c r="F29" i="1"/>
  <c r="G29" i="1" s="1"/>
  <c r="J29" i="1" s="1"/>
  <c r="F32" i="1"/>
  <c r="G32" i="1" s="1"/>
  <c r="J32" i="1" s="1"/>
  <c r="F35" i="1"/>
  <c r="G35" i="1" s="1"/>
  <c r="J35" i="1" s="1"/>
  <c r="F38" i="1"/>
  <c r="G38" i="1" s="1"/>
  <c r="J38" i="1" s="1"/>
  <c r="F41" i="1"/>
  <c r="G41" i="1" s="1"/>
  <c r="J41" i="1" s="1"/>
  <c r="F44" i="1"/>
  <c r="G44" i="1" s="1"/>
  <c r="J44" i="1" s="1"/>
  <c r="F47" i="1"/>
  <c r="G47" i="1" s="1"/>
  <c r="J47" i="1" s="1"/>
  <c r="F50" i="1"/>
  <c r="G50" i="1" s="1"/>
  <c r="J50" i="1" s="1"/>
  <c r="F53" i="1"/>
  <c r="G53" i="1" s="1"/>
  <c r="J53" i="1" s="1"/>
  <c r="F56" i="1"/>
  <c r="G56" i="1" s="1"/>
  <c r="J56" i="1" s="1"/>
  <c r="F59" i="1"/>
  <c r="G59" i="1" s="1"/>
  <c r="J59" i="1" s="1"/>
  <c r="F62" i="1"/>
  <c r="G62" i="1" s="1"/>
  <c r="J62" i="1" s="1"/>
  <c r="F65" i="1"/>
  <c r="G65" i="1" s="1"/>
  <c r="J65" i="1" s="1"/>
  <c r="F9" i="31"/>
  <c r="F9" i="30"/>
  <c r="F9" i="29"/>
  <c r="E9" i="28"/>
  <c r="F21" i="31"/>
  <c r="F21" i="30"/>
  <c r="F21" i="29"/>
  <c r="E21" i="28"/>
  <c r="F33" i="31"/>
  <c r="F33" i="30"/>
  <c r="F33" i="29"/>
  <c r="E33" i="28"/>
  <c r="F45" i="31"/>
  <c r="F45" i="30"/>
  <c r="F45" i="29"/>
  <c r="E45" i="28"/>
  <c r="F57" i="31"/>
  <c r="F57" i="29"/>
  <c r="F57" i="30"/>
  <c r="E57" i="28"/>
  <c r="K8" i="3"/>
  <c r="F36" i="5"/>
  <c r="G36" i="5" s="1"/>
  <c r="J36" i="5" s="1"/>
  <c r="F48" i="5"/>
  <c r="G48" i="5" s="1"/>
  <c r="J48" i="5" s="1"/>
  <c r="F54" i="5"/>
  <c r="G54" i="5" s="1"/>
  <c r="J54" i="5" s="1"/>
  <c r="F60" i="5"/>
  <c r="G60" i="5" s="1"/>
  <c r="J60" i="5" s="1"/>
  <c r="F66" i="5"/>
  <c r="G66" i="5" s="1"/>
  <c r="J66" i="5" s="1"/>
  <c r="E2" i="35"/>
  <c r="N4" i="31"/>
  <c r="N4" i="30"/>
  <c r="N4" i="29"/>
  <c r="M4" i="28"/>
  <c r="E14" i="35"/>
  <c r="N16" i="31"/>
  <c r="N16" i="30"/>
  <c r="N16" i="29"/>
  <c r="M16" i="28"/>
  <c r="E26" i="35"/>
  <c r="N28" i="31"/>
  <c r="N28" i="30"/>
  <c r="N28" i="29"/>
  <c r="M28" i="28"/>
  <c r="E38" i="35"/>
  <c r="N40" i="31"/>
  <c r="N40" i="30"/>
  <c r="N40" i="29"/>
  <c r="M40" i="28"/>
  <c r="E50" i="35"/>
  <c r="N52" i="31"/>
  <c r="N52" i="30"/>
  <c r="N52" i="29"/>
  <c r="M52" i="28"/>
  <c r="E62" i="35"/>
  <c r="N64" i="31"/>
  <c r="N64" i="30"/>
  <c r="N64" i="29"/>
  <c r="M64" i="28"/>
  <c r="BM5" i="8"/>
  <c r="BA5" i="8"/>
  <c r="AO5" i="8"/>
  <c r="AC5" i="8"/>
  <c r="Q5" i="8"/>
  <c r="E5" i="8"/>
  <c r="BK5" i="8"/>
  <c r="AY5" i="8"/>
  <c r="AM5" i="8"/>
  <c r="AA5" i="8"/>
  <c r="O5" i="8"/>
  <c r="C5" i="8"/>
  <c r="BJ5" i="8"/>
  <c r="AX5" i="8"/>
  <c r="AL5" i="8"/>
  <c r="Z5" i="8"/>
  <c r="N5" i="8"/>
  <c r="BI5" i="8"/>
  <c r="AW5" i="8"/>
  <c r="AK5" i="8"/>
  <c r="Y5" i="8"/>
  <c r="M5" i="8"/>
  <c r="BH5" i="8"/>
  <c r="AV5" i="8"/>
  <c r="AJ5" i="8"/>
  <c r="X5" i="8"/>
  <c r="L5" i="8"/>
  <c r="BD5" i="8"/>
  <c r="AR5" i="8"/>
  <c r="AF5" i="8"/>
  <c r="T5" i="8"/>
  <c r="H5" i="8"/>
  <c r="P5" i="8"/>
  <c r="AN5" i="8"/>
  <c r="BL5" i="8"/>
  <c r="O8" i="8"/>
  <c r="AM8" i="8"/>
  <c r="BK8" i="8"/>
  <c r="E10" i="8"/>
  <c r="AC10" i="8"/>
  <c r="BA10" i="8"/>
  <c r="A20" i="8"/>
  <c r="A44" i="8"/>
  <c r="B13" i="8"/>
  <c r="B37" i="8"/>
  <c r="B61" i="8"/>
  <c r="Z23" i="8"/>
  <c r="BF23" i="8"/>
  <c r="Z25" i="8"/>
  <c r="BI25" i="8"/>
  <c r="AG26" i="8"/>
  <c r="Z47" i="8"/>
  <c r="BM47" i="8"/>
  <c r="T49" i="8"/>
  <c r="BK49" i="8"/>
  <c r="AM50" i="8"/>
  <c r="AA8" i="8"/>
  <c r="I25" i="8"/>
  <c r="AU47" i="8"/>
  <c r="F40" i="31"/>
  <c r="F40" i="30"/>
  <c r="F40" i="29"/>
  <c r="E40" i="28"/>
  <c r="K23" i="8"/>
  <c r="AR25" i="8"/>
  <c r="AW47" i="8"/>
  <c r="S50" i="8"/>
  <c r="F10" i="31"/>
  <c r="F10" i="30"/>
  <c r="F10" i="29"/>
  <c r="E10" i="28"/>
  <c r="F22" i="31"/>
  <c r="F22" i="30"/>
  <c r="F22" i="29"/>
  <c r="E22" i="28"/>
  <c r="F34" i="31"/>
  <c r="F34" i="30"/>
  <c r="F34" i="29"/>
  <c r="E34" i="28"/>
  <c r="F46" i="31"/>
  <c r="F46" i="30"/>
  <c r="F46" i="29"/>
  <c r="E46" i="28"/>
  <c r="F58" i="31"/>
  <c r="F58" i="30"/>
  <c r="F58" i="29"/>
  <c r="E58" i="28"/>
  <c r="K11" i="3"/>
  <c r="D3" i="35"/>
  <c r="J5" i="31"/>
  <c r="J5" i="30"/>
  <c r="J5" i="29"/>
  <c r="I5" i="28"/>
  <c r="D15" i="35"/>
  <c r="J17" i="31"/>
  <c r="J17" i="30"/>
  <c r="J17" i="29"/>
  <c r="I17" i="28"/>
  <c r="D27" i="35"/>
  <c r="J29" i="31"/>
  <c r="J29" i="30"/>
  <c r="J29" i="29"/>
  <c r="M29" i="29" s="1"/>
  <c r="I29" i="28"/>
  <c r="L29" i="28" s="1"/>
  <c r="D39" i="35"/>
  <c r="J41" i="31"/>
  <c r="J41" i="30"/>
  <c r="J41" i="29"/>
  <c r="I41" i="28"/>
  <c r="D51" i="35"/>
  <c r="J53" i="31"/>
  <c r="J53" i="29"/>
  <c r="I53" i="28"/>
  <c r="J53" i="30"/>
  <c r="D63" i="35"/>
  <c r="J65" i="31"/>
  <c r="M65" i="31" s="1"/>
  <c r="J65" i="30"/>
  <c r="J65" i="29"/>
  <c r="M65" i="29" s="1"/>
  <c r="I65" i="28"/>
  <c r="L65" i="28" s="1"/>
  <c r="E3" i="35"/>
  <c r="N5" i="31"/>
  <c r="N5" i="30"/>
  <c r="N5" i="29"/>
  <c r="M5" i="28"/>
  <c r="E15" i="35"/>
  <c r="N17" i="31"/>
  <c r="N17" i="30"/>
  <c r="N17" i="29"/>
  <c r="M17" i="28"/>
  <c r="E27" i="35"/>
  <c r="N29" i="31"/>
  <c r="N29" i="30"/>
  <c r="N29" i="29"/>
  <c r="M29" i="28"/>
  <c r="E39" i="35"/>
  <c r="N41" i="31"/>
  <c r="N41" i="30"/>
  <c r="N41" i="29"/>
  <c r="M41" i="28"/>
  <c r="E51" i="35"/>
  <c r="N53" i="31"/>
  <c r="N53" i="30"/>
  <c r="N53" i="29"/>
  <c r="M53" i="28"/>
  <c r="E63" i="35"/>
  <c r="N65" i="31"/>
  <c r="N65" i="30"/>
  <c r="N65" i="29"/>
  <c r="M65" i="28"/>
  <c r="P8" i="8"/>
  <c r="AN8" i="8"/>
  <c r="BL8" i="8"/>
  <c r="F10" i="8"/>
  <c r="AD10" i="8"/>
  <c r="BB10" i="8"/>
  <c r="A21" i="8"/>
  <c r="A45" i="8"/>
  <c r="B14" i="8"/>
  <c r="B38" i="8"/>
  <c r="B62" i="8"/>
  <c r="AA23" i="8"/>
  <c r="BG23" i="8"/>
  <c r="AA25" i="8"/>
  <c r="BK25" i="8"/>
  <c r="AI26" i="8"/>
  <c r="AA47" i="8"/>
  <c r="U49" i="8"/>
  <c r="AN50" i="8"/>
  <c r="F3" i="31"/>
  <c r="F3" i="30"/>
  <c r="F3" i="29"/>
  <c r="E3" i="28"/>
  <c r="F63" i="31"/>
  <c r="F63" i="30"/>
  <c r="F63" i="29"/>
  <c r="E63" i="28"/>
  <c r="D44" i="35"/>
  <c r="J46" i="31"/>
  <c r="J46" i="30"/>
  <c r="J46" i="29"/>
  <c r="M46" i="29" s="1"/>
  <c r="I46" i="28"/>
  <c r="BL49" i="8"/>
  <c r="AZ49" i="8"/>
  <c r="AN49" i="8"/>
  <c r="AB49" i="8"/>
  <c r="P49" i="8"/>
  <c r="D49" i="8"/>
  <c r="BJ49" i="8"/>
  <c r="AX49" i="8"/>
  <c r="AL49" i="8"/>
  <c r="Z49" i="8"/>
  <c r="N49" i="8"/>
  <c r="BI49" i="8"/>
  <c r="AW49" i="8"/>
  <c r="AK49" i="8"/>
  <c r="Y49" i="8"/>
  <c r="M49" i="8"/>
  <c r="BH49" i="8"/>
  <c r="AV49" i="8"/>
  <c r="AJ49" i="8"/>
  <c r="X49" i="8"/>
  <c r="L49" i="8"/>
  <c r="BF49" i="8"/>
  <c r="AT49" i="8"/>
  <c r="AH49" i="8"/>
  <c r="V49" i="8"/>
  <c r="J49" i="8"/>
  <c r="BG49" i="8"/>
  <c r="AO49" i="8"/>
  <c r="S49" i="8"/>
  <c r="BD49" i="8"/>
  <c r="AI49" i="8"/>
  <c r="Q49" i="8"/>
  <c r="BC49" i="8"/>
  <c r="AG49" i="8"/>
  <c r="O49" i="8"/>
  <c r="BB49" i="8"/>
  <c r="AF49" i="8"/>
  <c r="K49" i="8"/>
  <c r="BA49" i="8"/>
  <c r="AE49" i="8"/>
  <c r="I49" i="8"/>
  <c r="BN49" i="8"/>
  <c r="AR49" i="8"/>
  <c r="W49" i="8"/>
  <c r="E49" i="8"/>
  <c r="AQ25" i="8"/>
  <c r="F52" i="31"/>
  <c r="F52" i="30"/>
  <c r="F52" i="29"/>
  <c r="E52" i="28"/>
  <c r="D45" i="35"/>
  <c r="J47" i="31"/>
  <c r="M47" i="31" s="1"/>
  <c r="J47" i="30"/>
  <c r="J47" i="29"/>
  <c r="M47" i="29" s="1"/>
  <c r="I47" i="28"/>
  <c r="AQ49" i="8"/>
  <c r="F11" i="31"/>
  <c r="F11" i="30"/>
  <c r="F11" i="29"/>
  <c r="E11" i="28"/>
  <c r="F23" i="31"/>
  <c r="F23" i="29"/>
  <c r="F23" i="30"/>
  <c r="E23" i="28"/>
  <c r="F35" i="31"/>
  <c r="F35" i="30"/>
  <c r="F35" i="29"/>
  <c r="E35" i="28"/>
  <c r="F47" i="31"/>
  <c r="F47" i="30"/>
  <c r="F47" i="29"/>
  <c r="E47" i="28"/>
  <c r="F59" i="31"/>
  <c r="F59" i="30"/>
  <c r="F59" i="29"/>
  <c r="E59" i="28"/>
  <c r="D4" i="35"/>
  <c r="J6" i="31"/>
  <c r="M6" i="31" s="1"/>
  <c r="J6" i="30"/>
  <c r="J6" i="29"/>
  <c r="M6" i="29" s="1"/>
  <c r="I6" i="28"/>
  <c r="D16" i="35"/>
  <c r="J18" i="31"/>
  <c r="M18" i="31" s="1"/>
  <c r="J18" i="30"/>
  <c r="J18" i="29"/>
  <c r="M18" i="29" s="1"/>
  <c r="I18" i="28"/>
  <c r="D28" i="35"/>
  <c r="J30" i="31"/>
  <c r="M30" i="31" s="1"/>
  <c r="J30" i="30"/>
  <c r="J30" i="29"/>
  <c r="M30" i="29" s="1"/>
  <c r="I30" i="28"/>
  <c r="D40" i="35"/>
  <c r="J42" i="31"/>
  <c r="M42" i="31" s="1"/>
  <c r="J42" i="30"/>
  <c r="I42" i="28"/>
  <c r="J42" i="29"/>
  <c r="D52" i="35"/>
  <c r="J54" i="31"/>
  <c r="M54" i="31" s="1"/>
  <c r="J54" i="30"/>
  <c r="J54" i="29"/>
  <c r="M54" i="29" s="1"/>
  <c r="I54" i="28"/>
  <c r="L54" i="28" s="1"/>
  <c r="D64" i="35"/>
  <c r="J66" i="31"/>
  <c r="M66" i="31" s="1"/>
  <c r="J66" i="30"/>
  <c r="J66" i="29"/>
  <c r="M66" i="29" s="1"/>
  <c r="I66" i="28"/>
  <c r="L66" i="28" s="1"/>
  <c r="E4" i="35"/>
  <c r="N6" i="31"/>
  <c r="N6" i="30"/>
  <c r="N6" i="29"/>
  <c r="M6" i="28"/>
  <c r="E16" i="35"/>
  <c r="N18" i="30"/>
  <c r="N18" i="29"/>
  <c r="N18" i="31"/>
  <c r="M18" i="28"/>
  <c r="E28" i="35"/>
  <c r="N30" i="31"/>
  <c r="N30" i="30"/>
  <c r="N30" i="29"/>
  <c r="M30" i="28"/>
  <c r="E40" i="35"/>
  <c r="N42" i="31"/>
  <c r="N42" i="30"/>
  <c r="M42" i="28"/>
  <c r="N42" i="29"/>
  <c r="E52" i="35"/>
  <c r="N54" i="31"/>
  <c r="N54" i="30"/>
  <c r="N54" i="29"/>
  <c r="M54" i="28"/>
  <c r="E64" i="35"/>
  <c r="N66" i="31"/>
  <c r="N66" i="30"/>
  <c r="N66" i="29"/>
  <c r="M66" i="28"/>
  <c r="R8" i="8"/>
  <c r="AP8" i="8"/>
  <c r="BN8" i="8"/>
  <c r="H10" i="8"/>
  <c r="AF10" i="8"/>
  <c r="BD10" i="8"/>
  <c r="A23" i="8"/>
  <c r="A47" i="8"/>
  <c r="B16" i="8"/>
  <c r="B40" i="8"/>
  <c r="B64" i="8"/>
  <c r="AC23" i="8"/>
  <c r="BJ23" i="8"/>
  <c r="AD25" i="8"/>
  <c r="BN25" i="8"/>
  <c r="AL26" i="8"/>
  <c r="AC47" i="8"/>
  <c r="AA49" i="8"/>
  <c r="C50" i="8"/>
  <c r="AQ50" i="8"/>
  <c r="O1" i="8"/>
  <c r="AA1" i="8"/>
  <c r="AM1" i="8"/>
  <c r="AY1" i="8"/>
  <c r="BK1" i="8"/>
  <c r="E8" i="35"/>
  <c r="N10" i="31"/>
  <c r="N10" i="29"/>
  <c r="N10" i="30"/>
  <c r="M10" i="28"/>
  <c r="E20" i="35"/>
  <c r="N22" i="31"/>
  <c r="N22" i="30"/>
  <c r="N22" i="29"/>
  <c r="M22" i="28"/>
  <c r="E32" i="35"/>
  <c r="N34" i="31"/>
  <c r="N34" i="30"/>
  <c r="N34" i="29"/>
  <c r="M34" i="28"/>
  <c r="E44" i="35"/>
  <c r="N46" i="31"/>
  <c r="N46" i="30"/>
  <c r="N46" i="29"/>
  <c r="M46" i="28"/>
  <c r="E56" i="35"/>
  <c r="N58" i="31"/>
  <c r="N58" i="30"/>
  <c r="N58" i="29"/>
  <c r="M58" i="28"/>
  <c r="H1" i="8"/>
  <c r="T1" i="8"/>
  <c r="AF1" i="8"/>
  <c r="AR1" i="8"/>
  <c r="BD1" i="8"/>
  <c r="O7" i="8"/>
  <c r="AA7" i="8"/>
  <c r="AM7" i="8"/>
  <c r="AY7" i="8"/>
  <c r="BK7" i="8"/>
  <c r="E9" i="35"/>
  <c r="N11" i="30"/>
  <c r="N11" i="31"/>
  <c r="N11" i="29"/>
  <c r="M11" i="28"/>
  <c r="E21" i="35"/>
  <c r="N23" i="31"/>
  <c r="N23" i="30"/>
  <c r="N23" i="29"/>
  <c r="M23" i="28"/>
  <c r="E33" i="35"/>
  <c r="N35" i="31"/>
  <c r="N35" i="30"/>
  <c r="N35" i="29"/>
  <c r="M35" i="28"/>
  <c r="E45" i="35"/>
  <c r="N47" i="31"/>
  <c r="N47" i="30"/>
  <c r="M47" i="28"/>
  <c r="N47" i="29"/>
  <c r="E57" i="35"/>
  <c r="N59" i="31"/>
  <c r="N59" i="30"/>
  <c r="N59" i="29"/>
  <c r="M59" i="28"/>
  <c r="I1" i="8"/>
  <c r="U1" i="8"/>
  <c r="AG1" i="8"/>
  <c r="AS1" i="8"/>
  <c r="BE1" i="8"/>
  <c r="BL7" i="8"/>
  <c r="R31" i="11"/>
  <c r="I40" i="34"/>
  <c r="AE42" i="31"/>
  <c r="AE42" i="30"/>
  <c r="AE42" i="29"/>
  <c r="AD42" i="28"/>
  <c r="I43" i="34"/>
  <c r="AE45" i="31"/>
  <c r="AE45" i="30"/>
  <c r="AE45" i="29"/>
  <c r="AD45" i="28"/>
  <c r="I49" i="34"/>
  <c r="AE51" i="31"/>
  <c r="AE51" i="30"/>
  <c r="AE51" i="29"/>
  <c r="AD51" i="28"/>
  <c r="E10" i="35"/>
  <c r="N12" i="31"/>
  <c r="N12" i="30"/>
  <c r="N12" i="29"/>
  <c r="M12" i="28"/>
  <c r="E22" i="35"/>
  <c r="N24" i="31"/>
  <c r="N24" i="30"/>
  <c r="N24" i="29"/>
  <c r="M24" i="28"/>
  <c r="E34" i="35"/>
  <c r="N36" i="31"/>
  <c r="N36" i="30"/>
  <c r="N36" i="29"/>
  <c r="M36" i="28"/>
  <c r="E46" i="35"/>
  <c r="N48" i="31"/>
  <c r="N48" i="30"/>
  <c r="N48" i="29"/>
  <c r="M48" i="28"/>
  <c r="E58" i="35"/>
  <c r="N60" i="31"/>
  <c r="N60" i="30"/>
  <c r="N60" i="29"/>
  <c r="M60" i="28"/>
  <c r="J1" i="8"/>
  <c r="V1" i="8"/>
  <c r="AH1" i="8"/>
  <c r="AT1" i="8"/>
  <c r="BF1" i="8"/>
  <c r="F4" i="35"/>
  <c r="R6" i="31"/>
  <c r="R6" i="30"/>
  <c r="R6" i="29"/>
  <c r="Q6" i="28"/>
  <c r="K66" i="10"/>
  <c r="F16" i="35"/>
  <c r="R18" i="30"/>
  <c r="R18" i="31"/>
  <c r="R18" i="29"/>
  <c r="Q18" i="28"/>
  <c r="F28" i="35"/>
  <c r="R30" i="31"/>
  <c r="R30" i="30"/>
  <c r="R30" i="29"/>
  <c r="Q30" i="28"/>
  <c r="F40" i="35"/>
  <c r="R42" i="31"/>
  <c r="R42" i="30"/>
  <c r="R42" i="29"/>
  <c r="Q42" i="28"/>
  <c r="F52" i="35"/>
  <c r="R54" i="31"/>
  <c r="R54" i="30"/>
  <c r="R54" i="29"/>
  <c r="Q54" i="28"/>
  <c r="F42" i="31"/>
  <c r="F42" i="30"/>
  <c r="F42" i="29"/>
  <c r="E42" i="28"/>
  <c r="F54" i="31"/>
  <c r="F54" i="30"/>
  <c r="F54" i="29"/>
  <c r="E54" i="28"/>
  <c r="F66" i="31"/>
  <c r="F66" i="30"/>
  <c r="F66" i="29"/>
  <c r="E66" i="28"/>
  <c r="D2" i="35"/>
  <c r="J4" i="31"/>
  <c r="M4" i="31" s="1"/>
  <c r="J4" i="30"/>
  <c r="J4" i="29"/>
  <c r="M4" i="29" s="1"/>
  <c r="I4" i="28"/>
  <c r="L4" i="28" s="1"/>
  <c r="D14" i="35"/>
  <c r="J16" i="31"/>
  <c r="J16" i="30"/>
  <c r="J16" i="29"/>
  <c r="I16" i="28"/>
  <c r="D26" i="35"/>
  <c r="J28" i="31"/>
  <c r="J28" i="30"/>
  <c r="J28" i="29"/>
  <c r="I28" i="28"/>
  <c r="D38" i="35"/>
  <c r="J40" i="31"/>
  <c r="J40" i="30"/>
  <c r="J40" i="29"/>
  <c r="M40" i="29" s="1"/>
  <c r="I40" i="28"/>
  <c r="L40" i="28" s="1"/>
  <c r="D50" i="35"/>
  <c r="J52" i="31"/>
  <c r="J52" i="30"/>
  <c r="J52" i="29"/>
  <c r="I52" i="28"/>
  <c r="D62" i="35"/>
  <c r="J64" i="31"/>
  <c r="J64" i="30"/>
  <c r="I64" i="28"/>
  <c r="J64" i="29"/>
  <c r="E12" i="35"/>
  <c r="N14" i="31"/>
  <c r="N14" i="30"/>
  <c r="N14" i="29"/>
  <c r="M14" i="28"/>
  <c r="E24" i="35"/>
  <c r="N26" i="31"/>
  <c r="N26" i="30"/>
  <c r="N26" i="29"/>
  <c r="M26" i="28"/>
  <c r="E36" i="35"/>
  <c r="N38" i="31"/>
  <c r="N38" i="30"/>
  <c r="N38" i="29"/>
  <c r="M38" i="28"/>
  <c r="E48" i="35"/>
  <c r="N50" i="31"/>
  <c r="N50" i="30"/>
  <c r="N50" i="29"/>
  <c r="M50" i="28"/>
  <c r="E60" i="35"/>
  <c r="N62" i="31"/>
  <c r="N62" i="30"/>
  <c r="N62" i="29"/>
  <c r="M62" i="28"/>
  <c r="L1" i="8"/>
  <c r="X1" i="8"/>
  <c r="AJ1" i="8"/>
  <c r="AV1" i="8"/>
  <c r="G7" i="8"/>
  <c r="S7" i="8"/>
  <c r="AE7" i="8"/>
  <c r="AQ7" i="8"/>
  <c r="K69" i="11"/>
  <c r="K66" i="11"/>
  <c r="K63" i="11"/>
  <c r="K60" i="11"/>
  <c r="K57" i="11"/>
  <c r="R57" i="11" s="1"/>
  <c r="K54" i="11"/>
  <c r="K51" i="11"/>
  <c r="K48" i="11"/>
  <c r="K45" i="11"/>
  <c r="K67" i="11"/>
  <c r="K58" i="11"/>
  <c r="K49" i="11"/>
  <c r="K14" i="11"/>
  <c r="K42" i="11"/>
  <c r="K39" i="11"/>
  <c r="K36" i="11"/>
  <c r="K33" i="11"/>
  <c r="K30" i="11"/>
  <c r="K27" i="11"/>
  <c r="K24" i="11"/>
  <c r="K21" i="11"/>
  <c r="K11" i="11"/>
  <c r="K65" i="11"/>
  <c r="K56" i="11"/>
  <c r="K47" i="11"/>
  <c r="K18" i="11"/>
  <c r="K8" i="11"/>
  <c r="K61" i="11"/>
  <c r="R61" i="11" s="1"/>
  <c r="K52" i="11"/>
  <c r="K15" i="11"/>
  <c r="R15" i="11" s="1"/>
  <c r="K12" i="11"/>
  <c r="R12" i="11" s="1"/>
  <c r="K43" i="11"/>
  <c r="R43" i="11" s="1"/>
  <c r="K40" i="11"/>
  <c r="R40" i="11" s="1"/>
  <c r="K37" i="11"/>
  <c r="R37" i="11" s="1"/>
  <c r="K34" i="11"/>
  <c r="K31" i="11"/>
  <c r="K28" i="11"/>
  <c r="K25" i="11"/>
  <c r="K22" i="11"/>
  <c r="K68" i="11"/>
  <c r="K59" i="11"/>
  <c r="K50" i="11"/>
  <c r="K19" i="11"/>
  <c r="R19" i="11" s="1"/>
  <c r="K64" i="11"/>
  <c r="K10" i="11"/>
  <c r="K6" i="11"/>
  <c r="K44" i="11"/>
  <c r="K55" i="11"/>
  <c r="K41" i="11"/>
  <c r="K17" i="11"/>
  <c r="K38" i="11"/>
  <c r="K46" i="11"/>
  <c r="K35" i="11"/>
  <c r="K32" i="11"/>
  <c r="K29" i="11"/>
  <c r="K9" i="11"/>
  <c r="R9" i="11" s="1"/>
  <c r="K26" i="11"/>
  <c r="K20" i="11"/>
  <c r="K23" i="11"/>
  <c r="K16" i="11"/>
  <c r="K13" i="11"/>
  <c r="I37" i="34"/>
  <c r="AE39" i="31"/>
  <c r="AE39" i="30"/>
  <c r="AD39" i="28"/>
  <c r="AE39" i="29"/>
  <c r="I28" i="34"/>
  <c r="AE30" i="31"/>
  <c r="AE30" i="30"/>
  <c r="AE30" i="29"/>
  <c r="AD30" i="28"/>
  <c r="J28" i="11"/>
  <c r="R28" i="11" s="1"/>
  <c r="E70" i="21"/>
  <c r="F70" i="21" s="1"/>
  <c r="J23" i="24"/>
  <c r="J46" i="24"/>
  <c r="R46" i="24" s="1"/>
  <c r="F64" i="35"/>
  <c r="R66" i="31"/>
  <c r="R66" i="30"/>
  <c r="R66" i="29"/>
  <c r="Q66" i="28"/>
  <c r="I25" i="34"/>
  <c r="AE27" i="31"/>
  <c r="AE27" i="30"/>
  <c r="AD27" i="28"/>
  <c r="AE27" i="29"/>
  <c r="F7" i="21"/>
  <c r="G7" i="21" s="1"/>
  <c r="J7" i="21" s="1"/>
  <c r="I70" i="11"/>
  <c r="T20" i="11" s="1"/>
  <c r="K7" i="11"/>
  <c r="E22" i="13"/>
  <c r="F22" i="13" s="1"/>
  <c r="G22" i="13" s="1"/>
  <c r="J22" i="13" s="1"/>
  <c r="D70" i="13"/>
  <c r="J66" i="25"/>
  <c r="F6" i="35"/>
  <c r="R8" i="31"/>
  <c r="R8" i="30"/>
  <c r="R8" i="29"/>
  <c r="Q8" i="28"/>
  <c r="F18" i="35"/>
  <c r="R20" i="31"/>
  <c r="R20" i="30"/>
  <c r="R20" i="29"/>
  <c r="Q20" i="28"/>
  <c r="F30" i="35"/>
  <c r="R32" i="31"/>
  <c r="R32" i="30"/>
  <c r="R32" i="29"/>
  <c r="Q32" i="28"/>
  <c r="F42" i="35"/>
  <c r="R44" i="31"/>
  <c r="R44" i="30"/>
  <c r="R44" i="29"/>
  <c r="Q44" i="28"/>
  <c r="F54" i="35"/>
  <c r="R56" i="31"/>
  <c r="R56" i="30"/>
  <c r="R56" i="29"/>
  <c r="Q56" i="28"/>
  <c r="J34" i="11"/>
  <c r="G10" i="35"/>
  <c r="V12" i="31"/>
  <c r="V12" i="30"/>
  <c r="V12" i="29"/>
  <c r="U12" i="28"/>
  <c r="G22" i="35"/>
  <c r="V24" i="31"/>
  <c r="V24" i="30"/>
  <c r="V24" i="29"/>
  <c r="U24" i="28"/>
  <c r="G34" i="35"/>
  <c r="V36" i="31"/>
  <c r="V36" i="30"/>
  <c r="V36" i="29"/>
  <c r="U36" i="28"/>
  <c r="G46" i="35"/>
  <c r="V48" i="31"/>
  <c r="V48" i="30"/>
  <c r="V48" i="29"/>
  <c r="U48" i="28"/>
  <c r="J40" i="13"/>
  <c r="J49" i="19"/>
  <c r="R22" i="11"/>
  <c r="G11" i="35"/>
  <c r="V13" i="31"/>
  <c r="V13" i="30"/>
  <c r="V13" i="29"/>
  <c r="U13" i="28"/>
  <c r="G23" i="35"/>
  <c r="V25" i="31"/>
  <c r="V25" i="29"/>
  <c r="V25" i="30"/>
  <c r="U25" i="28"/>
  <c r="G35" i="35"/>
  <c r="V37" i="31"/>
  <c r="V37" i="30"/>
  <c r="V37" i="29"/>
  <c r="U37" i="28"/>
  <c r="G47" i="35"/>
  <c r="V49" i="31"/>
  <c r="V49" i="30"/>
  <c r="V49" i="29"/>
  <c r="U49" i="28"/>
  <c r="I2" i="34"/>
  <c r="AE4" i="31"/>
  <c r="AE4" i="30"/>
  <c r="AE4" i="29"/>
  <c r="AD4" i="28"/>
  <c r="R48" i="11"/>
  <c r="E70" i="11"/>
  <c r="F70" i="11" s="1"/>
  <c r="I46" i="34"/>
  <c r="AE48" i="31"/>
  <c r="AE48" i="30"/>
  <c r="AE48" i="29"/>
  <c r="AD48" i="28"/>
  <c r="J8" i="34"/>
  <c r="AI10" i="31"/>
  <c r="AI10" i="30"/>
  <c r="AI10" i="29"/>
  <c r="AH10" i="28"/>
  <c r="J33" i="21"/>
  <c r="J46" i="21"/>
  <c r="F7" i="35"/>
  <c r="R9" i="31"/>
  <c r="R9" i="29"/>
  <c r="R9" i="30"/>
  <c r="Q9" i="28"/>
  <c r="F19" i="35"/>
  <c r="R21" i="31"/>
  <c r="R21" i="30"/>
  <c r="R21" i="29"/>
  <c r="Q21" i="28"/>
  <c r="F31" i="35"/>
  <c r="R33" i="31"/>
  <c r="R33" i="30"/>
  <c r="R33" i="29"/>
  <c r="Q33" i="28"/>
  <c r="D70" i="11"/>
  <c r="R14" i="15"/>
  <c r="D70" i="17"/>
  <c r="E8" i="17"/>
  <c r="J32" i="24"/>
  <c r="J35" i="24"/>
  <c r="R35" i="24" s="1"/>
  <c r="T4" i="13"/>
  <c r="T11" i="13"/>
  <c r="R52" i="11"/>
  <c r="J60" i="21"/>
  <c r="J33" i="24"/>
  <c r="R33" i="24" s="1"/>
  <c r="BH5" i="27"/>
  <c r="BF5" i="27"/>
  <c r="T11" i="21"/>
  <c r="T4" i="21"/>
  <c r="AE24" i="31"/>
  <c r="I22" i="34"/>
  <c r="AE24" i="30"/>
  <c r="AE24" i="29"/>
  <c r="AD24" i="28"/>
  <c r="I54" i="34"/>
  <c r="AE56" i="31"/>
  <c r="AE56" i="30"/>
  <c r="AE56" i="29"/>
  <c r="AD56" i="28"/>
  <c r="J30" i="24"/>
  <c r="R30" i="24" s="1"/>
  <c r="J51" i="25"/>
  <c r="H5" i="35"/>
  <c r="Z7" i="31"/>
  <c r="Z7" i="30"/>
  <c r="Z7" i="29"/>
  <c r="Y7" i="28"/>
  <c r="H17" i="35"/>
  <c r="Z19" i="31"/>
  <c r="Z19" i="30"/>
  <c r="Z19" i="29"/>
  <c r="Y19" i="28"/>
  <c r="H29" i="35"/>
  <c r="Z31" i="31"/>
  <c r="Z31" i="30"/>
  <c r="Z31" i="29"/>
  <c r="Y31" i="28"/>
  <c r="H41" i="35"/>
  <c r="Z43" i="31"/>
  <c r="Z43" i="30"/>
  <c r="Z43" i="29"/>
  <c r="Y43" i="28"/>
  <c r="H53" i="35"/>
  <c r="Z55" i="31"/>
  <c r="Z55" i="30"/>
  <c r="Z55" i="29"/>
  <c r="Y55" i="28"/>
  <c r="K66" i="14"/>
  <c r="I31" i="34"/>
  <c r="AE33" i="31"/>
  <c r="AE33" i="30"/>
  <c r="AE33" i="29"/>
  <c r="AD33" i="28"/>
  <c r="J40" i="21"/>
  <c r="J37" i="21"/>
  <c r="J49" i="21"/>
  <c r="J52" i="21"/>
  <c r="F66" i="11"/>
  <c r="G66" i="11" s="1"/>
  <c r="J66" i="11" s="1"/>
  <c r="R66" i="11" s="1"/>
  <c r="G12" i="35"/>
  <c r="V14" i="31"/>
  <c r="V14" i="30"/>
  <c r="V14" i="29"/>
  <c r="U14" i="28"/>
  <c r="G24" i="35"/>
  <c r="V26" i="31"/>
  <c r="V26" i="30"/>
  <c r="V26" i="29"/>
  <c r="U26" i="28"/>
  <c r="G36" i="35"/>
  <c r="V38" i="31"/>
  <c r="V38" i="30"/>
  <c r="V38" i="29"/>
  <c r="U38" i="28"/>
  <c r="G48" i="35"/>
  <c r="V50" i="31"/>
  <c r="V50" i="29"/>
  <c r="U50" i="28"/>
  <c r="V50" i="30"/>
  <c r="G60" i="35"/>
  <c r="V62" i="31"/>
  <c r="V62" i="30"/>
  <c r="V62" i="29"/>
  <c r="U62" i="28"/>
  <c r="J27" i="19"/>
  <c r="J46" i="19"/>
  <c r="J50" i="19"/>
  <c r="I70" i="21"/>
  <c r="T13" i="21" s="1"/>
  <c r="J11" i="21"/>
  <c r="J21" i="21"/>
  <c r="J25" i="21"/>
  <c r="J57" i="21"/>
  <c r="J16" i="24"/>
  <c r="R16" i="24" s="1"/>
  <c r="G1" i="35"/>
  <c r="V3" i="31"/>
  <c r="V3" i="30"/>
  <c r="V3" i="29"/>
  <c r="U3" i="28"/>
  <c r="K66" i="12"/>
  <c r="G13" i="35"/>
  <c r="V15" i="31"/>
  <c r="V15" i="30"/>
  <c r="V15" i="29"/>
  <c r="U15" i="28"/>
  <c r="G25" i="35"/>
  <c r="V27" i="31"/>
  <c r="V27" i="30"/>
  <c r="V27" i="29"/>
  <c r="U27" i="28"/>
  <c r="G37" i="35"/>
  <c r="V39" i="31"/>
  <c r="V39" i="30"/>
  <c r="V39" i="29"/>
  <c r="U39" i="28"/>
  <c r="G49" i="35"/>
  <c r="V51" i="31"/>
  <c r="V51" i="30"/>
  <c r="V51" i="29"/>
  <c r="U51" i="28"/>
  <c r="G61" i="35"/>
  <c r="V63" i="31"/>
  <c r="V63" i="30"/>
  <c r="V63" i="29"/>
  <c r="U63" i="28"/>
  <c r="R55" i="17"/>
  <c r="J54" i="19"/>
  <c r="J64" i="19"/>
  <c r="J42" i="21"/>
  <c r="J69" i="21"/>
  <c r="F1" i="35"/>
  <c r="R3" i="31"/>
  <c r="R3" i="30"/>
  <c r="Q3" i="28"/>
  <c r="R3" i="29"/>
  <c r="F13" i="35"/>
  <c r="R15" i="31"/>
  <c r="R15" i="30"/>
  <c r="R15" i="29"/>
  <c r="Q15" i="28"/>
  <c r="F25" i="35"/>
  <c r="R27" i="31"/>
  <c r="R27" i="30"/>
  <c r="R27" i="29"/>
  <c r="Q27" i="28"/>
  <c r="F37" i="35"/>
  <c r="R39" i="31"/>
  <c r="R39" i="30"/>
  <c r="R39" i="29"/>
  <c r="Q39" i="28"/>
  <c r="F49" i="35"/>
  <c r="R51" i="31"/>
  <c r="R51" i="30"/>
  <c r="R51" i="29"/>
  <c r="Q51" i="28"/>
  <c r="F61" i="35"/>
  <c r="R63" i="31"/>
  <c r="R63" i="30"/>
  <c r="R63" i="29"/>
  <c r="Q63" i="28"/>
  <c r="F6" i="11"/>
  <c r="G6" i="11" s="1"/>
  <c r="F8" i="11"/>
  <c r="G8" i="11" s="1"/>
  <c r="J8" i="11" s="1"/>
  <c r="G2" i="35"/>
  <c r="V4" i="31"/>
  <c r="V4" i="29"/>
  <c r="V4" i="30"/>
  <c r="U4" i="28"/>
  <c r="G14" i="35"/>
  <c r="V16" i="31"/>
  <c r="V16" i="30"/>
  <c r="V16" i="29"/>
  <c r="U16" i="28"/>
  <c r="G26" i="35"/>
  <c r="V28" i="31"/>
  <c r="V28" i="30"/>
  <c r="V28" i="29"/>
  <c r="U28" i="28"/>
  <c r="G38" i="35"/>
  <c r="V40" i="31"/>
  <c r="V40" i="30"/>
  <c r="V40" i="29"/>
  <c r="U40" i="28"/>
  <c r="G50" i="35"/>
  <c r="V52" i="31"/>
  <c r="V52" i="30"/>
  <c r="V52" i="29"/>
  <c r="U52" i="28"/>
  <c r="G62" i="35"/>
  <c r="V64" i="31"/>
  <c r="V64" i="30"/>
  <c r="V64" i="29"/>
  <c r="U64" i="28"/>
  <c r="J16" i="15"/>
  <c r="J14" i="19"/>
  <c r="J51" i="19"/>
  <c r="F2" i="35"/>
  <c r="R4" i="31"/>
  <c r="R4" i="29"/>
  <c r="R4" i="30"/>
  <c r="Q4" i="28"/>
  <c r="F14" i="35"/>
  <c r="R16" i="31"/>
  <c r="R16" i="30"/>
  <c r="R16" i="29"/>
  <c r="Q16" i="28"/>
  <c r="F26" i="35"/>
  <c r="R28" i="31"/>
  <c r="R28" i="30"/>
  <c r="R28" i="29"/>
  <c r="Q28" i="28"/>
  <c r="F38" i="35"/>
  <c r="R40" i="31"/>
  <c r="R40" i="30"/>
  <c r="R40" i="29"/>
  <c r="Q40" i="28"/>
  <c r="F50" i="35"/>
  <c r="R52" i="31"/>
  <c r="R52" i="30"/>
  <c r="R52" i="29"/>
  <c r="Q52" i="28"/>
  <c r="F62" i="35"/>
  <c r="R64" i="31"/>
  <c r="R64" i="30"/>
  <c r="R64" i="29"/>
  <c r="Q64" i="28"/>
  <c r="F68" i="11"/>
  <c r="G68" i="11" s="1"/>
  <c r="J68" i="11" s="1"/>
  <c r="R68" i="11" s="1"/>
  <c r="F65" i="11"/>
  <c r="G65" i="11" s="1"/>
  <c r="J65" i="11" s="1"/>
  <c r="R65" i="11" s="1"/>
  <c r="F62" i="11"/>
  <c r="G62" i="11" s="1"/>
  <c r="J62" i="11" s="1"/>
  <c r="R62" i="11" s="1"/>
  <c r="F59" i="11"/>
  <c r="G59" i="11" s="1"/>
  <c r="J59" i="11" s="1"/>
  <c r="R59" i="11" s="1"/>
  <c r="F56" i="11"/>
  <c r="G56" i="11" s="1"/>
  <c r="J56" i="11" s="1"/>
  <c r="R56" i="11" s="1"/>
  <c r="F53" i="11"/>
  <c r="G53" i="11" s="1"/>
  <c r="J53" i="11" s="1"/>
  <c r="R53" i="11" s="1"/>
  <c r="F50" i="11"/>
  <c r="G50" i="11" s="1"/>
  <c r="J50" i="11" s="1"/>
  <c r="F47" i="11"/>
  <c r="G47" i="11" s="1"/>
  <c r="J47" i="11" s="1"/>
  <c r="R47" i="11" s="1"/>
  <c r="F44" i="11"/>
  <c r="G44" i="11" s="1"/>
  <c r="J44" i="11" s="1"/>
  <c r="R44" i="11" s="1"/>
  <c r="F64" i="11"/>
  <c r="G64" i="11" s="1"/>
  <c r="J64" i="11" s="1"/>
  <c r="R64" i="11" s="1"/>
  <c r="F55" i="11"/>
  <c r="G55" i="11" s="1"/>
  <c r="J55" i="11" s="1"/>
  <c r="R55" i="11" s="1"/>
  <c r="F46" i="11"/>
  <c r="G46" i="11" s="1"/>
  <c r="J46" i="11" s="1"/>
  <c r="F16" i="11"/>
  <c r="G16" i="11" s="1"/>
  <c r="J16" i="11" s="1"/>
  <c r="R16" i="11" s="1"/>
  <c r="F13" i="11"/>
  <c r="G13" i="11" s="1"/>
  <c r="J13" i="11" s="1"/>
  <c r="R13" i="11" s="1"/>
  <c r="F41" i="11"/>
  <c r="G41" i="11" s="1"/>
  <c r="J41" i="11" s="1"/>
  <c r="R41" i="11" s="1"/>
  <c r="F38" i="11"/>
  <c r="G38" i="11" s="1"/>
  <c r="J38" i="11" s="1"/>
  <c r="R38" i="11" s="1"/>
  <c r="F35" i="11"/>
  <c r="G35" i="11" s="1"/>
  <c r="J35" i="11" s="1"/>
  <c r="R35" i="11" s="1"/>
  <c r="F32" i="11"/>
  <c r="G32" i="11" s="1"/>
  <c r="J32" i="11" s="1"/>
  <c r="F29" i="11"/>
  <c r="G29" i="11" s="1"/>
  <c r="J29" i="11" s="1"/>
  <c r="F26" i="11"/>
  <c r="G26" i="11" s="1"/>
  <c r="J26" i="11" s="1"/>
  <c r="F23" i="11"/>
  <c r="G23" i="11" s="1"/>
  <c r="J23" i="11" s="1"/>
  <c r="R23" i="11" s="1"/>
  <c r="F10" i="11"/>
  <c r="G10" i="11" s="1"/>
  <c r="J10" i="11" s="1"/>
  <c r="F69" i="11"/>
  <c r="G69" i="11" s="1"/>
  <c r="J69" i="11" s="1"/>
  <c r="R69" i="11" s="1"/>
  <c r="F60" i="11"/>
  <c r="G60" i="11" s="1"/>
  <c r="J60" i="11" s="1"/>
  <c r="F51" i="11"/>
  <c r="G51" i="11" s="1"/>
  <c r="J51" i="11" s="1"/>
  <c r="F20" i="11"/>
  <c r="G20" i="11" s="1"/>
  <c r="J20" i="11" s="1"/>
  <c r="R20" i="11" s="1"/>
  <c r="F17" i="11"/>
  <c r="G17" i="11" s="1"/>
  <c r="J17" i="11" s="1"/>
  <c r="R17" i="11" s="1"/>
  <c r="F7" i="11"/>
  <c r="G7" i="11" s="1"/>
  <c r="J7" i="11" s="1"/>
  <c r="R7" i="11" s="1"/>
  <c r="F67" i="11"/>
  <c r="G67" i="11" s="1"/>
  <c r="J67" i="11" s="1"/>
  <c r="R67" i="11" s="1"/>
  <c r="F58" i="11"/>
  <c r="G58" i="11" s="1"/>
  <c r="J58" i="11" s="1"/>
  <c r="R58" i="11" s="1"/>
  <c r="F49" i="11"/>
  <c r="G49" i="11" s="1"/>
  <c r="J49" i="11" s="1"/>
  <c r="R49" i="11" s="1"/>
  <c r="F14" i="11"/>
  <c r="G14" i="11" s="1"/>
  <c r="J14" i="11" s="1"/>
  <c r="R14" i="11" s="1"/>
  <c r="F42" i="11"/>
  <c r="G42" i="11" s="1"/>
  <c r="J42" i="11" s="1"/>
  <c r="R42" i="11" s="1"/>
  <c r="F39" i="11"/>
  <c r="G39" i="11" s="1"/>
  <c r="J39" i="11" s="1"/>
  <c r="R39" i="11" s="1"/>
  <c r="F36" i="11"/>
  <c r="G36" i="11" s="1"/>
  <c r="J36" i="11" s="1"/>
  <c r="R36" i="11" s="1"/>
  <c r="F33" i="11"/>
  <c r="G33" i="11" s="1"/>
  <c r="J33" i="11" s="1"/>
  <c r="R33" i="11" s="1"/>
  <c r="F30" i="11"/>
  <c r="G30" i="11" s="1"/>
  <c r="J30" i="11" s="1"/>
  <c r="R30" i="11" s="1"/>
  <c r="F27" i="11"/>
  <c r="G27" i="11" s="1"/>
  <c r="J27" i="11" s="1"/>
  <c r="R27" i="11" s="1"/>
  <c r="F24" i="11"/>
  <c r="G24" i="11" s="1"/>
  <c r="J24" i="11" s="1"/>
  <c r="R24" i="11" s="1"/>
  <c r="F21" i="11"/>
  <c r="G21" i="11" s="1"/>
  <c r="J21" i="11" s="1"/>
  <c r="R21" i="11" s="1"/>
  <c r="F11" i="11"/>
  <c r="G11" i="11" s="1"/>
  <c r="J11" i="11" s="1"/>
  <c r="R11" i="11" s="1"/>
  <c r="F63" i="11"/>
  <c r="G63" i="11" s="1"/>
  <c r="J63" i="11" s="1"/>
  <c r="R63" i="11" s="1"/>
  <c r="F54" i="11"/>
  <c r="G54" i="11" s="1"/>
  <c r="J54" i="11" s="1"/>
  <c r="F45" i="11"/>
  <c r="G45" i="11" s="1"/>
  <c r="J45" i="11" s="1"/>
  <c r="F18" i="11"/>
  <c r="G18" i="11" s="1"/>
  <c r="J18" i="11" s="1"/>
  <c r="R18" i="11" s="1"/>
  <c r="J21" i="15"/>
  <c r="R21" i="15" s="1"/>
  <c r="J39" i="15"/>
  <c r="R39" i="15" s="1"/>
  <c r="J57" i="15"/>
  <c r="R57" i="15" s="1"/>
  <c r="J9" i="19"/>
  <c r="J28" i="19"/>
  <c r="J22" i="21"/>
  <c r="J30" i="21"/>
  <c r="J63" i="25"/>
  <c r="F3" i="35"/>
  <c r="R5" i="31"/>
  <c r="R5" i="30"/>
  <c r="R5" i="29"/>
  <c r="Q5" i="28"/>
  <c r="F15" i="35"/>
  <c r="R17" i="31"/>
  <c r="R17" i="30"/>
  <c r="R17" i="29"/>
  <c r="Q17" i="28"/>
  <c r="F27" i="35"/>
  <c r="R29" i="31"/>
  <c r="R29" i="30"/>
  <c r="R29" i="29"/>
  <c r="Q29" i="28"/>
  <c r="F39" i="35"/>
  <c r="R41" i="31"/>
  <c r="R41" i="30"/>
  <c r="R41" i="29"/>
  <c r="Q41" i="28"/>
  <c r="F51" i="35"/>
  <c r="R53" i="31"/>
  <c r="R53" i="30"/>
  <c r="R53" i="29"/>
  <c r="Q53" i="28"/>
  <c r="F63" i="35"/>
  <c r="R65" i="31"/>
  <c r="R65" i="30"/>
  <c r="R65" i="29"/>
  <c r="Q65" i="28"/>
  <c r="D70" i="15"/>
  <c r="J11" i="15"/>
  <c r="R11" i="15" s="1"/>
  <c r="J10" i="35"/>
  <c r="AH12" i="31"/>
  <c r="AH12" i="30"/>
  <c r="AH12" i="29"/>
  <c r="AG12" i="28"/>
  <c r="J22" i="35"/>
  <c r="AH24" i="31"/>
  <c r="AH24" i="30"/>
  <c r="AH24" i="29"/>
  <c r="AG24" i="28"/>
  <c r="J34" i="35"/>
  <c r="AH36" i="31"/>
  <c r="AH36" i="30"/>
  <c r="AH36" i="29"/>
  <c r="AG36" i="28"/>
  <c r="J46" i="35"/>
  <c r="AH48" i="31"/>
  <c r="AH48" i="30"/>
  <c r="AH48" i="29"/>
  <c r="AG48" i="28"/>
  <c r="J58" i="35"/>
  <c r="AH60" i="31"/>
  <c r="AH60" i="30"/>
  <c r="AH60" i="29"/>
  <c r="AG60" i="28"/>
  <c r="E70" i="19"/>
  <c r="J15" i="19"/>
  <c r="J19" i="19"/>
  <c r="J44" i="19"/>
  <c r="J58" i="19"/>
  <c r="J19" i="21"/>
  <c r="J43" i="21"/>
  <c r="J54" i="21"/>
  <c r="J66" i="21"/>
  <c r="J14" i="24"/>
  <c r="J36" i="25"/>
  <c r="R25" i="11"/>
  <c r="I70" i="13"/>
  <c r="H2" i="35"/>
  <c r="Z4" i="31"/>
  <c r="Z4" i="30"/>
  <c r="Z4" i="29"/>
  <c r="Y4" i="28"/>
  <c r="H14" i="35"/>
  <c r="Z16" i="31"/>
  <c r="Z16" i="30"/>
  <c r="Z16" i="29"/>
  <c r="Y16" i="28"/>
  <c r="H26" i="35"/>
  <c r="Z28" i="31"/>
  <c r="Z28" i="30"/>
  <c r="Z28" i="29"/>
  <c r="Y28" i="28"/>
  <c r="H38" i="35"/>
  <c r="Z40" i="31"/>
  <c r="Z40" i="30"/>
  <c r="Z40" i="29"/>
  <c r="Y40" i="28"/>
  <c r="H50" i="35"/>
  <c r="Z52" i="31"/>
  <c r="Z52" i="30"/>
  <c r="Z52" i="29"/>
  <c r="H62" i="35"/>
  <c r="Z64" i="31"/>
  <c r="Z64" i="30"/>
  <c r="Z64" i="29"/>
  <c r="Y64" i="28"/>
  <c r="E70" i="15"/>
  <c r="I11" i="35"/>
  <c r="AD13" i="31"/>
  <c r="AD13" i="30"/>
  <c r="AC13" i="28"/>
  <c r="AD13" i="29"/>
  <c r="I23" i="35"/>
  <c r="AD25" i="31"/>
  <c r="AD25" i="30"/>
  <c r="AD25" i="29"/>
  <c r="AC25" i="28"/>
  <c r="I35" i="35"/>
  <c r="AD37" i="31"/>
  <c r="AD37" i="30"/>
  <c r="AD37" i="29"/>
  <c r="AC37" i="28"/>
  <c r="I47" i="35"/>
  <c r="AD49" i="31"/>
  <c r="AD49" i="29"/>
  <c r="AD49" i="30"/>
  <c r="AC49" i="28"/>
  <c r="I59" i="35"/>
  <c r="AD61" i="31"/>
  <c r="AD61" i="30"/>
  <c r="AD61" i="29"/>
  <c r="AC61" i="28"/>
  <c r="E70" i="17"/>
  <c r="F70" i="17" s="1"/>
  <c r="F6" i="17"/>
  <c r="G6" i="17" s="1"/>
  <c r="J11" i="35"/>
  <c r="AH13" i="30"/>
  <c r="AH13" i="31"/>
  <c r="AH13" i="29"/>
  <c r="AG13" i="28"/>
  <c r="J23" i="35"/>
  <c r="AH25" i="31"/>
  <c r="AH25" i="30"/>
  <c r="AH25" i="29"/>
  <c r="AG25" i="28"/>
  <c r="J35" i="35"/>
  <c r="AH37" i="31"/>
  <c r="AH37" i="30"/>
  <c r="AH37" i="29"/>
  <c r="AG37" i="28"/>
  <c r="J47" i="35"/>
  <c r="AH49" i="31"/>
  <c r="AH49" i="30"/>
  <c r="AH49" i="29"/>
  <c r="AG49" i="28"/>
  <c r="J59" i="35"/>
  <c r="AH61" i="31"/>
  <c r="AH61" i="30"/>
  <c r="AH61" i="29"/>
  <c r="AG61" i="28"/>
  <c r="F6" i="19"/>
  <c r="G6" i="19" s="1"/>
  <c r="J62" i="19"/>
  <c r="J16" i="21"/>
  <c r="J39" i="21"/>
  <c r="F5" i="35"/>
  <c r="R7" i="31"/>
  <c r="R7" i="30"/>
  <c r="R7" i="29"/>
  <c r="Q7" i="28"/>
  <c r="F17" i="35"/>
  <c r="R19" i="31"/>
  <c r="R19" i="30"/>
  <c r="R19" i="29"/>
  <c r="Q19" i="28"/>
  <c r="F29" i="35"/>
  <c r="R31" i="31"/>
  <c r="R31" i="30"/>
  <c r="R31" i="29"/>
  <c r="Q31" i="28"/>
  <c r="F41" i="35"/>
  <c r="R43" i="31"/>
  <c r="R43" i="30"/>
  <c r="R43" i="29"/>
  <c r="Q43" i="28"/>
  <c r="F53" i="35"/>
  <c r="R55" i="31"/>
  <c r="R55" i="30"/>
  <c r="R55" i="29"/>
  <c r="Q55" i="28"/>
  <c r="H3" i="35"/>
  <c r="Z5" i="31"/>
  <c r="Z5" i="30"/>
  <c r="Z5" i="29"/>
  <c r="Y5" i="28"/>
  <c r="H15" i="35"/>
  <c r="Z17" i="31"/>
  <c r="Z17" i="30"/>
  <c r="Z17" i="29"/>
  <c r="Y17" i="28"/>
  <c r="H27" i="35"/>
  <c r="Z29" i="31"/>
  <c r="Z29" i="29"/>
  <c r="Y29" i="28"/>
  <c r="Z29" i="30"/>
  <c r="H39" i="35"/>
  <c r="Z41" i="31"/>
  <c r="Z41" i="29"/>
  <c r="Z41" i="30"/>
  <c r="Y41" i="28"/>
  <c r="H51" i="35"/>
  <c r="Z53" i="31"/>
  <c r="Z53" i="30"/>
  <c r="Z53" i="29"/>
  <c r="Y53" i="28"/>
  <c r="H63" i="35"/>
  <c r="Z65" i="31"/>
  <c r="Z65" i="30"/>
  <c r="Z65" i="29"/>
  <c r="Y65" i="28"/>
  <c r="J9" i="15"/>
  <c r="J24" i="15"/>
  <c r="R24" i="15" s="1"/>
  <c r="J12" i="35"/>
  <c r="AH14" i="31"/>
  <c r="AH14" i="30"/>
  <c r="AH14" i="29"/>
  <c r="AG14" i="28"/>
  <c r="J24" i="35"/>
  <c r="AH26" i="31"/>
  <c r="AH26" i="30"/>
  <c r="AH26" i="29"/>
  <c r="AG26" i="28"/>
  <c r="J36" i="35"/>
  <c r="AH38" i="31"/>
  <c r="AH38" i="30"/>
  <c r="AH38" i="29"/>
  <c r="AG38" i="28"/>
  <c r="J48" i="35"/>
  <c r="AH50" i="31"/>
  <c r="AH50" i="30"/>
  <c r="AH50" i="29"/>
  <c r="AG50" i="28"/>
  <c r="J60" i="35"/>
  <c r="AH62" i="31"/>
  <c r="AH62" i="30"/>
  <c r="AH62" i="29"/>
  <c r="AG62" i="28"/>
  <c r="J22" i="19"/>
  <c r="J29" i="19"/>
  <c r="J35" i="19"/>
  <c r="J38" i="19"/>
  <c r="J45" i="19"/>
  <c r="J27" i="21"/>
  <c r="G3" i="35"/>
  <c r="V5" i="31"/>
  <c r="V5" i="30"/>
  <c r="V5" i="29"/>
  <c r="U5" i="28"/>
  <c r="G15" i="35"/>
  <c r="V17" i="30"/>
  <c r="V17" i="31"/>
  <c r="U17" i="28"/>
  <c r="V17" i="29"/>
  <c r="G27" i="35"/>
  <c r="V29" i="31"/>
  <c r="V29" i="30"/>
  <c r="V29" i="29"/>
  <c r="U29" i="28"/>
  <c r="G39" i="35"/>
  <c r="V41" i="31"/>
  <c r="V41" i="30"/>
  <c r="U41" i="28"/>
  <c r="V41" i="29"/>
  <c r="G51" i="35"/>
  <c r="V53" i="31"/>
  <c r="V53" i="30"/>
  <c r="V53" i="29"/>
  <c r="U53" i="28"/>
  <c r="G63" i="35"/>
  <c r="V65" i="31"/>
  <c r="V65" i="30"/>
  <c r="U65" i="28"/>
  <c r="V65" i="29"/>
  <c r="I12" i="35"/>
  <c r="AD14" i="31"/>
  <c r="AD14" i="30"/>
  <c r="AC14" i="28"/>
  <c r="AD14" i="29"/>
  <c r="I24" i="35"/>
  <c r="AD26" i="31"/>
  <c r="AD26" i="30"/>
  <c r="AD26" i="29"/>
  <c r="AC26" i="28"/>
  <c r="I36" i="35"/>
  <c r="AD38" i="31"/>
  <c r="AD38" i="30"/>
  <c r="AD38" i="29"/>
  <c r="AC38" i="28"/>
  <c r="I48" i="35"/>
  <c r="AD50" i="31"/>
  <c r="AD50" i="30"/>
  <c r="AD50" i="29"/>
  <c r="AC50" i="28"/>
  <c r="I60" i="35"/>
  <c r="AD62" i="31"/>
  <c r="AD62" i="30"/>
  <c r="AD62" i="29"/>
  <c r="AC62" i="28"/>
  <c r="J1" i="35"/>
  <c r="AH3" i="31"/>
  <c r="AH3" i="30"/>
  <c r="AH3" i="29"/>
  <c r="AG3" i="28"/>
  <c r="K66" i="18"/>
  <c r="J13" i="35"/>
  <c r="AH15" i="31"/>
  <c r="AH15" i="30"/>
  <c r="AH15" i="29"/>
  <c r="AG15" i="28"/>
  <c r="J25" i="35"/>
  <c r="AH27" i="31"/>
  <c r="AH27" i="30"/>
  <c r="AH27" i="29"/>
  <c r="AG27" i="28"/>
  <c r="J37" i="35"/>
  <c r="AH39" i="31"/>
  <c r="AH39" i="30"/>
  <c r="AH39" i="29"/>
  <c r="AG39" i="28"/>
  <c r="J49" i="35"/>
  <c r="AH51" i="31"/>
  <c r="AH51" i="30"/>
  <c r="AH51" i="29"/>
  <c r="AG51" i="28"/>
  <c r="J61" i="35"/>
  <c r="AH63" i="31"/>
  <c r="AH63" i="30"/>
  <c r="AH63" i="29"/>
  <c r="AG63" i="28"/>
  <c r="J23" i="19"/>
  <c r="J59" i="19"/>
  <c r="F70" i="19"/>
  <c r="J8" i="21"/>
  <c r="J20" i="21"/>
  <c r="J54" i="25"/>
  <c r="F43" i="35"/>
  <c r="R45" i="31"/>
  <c r="R45" i="30"/>
  <c r="R45" i="29"/>
  <c r="Q45" i="28"/>
  <c r="F55" i="35"/>
  <c r="R57" i="31"/>
  <c r="R57" i="29"/>
  <c r="R57" i="30"/>
  <c r="Q57" i="28"/>
  <c r="G4" i="35"/>
  <c r="V6" i="31"/>
  <c r="V6" i="30"/>
  <c r="V6" i="29"/>
  <c r="U6" i="28"/>
  <c r="G16" i="35"/>
  <c r="V18" i="31"/>
  <c r="V18" i="30"/>
  <c r="V18" i="29"/>
  <c r="U18" i="28"/>
  <c r="G28" i="35"/>
  <c r="V30" i="31"/>
  <c r="V30" i="30"/>
  <c r="V30" i="29"/>
  <c r="U30" i="28"/>
  <c r="G40" i="35"/>
  <c r="V42" i="31"/>
  <c r="V42" i="30"/>
  <c r="V42" i="29"/>
  <c r="U42" i="28"/>
  <c r="G52" i="35"/>
  <c r="V54" i="30"/>
  <c r="V54" i="31"/>
  <c r="V54" i="29"/>
  <c r="U54" i="28"/>
  <c r="G64" i="35"/>
  <c r="V66" i="31"/>
  <c r="V66" i="30"/>
  <c r="V66" i="29"/>
  <c r="U66" i="28"/>
  <c r="J39" i="13"/>
  <c r="F69" i="15"/>
  <c r="G69" i="15" s="1"/>
  <c r="J69" i="15" s="1"/>
  <c r="R69" i="15" s="1"/>
  <c r="F66" i="15"/>
  <c r="G66" i="15" s="1"/>
  <c r="J66" i="15" s="1"/>
  <c r="R66" i="15" s="1"/>
  <c r="F63" i="15"/>
  <c r="G63" i="15" s="1"/>
  <c r="J63" i="15" s="1"/>
  <c r="R63" i="15" s="1"/>
  <c r="F60" i="15"/>
  <c r="G60" i="15" s="1"/>
  <c r="J60" i="15" s="1"/>
  <c r="F64" i="15"/>
  <c r="G64" i="15" s="1"/>
  <c r="J64" i="15" s="1"/>
  <c r="F18" i="15"/>
  <c r="G18" i="15" s="1"/>
  <c r="J18" i="15" s="1"/>
  <c r="R18" i="15" s="1"/>
  <c r="F8" i="15"/>
  <c r="G8" i="15" s="1"/>
  <c r="J8" i="15" s="1"/>
  <c r="R8" i="15" s="1"/>
  <c r="F62" i="15"/>
  <c r="G62" i="15" s="1"/>
  <c r="J62" i="15" s="1"/>
  <c r="R62" i="15" s="1"/>
  <c r="F15" i="15"/>
  <c r="G15" i="15" s="1"/>
  <c r="J15" i="15" s="1"/>
  <c r="R15" i="15" s="1"/>
  <c r="F12" i="15"/>
  <c r="G12" i="15" s="1"/>
  <c r="J12" i="15" s="1"/>
  <c r="R12" i="15" s="1"/>
  <c r="F55" i="15"/>
  <c r="G55" i="15" s="1"/>
  <c r="J55" i="15" s="1"/>
  <c r="R55" i="15" s="1"/>
  <c r="F52" i="15"/>
  <c r="G52" i="15" s="1"/>
  <c r="J52" i="15" s="1"/>
  <c r="R52" i="15" s="1"/>
  <c r="F49" i="15"/>
  <c r="G49" i="15" s="1"/>
  <c r="J49" i="15" s="1"/>
  <c r="R49" i="15" s="1"/>
  <c r="F46" i="15"/>
  <c r="G46" i="15" s="1"/>
  <c r="J46" i="15" s="1"/>
  <c r="R46" i="15" s="1"/>
  <c r="F43" i="15"/>
  <c r="G43" i="15" s="1"/>
  <c r="J43" i="15" s="1"/>
  <c r="R43" i="15" s="1"/>
  <c r="F40" i="15"/>
  <c r="G40" i="15" s="1"/>
  <c r="J40" i="15" s="1"/>
  <c r="R40" i="15" s="1"/>
  <c r="F37" i="15"/>
  <c r="G37" i="15" s="1"/>
  <c r="J37" i="15" s="1"/>
  <c r="R37" i="15" s="1"/>
  <c r="F34" i="15"/>
  <c r="G34" i="15" s="1"/>
  <c r="J34" i="15" s="1"/>
  <c r="R34" i="15" s="1"/>
  <c r="F31" i="15"/>
  <c r="G31" i="15" s="1"/>
  <c r="J31" i="15" s="1"/>
  <c r="R31" i="15" s="1"/>
  <c r="F28" i="15"/>
  <c r="G28" i="15" s="1"/>
  <c r="J28" i="15" s="1"/>
  <c r="R28" i="15" s="1"/>
  <c r="F25" i="15"/>
  <c r="G25" i="15" s="1"/>
  <c r="J25" i="15" s="1"/>
  <c r="R25" i="15" s="1"/>
  <c r="F22" i="15"/>
  <c r="G22" i="15" s="1"/>
  <c r="J22" i="15" s="1"/>
  <c r="R22" i="15" s="1"/>
  <c r="F19" i="15"/>
  <c r="G19" i="15" s="1"/>
  <c r="J19" i="15" s="1"/>
  <c r="R19" i="15" s="1"/>
  <c r="F6" i="15"/>
  <c r="G6" i="15" s="1"/>
  <c r="I1" i="35"/>
  <c r="AD3" i="31"/>
  <c r="AD3" i="30"/>
  <c r="AD3" i="29"/>
  <c r="AC3" i="28"/>
  <c r="K66" i="16"/>
  <c r="I13" i="35"/>
  <c r="AD15" i="31"/>
  <c r="AD15" i="30"/>
  <c r="AD15" i="29"/>
  <c r="AC15" i="28"/>
  <c r="I25" i="35"/>
  <c r="AD27" i="31"/>
  <c r="AG27" i="31" s="1"/>
  <c r="AD27" i="30"/>
  <c r="AG27" i="30" s="1"/>
  <c r="AD27" i="29"/>
  <c r="AC27" i="28"/>
  <c r="I37" i="35"/>
  <c r="AD39" i="31"/>
  <c r="AD39" i="30"/>
  <c r="AD39" i="29"/>
  <c r="AC39" i="28"/>
  <c r="AF39" i="28" s="1"/>
  <c r="I49" i="35"/>
  <c r="AD51" i="31"/>
  <c r="AG51" i="31" s="1"/>
  <c r="AD51" i="30"/>
  <c r="AG51" i="30" s="1"/>
  <c r="AD51" i="29"/>
  <c r="AG51" i="29" s="1"/>
  <c r="AC51" i="28"/>
  <c r="I61" i="35"/>
  <c r="AD63" i="31"/>
  <c r="AD63" i="30"/>
  <c r="AD63" i="29"/>
  <c r="AC63" i="28"/>
  <c r="J20" i="19"/>
  <c r="J31" i="19"/>
  <c r="J67" i="19"/>
  <c r="J50" i="24"/>
  <c r="R50" i="24" s="1"/>
  <c r="J33" i="25"/>
  <c r="N2" i="35"/>
  <c r="AX4" i="31"/>
  <c r="AX4" i="30"/>
  <c r="AX4" i="29"/>
  <c r="K66" i="26"/>
  <c r="AW4" i="28"/>
  <c r="N14" i="35"/>
  <c r="AX16" i="31"/>
  <c r="AX16" i="30"/>
  <c r="AX16" i="29"/>
  <c r="AW16" i="28"/>
  <c r="N26" i="35"/>
  <c r="AX28" i="31"/>
  <c r="AX28" i="30"/>
  <c r="AX28" i="29"/>
  <c r="AW28" i="28"/>
  <c r="N38" i="35"/>
  <c r="AX40" i="31"/>
  <c r="AX40" i="29"/>
  <c r="AX40" i="30"/>
  <c r="AW40" i="28"/>
  <c r="N50" i="35"/>
  <c r="AX52" i="31"/>
  <c r="AX52" i="30"/>
  <c r="AX52" i="29"/>
  <c r="AW52" i="28"/>
  <c r="N62" i="35"/>
  <c r="AX64" i="31"/>
  <c r="AX64" i="30"/>
  <c r="AX64" i="29"/>
  <c r="AW64" i="28"/>
  <c r="F8" i="35"/>
  <c r="R10" i="31"/>
  <c r="R10" i="30"/>
  <c r="R10" i="29"/>
  <c r="Q10" i="28"/>
  <c r="F20" i="35"/>
  <c r="R22" i="31"/>
  <c r="R22" i="30"/>
  <c r="R22" i="29"/>
  <c r="Q22" i="28"/>
  <c r="F32" i="35"/>
  <c r="R34" i="31"/>
  <c r="R34" i="30"/>
  <c r="R34" i="29"/>
  <c r="Q34" i="28"/>
  <c r="F44" i="35"/>
  <c r="R46" i="31"/>
  <c r="R46" i="30"/>
  <c r="R46" i="29"/>
  <c r="Q46" i="28"/>
  <c r="F56" i="35"/>
  <c r="R58" i="31"/>
  <c r="R58" i="30"/>
  <c r="R58" i="29"/>
  <c r="Q58" i="28"/>
  <c r="G5" i="35"/>
  <c r="V7" i="31"/>
  <c r="V7" i="30"/>
  <c r="V7" i="29"/>
  <c r="U7" i="28"/>
  <c r="G17" i="35"/>
  <c r="V19" i="31"/>
  <c r="V19" i="30"/>
  <c r="V19" i="29"/>
  <c r="U19" i="28"/>
  <c r="G29" i="35"/>
  <c r="V31" i="31"/>
  <c r="V31" i="30"/>
  <c r="V31" i="29"/>
  <c r="U31" i="28"/>
  <c r="G41" i="35"/>
  <c r="V43" i="31"/>
  <c r="V43" i="29"/>
  <c r="V43" i="30"/>
  <c r="G53" i="35"/>
  <c r="V55" i="31"/>
  <c r="V55" i="30"/>
  <c r="V55" i="29"/>
  <c r="U55" i="28"/>
  <c r="F52" i="13"/>
  <c r="G52" i="13" s="1"/>
  <c r="J52" i="13" s="1"/>
  <c r="F54" i="13"/>
  <c r="G54" i="13" s="1"/>
  <c r="J54" i="13" s="1"/>
  <c r="F23" i="15"/>
  <c r="G23" i="15" s="1"/>
  <c r="J23" i="15" s="1"/>
  <c r="F29" i="15"/>
  <c r="G29" i="15" s="1"/>
  <c r="J29" i="15" s="1"/>
  <c r="F35" i="15"/>
  <c r="G35" i="15" s="1"/>
  <c r="J35" i="15" s="1"/>
  <c r="F41" i="15"/>
  <c r="G41" i="15" s="1"/>
  <c r="J41" i="15" s="1"/>
  <c r="F47" i="15"/>
  <c r="G47" i="15" s="1"/>
  <c r="J47" i="15" s="1"/>
  <c r="F53" i="15"/>
  <c r="G53" i="15" s="1"/>
  <c r="J53" i="15" s="1"/>
  <c r="F67" i="15"/>
  <c r="G67" i="15" s="1"/>
  <c r="J67" i="15" s="1"/>
  <c r="I2" i="35"/>
  <c r="AD4" i="31"/>
  <c r="AG4" i="31" s="1"/>
  <c r="AD4" i="30"/>
  <c r="AD4" i="29"/>
  <c r="AG4" i="29" s="1"/>
  <c r="AC4" i="28"/>
  <c r="I14" i="35"/>
  <c r="AD16" i="31"/>
  <c r="AD16" i="30"/>
  <c r="AD16" i="29"/>
  <c r="AC16" i="28"/>
  <c r="I26" i="35"/>
  <c r="AD28" i="31"/>
  <c r="AD28" i="30"/>
  <c r="AD28" i="29"/>
  <c r="AC28" i="28"/>
  <c r="I38" i="35"/>
  <c r="AD40" i="31"/>
  <c r="AD40" i="30"/>
  <c r="AD40" i="29"/>
  <c r="AC40" i="28"/>
  <c r="I50" i="35"/>
  <c r="AD52" i="31"/>
  <c r="AD52" i="30"/>
  <c r="AD52" i="29"/>
  <c r="AC52" i="28"/>
  <c r="I62" i="35"/>
  <c r="AD64" i="31"/>
  <c r="AD64" i="30"/>
  <c r="AD64" i="29"/>
  <c r="AC64" i="28"/>
  <c r="F11" i="17"/>
  <c r="G11" i="17" s="1"/>
  <c r="J11" i="17" s="1"/>
  <c r="R11" i="17" s="1"/>
  <c r="F25" i="17"/>
  <c r="G25" i="17" s="1"/>
  <c r="J25" i="17" s="1"/>
  <c r="F61" i="17"/>
  <c r="G61" i="17" s="1"/>
  <c r="J61" i="17" s="1"/>
  <c r="J64" i="21"/>
  <c r="J18" i="24"/>
  <c r="R18" i="24" s="1"/>
  <c r="J40" i="24"/>
  <c r="R40" i="24" s="1"/>
  <c r="J57" i="24"/>
  <c r="F9" i="35"/>
  <c r="R11" i="31"/>
  <c r="R11" i="30"/>
  <c r="R11" i="29"/>
  <c r="Q11" i="28"/>
  <c r="F21" i="35"/>
  <c r="R23" i="31"/>
  <c r="R23" i="30"/>
  <c r="R23" i="29"/>
  <c r="Q23" i="28"/>
  <c r="F33" i="35"/>
  <c r="R35" i="31"/>
  <c r="R35" i="30"/>
  <c r="R35" i="29"/>
  <c r="Q35" i="28"/>
  <c r="F45" i="35"/>
  <c r="R47" i="31"/>
  <c r="R47" i="30"/>
  <c r="R47" i="29"/>
  <c r="Q47" i="28"/>
  <c r="F57" i="35"/>
  <c r="R59" i="31"/>
  <c r="R59" i="30"/>
  <c r="R59" i="29"/>
  <c r="Q59" i="28"/>
  <c r="G6" i="35"/>
  <c r="V8" i="31"/>
  <c r="V8" i="30"/>
  <c r="V8" i="29"/>
  <c r="U8" i="28"/>
  <c r="G18" i="35"/>
  <c r="V20" i="31"/>
  <c r="V20" i="29"/>
  <c r="V20" i="30"/>
  <c r="U20" i="28"/>
  <c r="G30" i="35"/>
  <c r="V32" i="31"/>
  <c r="V32" i="30"/>
  <c r="V32" i="29"/>
  <c r="U32" i="28"/>
  <c r="G42" i="35"/>
  <c r="V44" i="31"/>
  <c r="V44" i="30"/>
  <c r="V44" i="29"/>
  <c r="U44" i="28"/>
  <c r="G54" i="35"/>
  <c r="V56" i="31"/>
  <c r="V56" i="30"/>
  <c r="V56" i="29"/>
  <c r="U56" i="28"/>
  <c r="J33" i="13"/>
  <c r="F67" i="13"/>
  <c r="G67" i="13" s="1"/>
  <c r="J67" i="13" s="1"/>
  <c r="F69" i="13"/>
  <c r="G69" i="13" s="1"/>
  <c r="J69" i="13" s="1"/>
  <c r="H10" i="35"/>
  <c r="Z12" i="31"/>
  <c r="Z12" i="30"/>
  <c r="Z12" i="29"/>
  <c r="Y12" i="28"/>
  <c r="H22" i="35"/>
  <c r="Z24" i="31"/>
  <c r="Z24" i="29"/>
  <c r="Y24" i="28"/>
  <c r="Z24" i="30"/>
  <c r="H34" i="35"/>
  <c r="Z36" i="31"/>
  <c r="Z36" i="30"/>
  <c r="Z36" i="29"/>
  <c r="H46" i="35"/>
  <c r="Z48" i="31"/>
  <c r="Z48" i="30"/>
  <c r="Z48" i="29"/>
  <c r="Y48" i="28"/>
  <c r="H58" i="35"/>
  <c r="Z60" i="31"/>
  <c r="Z60" i="29"/>
  <c r="Z60" i="30"/>
  <c r="Y60" i="28"/>
  <c r="F13" i="15"/>
  <c r="G13" i="15" s="1"/>
  <c r="J13" i="15" s="1"/>
  <c r="I3" i="35"/>
  <c r="AD5" i="31"/>
  <c r="AD5" i="30"/>
  <c r="AD5" i="29"/>
  <c r="AC5" i="28"/>
  <c r="I15" i="35"/>
  <c r="AD17" i="31"/>
  <c r="AD17" i="29"/>
  <c r="AD17" i="30"/>
  <c r="AC17" i="28"/>
  <c r="I27" i="35"/>
  <c r="AD29" i="31"/>
  <c r="AD29" i="30"/>
  <c r="AD29" i="29"/>
  <c r="AC29" i="28"/>
  <c r="I39" i="35"/>
  <c r="AD41" i="31"/>
  <c r="AD41" i="30"/>
  <c r="AD41" i="29"/>
  <c r="AC41" i="28"/>
  <c r="I51" i="35"/>
  <c r="AD53" i="31"/>
  <c r="AD53" i="30"/>
  <c r="AD53" i="29"/>
  <c r="AC53" i="28"/>
  <c r="I63" i="35"/>
  <c r="AD65" i="31"/>
  <c r="AD65" i="30"/>
  <c r="AD65" i="29"/>
  <c r="AC65" i="28"/>
  <c r="J32" i="19"/>
  <c r="J15" i="21"/>
  <c r="J44" i="21"/>
  <c r="J68" i="21"/>
  <c r="J68" i="24"/>
  <c r="R68" i="24" s="1"/>
  <c r="F10" i="35"/>
  <c r="R12" i="31"/>
  <c r="R12" i="30"/>
  <c r="R12" i="29"/>
  <c r="Q12" i="28"/>
  <c r="F22" i="35"/>
  <c r="R24" i="31"/>
  <c r="R24" i="30"/>
  <c r="R24" i="29"/>
  <c r="Q24" i="28"/>
  <c r="F34" i="35"/>
  <c r="R36" i="31"/>
  <c r="R36" i="30"/>
  <c r="R36" i="29"/>
  <c r="Q36" i="28"/>
  <c r="F46" i="35"/>
  <c r="R48" i="31"/>
  <c r="R48" i="30"/>
  <c r="R48" i="29"/>
  <c r="Q48" i="28"/>
  <c r="F58" i="35"/>
  <c r="R60" i="31"/>
  <c r="R60" i="30"/>
  <c r="R60" i="29"/>
  <c r="Q60" i="28"/>
  <c r="G7" i="35"/>
  <c r="V9" i="31"/>
  <c r="V9" i="30"/>
  <c r="V9" i="29"/>
  <c r="U9" i="28"/>
  <c r="G19" i="35"/>
  <c r="V21" i="31"/>
  <c r="V21" i="30"/>
  <c r="V21" i="29"/>
  <c r="U21" i="28"/>
  <c r="G31" i="35"/>
  <c r="V33" i="31"/>
  <c r="V33" i="30"/>
  <c r="V33" i="29"/>
  <c r="U33" i="28"/>
  <c r="G43" i="35"/>
  <c r="V45" i="31"/>
  <c r="V45" i="30"/>
  <c r="V45" i="29"/>
  <c r="U45" i="28"/>
  <c r="G55" i="35"/>
  <c r="V57" i="31"/>
  <c r="V57" i="30"/>
  <c r="V57" i="29"/>
  <c r="U57" i="28"/>
  <c r="J48" i="13"/>
  <c r="H11" i="35"/>
  <c r="Z13" i="31"/>
  <c r="Z13" i="29"/>
  <c r="Z13" i="30"/>
  <c r="Y13" i="28"/>
  <c r="H23" i="35"/>
  <c r="Z25" i="31"/>
  <c r="Z25" i="30"/>
  <c r="Z25" i="29"/>
  <c r="Y25" i="28"/>
  <c r="H35" i="35"/>
  <c r="Z37" i="31"/>
  <c r="Z37" i="30"/>
  <c r="Z37" i="29"/>
  <c r="Y37" i="28"/>
  <c r="H47" i="35"/>
  <c r="Z49" i="31"/>
  <c r="Z49" i="30"/>
  <c r="Z49" i="29"/>
  <c r="Y49" i="28"/>
  <c r="H59" i="35"/>
  <c r="Z61" i="31"/>
  <c r="Z61" i="30"/>
  <c r="Z61" i="29"/>
  <c r="Y61" i="28"/>
  <c r="F70" i="15"/>
  <c r="I4" i="35"/>
  <c r="AD6" i="30"/>
  <c r="AD6" i="31"/>
  <c r="AD6" i="29"/>
  <c r="AC6" i="28"/>
  <c r="I16" i="35"/>
  <c r="AD18" i="31"/>
  <c r="AD18" i="30"/>
  <c r="AD18" i="29"/>
  <c r="AC18" i="28"/>
  <c r="I28" i="35"/>
  <c r="AD30" i="31"/>
  <c r="AG30" i="31" s="1"/>
  <c r="AD30" i="30"/>
  <c r="AG30" i="30" s="1"/>
  <c r="AD30" i="29"/>
  <c r="AG30" i="29" s="1"/>
  <c r="AC30" i="28"/>
  <c r="AF30" i="28" s="1"/>
  <c r="I40" i="35"/>
  <c r="AD42" i="31"/>
  <c r="AG42" i="31" s="1"/>
  <c r="AD42" i="30"/>
  <c r="AG42" i="30" s="1"/>
  <c r="AD42" i="29"/>
  <c r="AG42" i="29" s="1"/>
  <c r="AC42" i="28"/>
  <c r="I52" i="35"/>
  <c r="AD54" i="31"/>
  <c r="AD54" i="30"/>
  <c r="AD54" i="29"/>
  <c r="AC54" i="28"/>
  <c r="I64" i="35"/>
  <c r="AD66" i="31"/>
  <c r="AD66" i="30"/>
  <c r="AD66" i="29"/>
  <c r="AC66" i="28"/>
  <c r="F68" i="17"/>
  <c r="G68" i="17" s="1"/>
  <c r="J68" i="17" s="1"/>
  <c r="R68" i="17" s="1"/>
  <c r="F65" i="17"/>
  <c r="G65" i="17" s="1"/>
  <c r="J65" i="17" s="1"/>
  <c r="R65" i="17" s="1"/>
  <c r="F62" i="17"/>
  <c r="G62" i="17" s="1"/>
  <c r="J62" i="17" s="1"/>
  <c r="R62" i="17" s="1"/>
  <c r="F59" i="17"/>
  <c r="G59" i="17" s="1"/>
  <c r="J59" i="17" s="1"/>
  <c r="R59" i="17" s="1"/>
  <c r="F56" i="17"/>
  <c r="G56" i="17" s="1"/>
  <c r="J56" i="17" s="1"/>
  <c r="F53" i="17"/>
  <c r="G53" i="17" s="1"/>
  <c r="J53" i="17" s="1"/>
  <c r="R53" i="17" s="1"/>
  <c r="F50" i="17"/>
  <c r="G50" i="17" s="1"/>
  <c r="J50" i="17" s="1"/>
  <c r="F47" i="17"/>
  <c r="G47" i="17" s="1"/>
  <c r="J47" i="17" s="1"/>
  <c r="R47" i="17" s="1"/>
  <c r="F44" i="17"/>
  <c r="G44" i="17" s="1"/>
  <c r="J44" i="17" s="1"/>
  <c r="F41" i="17"/>
  <c r="G41" i="17" s="1"/>
  <c r="J41" i="17" s="1"/>
  <c r="R41" i="17" s="1"/>
  <c r="F38" i="17"/>
  <c r="G38" i="17" s="1"/>
  <c r="J38" i="17" s="1"/>
  <c r="F35" i="17"/>
  <c r="G35" i="17" s="1"/>
  <c r="J35" i="17" s="1"/>
  <c r="R35" i="17" s="1"/>
  <c r="F32" i="17"/>
  <c r="G32" i="17" s="1"/>
  <c r="J32" i="17" s="1"/>
  <c r="R32" i="17" s="1"/>
  <c r="F29" i="17"/>
  <c r="G29" i="17" s="1"/>
  <c r="J29" i="17" s="1"/>
  <c r="R29" i="17" s="1"/>
  <c r="F26" i="17"/>
  <c r="G26" i="17" s="1"/>
  <c r="J26" i="17" s="1"/>
  <c r="R26" i="17" s="1"/>
  <c r="F23" i="17"/>
  <c r="G23" i="17" s="1"/>
  <c r="J23" i="17" s="1"/>
  <c r="R23" i="17" s="1"/>
  <c r="F69" i="17"/>
  <c r="G69" i="17" s="1"/>
  <c r="J69" i="17" s="1"/>
  <c r="F66" i="17"/>
  <c r="G66" i="17" s="1"/>
  <c r="J66" i="17" s="1"/>
  <c r="F63" i="17"/>
  <c r="G63" i="17" s="1"/>
  <c r="J63" i="17" s="1"/>
  <c r="F60" i="17"/>
  <c r="G60" i="17" s="1"/>
  <c r="J60" i="17" s="1"/>
  <c r="F57" i="17"/>
  <c r="G57" i="17" s="1"/>
  <c r="J57" i="17" s="1"/>
  <c r="F54" i="17"/>
  <c r="G54" i="17" s="1"/>
  <c r="J54" i="17" s="1"/>
  <c r="F51" i="17"/>
  <c r="G51" i="17" s="1"/>
  <c r="J51" i="17" s="1"/>
  <c r="F48" i="17"/>
  <c r="G48" i="17" s="1"/>
  <c r="J48" i="17" s="1"/>
  <c r="F45" i="17"/>
  <c r="G45" i="17" s="1"/>
  <c r="J45" i="17" s="1"/>
  <c r="R45" i="17" s="1"/>
  <c r="F42" i="17"/>
  <c r="G42" i="17" s="1"/>
  <c r="J42" i="17" s="1"/>
  <c r="F39" i="17"/>
  <c r="G39" i="17" s="1"/>
  <c r="J39" i="17" s="1"/>
  <c r="F36" i="17"/>
  <c r="G36" i="17" s="1"/>
  <c r="J36" i="17" s="1"/>
  <c r="R36" i="17" s="1"/>
  <c r="F33" i="17"/>
  <c r="G33" i="17" s="1"/>
  <c r="J33" i="17" s="1"/>
  <c r="F30" i="17"/>
  <c r="G30" i="17" s="1"/>
  <c r="J30" i="17" s="1"/>
  <c r="F27" i="17"/>
  <c r="G27" i="17" s="1"/>
  <c r="J27" i="17" s="1"/>
  <c r="F24" i="17"/>
  <c r="G24" i="17" s="1"/>
  <c r="J24" i="17" s="1"/>
  <c r="F14" i="17"/>
  <c r="G14" i="17" s="1"/>
  <c r="J14" i="17" s="1"/>
  <c r="R14" i="17" s="1"/>
  <c r="F18" i="17"/>
  <c r="G18" i="17" s="1"/>
  <c r="J18" i="17" s="1"/>
  <c r="R18" i="17" s="1"/>
  <c r="F15" i="17"/>
  <c r="G15" i="17" s="1"/>
  <c r="J15" i="17" s="1"/>
  <c r="F8" i="17"/>
  <c r="G8" i="17" s="1"/>
  <c r="J8" i="17" s="1"/>
  <c r="R8" i="17" s="1"/>
  <c r="F21" i="17"/>
  <c r="G21" i="17" s="1"/>
  <c r="J21" i="17" s="1"/>
  <c r="R21" i="17" s="1"/>
  <c r="F9" i="17"/>
  <c r="G9" i="17" s="1"/>
  <c r="J9" i="17" s="1"/>
  <c r="R9" i="17" s="1"/>
  <c r="F12" i="17"/>
  <c r="G12" i="17" s="1"/>
  <c r="J12" i="17" s="1"/>
  <c r="R12" i="17" s="1"/>
  <c r="F64" i="17"/>
  <c r="G64" i="17" s="1"/>
  <c r="J64" i="17" s="1"/>
  <c r="F58" i="17"/>
  <c r="G58" i="17" s="1"/>
  <c r="J58" i="17" s="1"/>
  <c r="F52" i="17"/>
  <c r="G52" i="17" s="1"/>
  <c r="J52" i="17" s="1"/>
  <c r="F46" i="17"/>
  <c r="G46" i="17" s="1"/>
  <c r="J46" i="17" s="1"/>
  <c r="F40" i="17"/>
  <c r="G40" i="17" s="1"/>
  <c r="J40" i="17" s="1"/>
  <c r="F34" i="17"/>
  <c r="G34" i="17" s="1"/>
  <c r="J34" i="17" s="1"/>
  <c r="F28" i="17"/>
  <c r="G28" i="17" s="1"/>
  <c r="J28" i="17" s="1"/>
  <c r="F22" i="17"/>
  <c r="G22" i="17" s="1"/>
  <c r="J22" i="17" s="1"/>
  <c r="F19" i="17"/>
  <c r="G19" i="17" s="1"/>
  <c r="J19" i="17" s="1"/>
  <c r="F17" i="17"/>
  <c r="G17" i="17" s="1"/>
  <c r="J17" i="17" s="1"/>
  <c r="I70" i="19"/>
  <c r="T13" i="19" s="1"/>
  <c r="J10" i="19"/>
  <c r="J18" i="19"/>
  <c r="J40" i="19"/>
  <c r="J65" i="19"/>
  <c r="J68" i="19"/>
  <c r="J9" i="21"/>
  <c r="J38" i="21"/>
  <c r="J41" i="21"/>
  <c r="J61" i="21"/>
  <c r="J65" i="21"/>
  <c r="J28" i="24"/>
  <c r="J65" i="24"/>
  <c r="J69" i="25"/>
  <c r="F11" i="35"/>
  <c r="R13" i="31"/>
  <c r="R13" i="30"/>
  <c r="R13" i="29"/>
  <c r="Q13" i="28"/>
  <c r="F23" i="35"/>
  <c r="R25" i="31"/>
  <c r="R25" i="30"/>
  <c r="R25" i="29"/>
  <c r="Q25" i="28"/>
  <c r="F35" i="35"/>
  <c r="R37" i="31"/>
  <c r="R37" i="30"/>
  <c r="R37" i="29"/>
  <c r="Q37" i="28"/>
  <c r="F47" i="35"/>
  <c r="R49" i="31"/>
  <c r="R49" i="30"/>
  <c r="R49" i="29"/>
  <c r="Q49" i="28"/>
  <c r="F59" i="35"/>
  <c r="R61" i="31"/>
  <c r="R61" i="30"/>
  <c r="Q61" i="28"/>
  <c r="R61" i="29"/>
  <c r="F11" i="13"/>
  <c r="G11" i="13" s="1"/>
  <c r="J11" i="13" s="1"/>
  <c r="F15" i="13"/>
  <c r="G15" i="13" s="1"/>
  <c r="J15" i="13" s="1"/>
  <c r="F25" i="13"/>
  <c r="G25" i="13" s="1"/>
  <c r="J25" i="13" s="1"/>
  <c r="F27" i="13"/>
  <c r="G27" i="13" s="1"/>
  <c r="J27" i="13" s="1"/>
  <c r="F61" i="13"/>
  <c r="G61" i="13" s="1"/>
  <c r="J61" i="13" s="1"/>
  <c r="H12" i="35"/>
  <c r="Z14" i="31"/>
  <c r="Z14" i="30"/>
  <c r="Z14" i="29"/>
  <c r="Y14" i="28"/>
  <c r="H24" i="35"/>
  <c r="Z26" i="31"/>
  <c r="Z26" i="30"/>
  <c r="Z26" i="29"/>
  <c r="Y26" i="28"/>
  <c r="H36" i="35"/>
  <c r="Z38" i="31"/>
  <c r="Z38" i="30"/>
  <c r="Z38" i="29"/>
  <c r="Y38" i="28"/>
  <c r="H48" i="35"/>
  <c r="Z50" i="31"/>
  <c r="Z50" i="30"/>
  <c r="Z50" i="29"/>
  <c r="Y50" i="28"/>
  <c r="H60" i="35"/>
  <c r="Z62" i="31"/>
  <c r="Z62" i="30"/>
  <c r="Z62" i="29"/>
  <c r="Y62" i="28"/>
  <c r="F65" i="15"/>
  <c r="G65" i="15" s="1"/>
  <c r="J65" i="15" s="1"/>
  <c r="F68" i="15"/>
  <c r="G68" i="15" s="1"/>
  <c r="J68" i="15" s="1"/>
  <c r="R68" i="15" s="1"/>
  <c r="F16" i="17"/>
  <c r="G16" i="17" s="1"/>
  <c r="J16" i="17" s="1"/>
  <c r="F31" i="17"/>
  <c r="G31" i="17" s="1"/>
  <c r="J31" i="17" s="1"/>
  <c r="R31" i="17" s="1"/>
  <c r="J12" i="21"/>
  <c r="J28" i="21"/>
  <c r="J35" i="21"/>
  <c r="U43" i="28"/>
  <c r="F12" i="35"/>
  <c r="R14" i="31"/>
  <c r="R14" i="30"/>
  <c r="R14" i="29"/>
  <c r="Q14" i="28"/>
  <c r="F24" i="35"/>
  <c r="R26" i="31"/>
  <c r="R26" i="30"/>
  <c r="R26" i="29"/>
  <c r="Q26" i="28"/>
  <c r="F36" i="35"/>
  <c r="R38" i="31"/>
  <c r="R38" i="30"/>
  <c r="R38" i="29"/>
  <c r="Q38" i="28"/>
  <c r="F48" i="35"/>
  <c r="R50" i="31"/>
  <c r="R50" i="30"/>
  <c r="R50" i="29"/>
  <c r="Q50" i="28"/>
  <c r="F60" i="35"/>
  <c r="R62" i="31"/>
  <c r="R62" i="30"/>
  <c r="R62" i="29"/>
  <c r="Q62" i="28"/>
  <c r="J42" i="13"/>
  <c r="F68" i="13"/>
  <c r="G68" i="13" s="1"/>
  <c r="J68" i="13" s="1"/>
  <c r="F65" i="13"/>
  <c r="G65" i="13" s="1"/>
  <c r="J65" i="13" s="1"/>
  <c r="F62" i="13"/>
  <c r="G62" i="13" s="1"/>
  <c r="J62" i="13" s="1"/>
  <c r="F59" i="13"/>
  <c r="G59" i="13" s="1"/>
  <c r="J59" i="13" s="1"/>
  <c r="F56" i="13"/>
  <c r="G56" i="13" s="1"/>
  <c r="J56" i="13" s="1"/>
  <c r="F53" i="13"/>
  <c r="G53" i="13" s="1"/>
  <c r="J53" i="13" s="1"/>
  <c r="F50" i="13"/>
  <c r="G50" i="13" s="1"/>
  <c r="J50" i="13" s="1"/>
  <c r="F47" i="13"/>
  <c r="G47" i="13" s="1"/>
  <c r="J47" i="13" s="1"/>
  <c r="F44" i="13"/>
  <c r="G44" i="13" s="1"/>
  <c r="J44" i="13" s="1"/>
  <c r="F41" i="13"/>
  <c r="G41" i="13" s="1"/>
  <c r="J41" i="13" s="1"/>
  <c r="F38" i="13"/>
  <c r="G38" i="13" s="1"/>
  <c r="J38" i="13" s="1"/>
  <c r="F35" i="13"/>
  <c r="G35" i="13" s="1"/>
  <c r="J35" i="13" s="1"/>
  <c r="F32" i="13"/>
  <c r="G32" i="13" s="1"/>
  <c r="J32" i="13" s="1"/>
  <c r="F29" i="13"/>
  <c r="G29" i="13" s="1"/>
  <c r="J29" i="13" s="1"/>
  <c r="F26" i="13"/>
  <c r="G26" i="13" s="1"/>
  <c r="J26" i="13" s="1"/>
  <c r="F23" i="13"/>
  <c r="G23" i="13" s="1"/>
  <c r="J23" i="13" s="1"/>
  <c r="F10" i="13"/>
  <c r="G10" i="13" s="1"/>
  <c r="J10" i="13" s="1"/>
  <c r="F20" i="13"/>
  <c r="G20" i="13" s="1"/>
  <c r="J20" i="13" s="1"/>
  <c r="F7" i="13"/>
  <c r="G7" i="13" s="1"/>
  <c r="F17" i="13"/>
  <c r="G17" i="13" s="1"/>
  <c r="J17" i="13" s="1"/>
  <c r="F14" i="13"/>
  <c r="G14" i="13" s="1"/>
  <c r="J14" i="13" s="1"/>
  <c r="H1" i="35"/>
  <c r="Z3" i="31"/>
  <c r="Z3" i="30"/>
  <c r="Z3" i="29"/>
  <c r="Y3" i="28"/>
  <c r="H13" i="35"/>
  <c r="Z15" i="31"/>
  <c r="Z15" i="30"/>
  <c r="Y15" i="28"/>
  <c r="Z15" i="29"/>
  <c r="H25" i="35"/>
  <c r="Z27" i="31"/>
  <c r="Z27" i="30"/>
  <c r="Z27" i="29"/>
  <c r="Y27" i="28"/>
  <c r="H37" i="35"/>
  <c r="Z39" i="31"/>
  <c r="Z39" i="30"/>
  <c r="Z39" i="29"/>
  <c r="Y39" i="28"/>
  <c r="H49" i="35"/>
  <c r="Z51" i="31"/>
  <c r="Z51" i="30"/>
  <c r="Z51" i="29"/>
  <c r="Y51" i="28"/>
  <c r="H61" i="35"/>
  <c r="Z63" i="31"/>
  <c r="Z63" i="30"/>
  <c r="Z63" i="29"/>
  <c r="Y63" i="28"/>
  <c r="I6" i="35"/>
  <c r="AD8" i="31"/>
  <c r="AD8" i="30"/>
  <c r="AD8" i="29"/>
  <c r="AC8" i="28"/>
  <c r="I18" i="35"/>
  <c r="AD20" i="31"/>
  <c r="AD20" i="30"/>
  <c r="AD20" i="29"/>
  <c r="AC20" i="28"/>
  <c r="I30" i="35"/>
  <c r="AD32" i="31"/>
  <c r="AD32" i="30"/>
  <c r="AD32" i="29"/>
  <c r="AC32" i="28"/>
  <c r="I42" i="35"/>
  <c r="AD44" i="31"/>
  <c r="AD44" i="30"/>
  <c r="AD44" i="29"/>
  <c r="AC44" i="28"/>
  <c r="I54" i="35"/>
  <c r="AD56" i="31"/>
  <c r="AG56" i="31" s="1"/>
  <c r="AD56" i="30"/>
  <c r="AG56" i="30" s="1"/>
  <c r="AD56" i="29"/>
  <c r="AG56" i="29" s="1"/>
  <c r="AC56" i="28"/>
  <c r="J8" i="19"/>
  <c r="J41" i="19"/>
  <c r="D70" i="21"/>
  <c r="J32" i="21"/>
  <c r="J45" i="21"/>
  <c r="J48" i="21"/>
  <c r="J51" i="21"/>
  <c r="J58" i="21"/>
  <c r="J9" i="24"/>
  <c r="R9" i="24" s="1"/>
  <c r="J15" i="25"/>
  <c r="H4" i="35"/>
  <c r="Z6" i="31"/>
  <c r="Z6" i="30"/>
  <c r="Z6" i="29"/>
  <c r="Y6" i="28"/>
  <c r="H16" i="35"/>
  <c r="Z18" i="31"/>
  <c r="Z18" i="30"/>
  <c r="Z18" i="29"/>
  <c r="Y18" i="28"/>
  <c r="H28" i="35"/>
  <c r="Z30" i="31"/>
  <c r="Z30" i="30"/>
  <c r="Z30" i="29"/>
  <c r="Y30" i="28"/>
  <c r="H40" i="35"/>
  <c r="Z42" i="31"/>
  <c r="Z42" i="30"/>
  <c r="Z42" i="29"/>
  <c r="Y42" i="28"/>
  <c r="H52" i="35"/>
  <c r="Z54" i="31"/>
  <c r="Z54" i="30"/>
  <c r="Z54" i="29"/>
  <c r="Y54" i="28"/>
  <c r="H64" i="35"/>
  <c r="Z66" i="31"/>
  <c r="Z66" i="30"/>
  <c r="Z66" i="29"/>
  <c r="Y66" i="28"/>
  <c r="K67" i="15"/>
  <c r="K64" i="15"/>
  <c r="K61" i="15"/>
  <c r="R61" i="15" s="1"/>
  <c r="K58" i="15"/>
  <c r="R58" i="15" s="1"/>
  <c r="K17" i="15"/>
  <c r="R17" i="15" s="1"/>
  <c r="I70" i="17"/>
  <c r="T14" i="17" s="1"/>
  <c r="K69" i="17"/>
  <c r="K66" i="17"/>
  <c r="K63" i="17"/>
  <c r="K60" i="17"/>
  <c r="K57" i="17"/>
  <c r="K54" i="17"/>
  <c r="K51" i="17"/>
  <c r="K48" i="17"/>
  <c r="K45" i="17"/>
  <c r="K42" i="17"/>
  <c r="K39" i="17"/>
  <c r="K36" i="17"/>
  <c r="K33" i="17"/>
  <c r="K30" i="17"/>
  <c r="K27" i="17"/>
  <c r="K24" i="17"/>
  <c r="K67" i="17"/>
  <c r="R67" i="17" s="1"/>
  <c r="K64" i="17"/>
  <c r="K61" i="17"/>
  <c r="K58" i="17"/>
  <c r="K55" i="17"/>
  <c r="K52" i="17"/>
  <c r="K49" i="17"/>
  <c r="R49" i="17" s="1"/>
  <c r="K46" i="17"/>
  <c r="K43" i="17"/>
  <c r="R43" i="17" s="1"/>
  <c r="K40" i="17"/>
  <c r="K37" i="17"/>
  <c r="R37" i="17" s="1"/>
  <c r="K34" i="17"/>
  <c r="K31" i="17"/>
  <c r="K28" i="17"/>
  <c r="K25" i="17"/>
  <c r="K22" i="17"/>
  <c r="K12" i="17"/>
  <c r="K19" i="17"/>
  <c r="K16" i="17"/>
  <c r="K6" i="17"/>
  <c r="K20" i="17"/>
  <c r="R20" i="17" s="1"/>
  <c r="K7" i="35"/>
  <c r="AL9" i="31"/>
  <c r="AL9" i="30"/>
  <c r="AL9" i="29"/>
  <c r="AK9" i="28"/>
  <c r="K19" i="35"/>
  <c r="AL21" i="31"/>
  <c r="AL21" i="29"/>
  <c r="AL21" i="30"/>
  <c r="AK21" i="28"/>
  <c r="K31" i="35"/>
  <c r="AL33" i="31"/>
  <c r="AL33" i="30"/>
  <c r="AL33" i="29"/>
  <c r="AK33" i="28"/>
  <c r="K43" i="35"/>
  <c r="AL45" i="31"/>
  <c r="AL45" i="30"/>
  <c r="AL45" i="29"/>
  <c r="K55" i="35"/>
  <c r="AL57" i="31"/>
  <c r="AL57" i="30"/>
  <c r="AL57" i="29"/>
  <c r="AK57" i="28"/>
  <c r="J47" i="21"/>
  <c r="D70" i="24"/>
  <c r="J11" i="24"/>
  <c r="T9" i="25"/>
  <c r="J39" i="25" s="1"/>
  <c r="K8" i="35"/>
  <c r="AL10" i="31"/>
  <c r="AL10" i="30"/>
  <c r="AL10" i="29"/>
  <c r="AK10" i="28"/>
  <c r="K20" i="35"/>
  <c r="AL22" i="31"/>
  <c r="AL22" i="30"/>
  <c r="AL22" i="29"/>
  <c r="AK22" i="28"/>
  <c r="K32" i="35"/>
  <c r="AL34" i="31"/>
  <c r="AL34" i="30"/>
  <c r="AL34" i="29"/>
  <c r="AK34" i="28"/>
  <c r="K44" i="35"/>
  <c r="AL46" i="31"/>
  <c r="AL46" i="30"/>
  <c r="AL46" i="29"/>
  <c r="AK46" i="28"/>
  <c r="K56" i="35"/>
  <c r="AL58" i="31"/>
  <c r="AL58" i="30"/>
  <c r="AL58" i="29"/>
  <c r="AK58" i="28"/>
  <c r="J10" i="21"/>
  <c r="J50" i="21"/>
  <c r="E70" i="24"/>
  <c r="J31" i="24"/>
  <c r="R31" i="24" s="1"/>
  <c r="J61" i="24"/>
  <c r="R61" i="24" s="1"/>
  <c r="J45" i="25"/>
  <c r="J60" i="25"/>
  <c r="G8" i="35"/>
  <c r="V10" i="31"/>
  <c r="V10" i="30"/>
  <c r="V10" i="29"/>
  <c r="U10" i="28"/>
  <c r="G20" i="35"/>
  <c r="V22" i="31"/>
  <c r="V22" i="30"/>
  <c r="V22" i="29"/>
  <c r="U22" i="28"/>
  <c r="G32" i="35"/>
  <c r="V34" i="31"/>
  <c r="V34" i="30"/>
  <c r="V34" i="29"/>
  <c r="U34" i="28"/>
  <c r="G44" i="35"/>
  <c r="V46" i="31"/>
  <c r="V46" i="30"/>
  <c r="V46" i="29"/>
  <c r="U46" i="28"/>
  <c r="G56" i="35"/>
  <c r="V58" i="31"/>
  <c r="V58" i="30"/>
  <c r="V58" i="29"/>
  <c r="U58" i="28"/>
  <c r="H6" i="35"/>
  <c r="Z8" i="31"/>
  <c r="Z8" i="30"/>
  <c r="Z8" i="29"/>
  <c r="Y8" i="28"/>
  <c r="H18" i="35"/>
  <c r="Z20" i="31"/>
  <c r="Z20" i="30"/>
  <c r="Z20" i="29"/>
  <c r="Y20" i="28"/>
  <c r="H30" i="35"/>
  <c r="Z32" i="31"/>
  <c r="Z32" i="30"/>
  <c r="Z32" i="29"/>
  <c r="Y32" i="28"/>
  <c r="H42" i="35"/>
  <c r="Z44" i="31"/>
  <c r="Z44" i="30"/>
  <c r="Z44" i="29"/>
  <c r="Y44" i="28"/>
  <c r="H54" i="35"/>
  <c r="Z56" i="31"/>
  <c r="Z56" i="30"/>
  <c r="Z56" i="29"/>
  <c r="Y56" i="28"/>
  <c r="I70" i="15"/>
  <c r="K10" i="15"/>
  <c r="R10" i="15" s="1"/>
  <c r="K20" i="15"/>
  <c r="R20" i="15" s="1"/>
  <c r="K23" i="15"/>
  <c r="K26" i="15"/>
  <c r="R26" i="15" s="1"/>
  <c r="K29" i="15"/>
  <c r="K32" i="15"/>
  <c r="R32" i="15" s="1"/>
  <c r="K35" i="15"/>
  <c r="K38" i="15"/>
  <c r="R38" i="15" s="1"/>
  <c r="K41" i="15"/>
  <c r="K44" i="15"/>
  <c r="R44" i="15" s="1"/>
  <c r="K47" i="15"/>
  <c r="K50" i="15"/>
  <c r="R50" i="15" s="1"/>
  <c r="K53" i="15"/>
  <c r="K56" i="15"/>
  <c r="R56" i="15" s="1"/>
  <c r="I7" i="35"/>
  <c r="AD9" i="31"/>
  <c r="AD9" i="30"/>
  <c r="AD9" i="29"/>
  <c r="AC9" i="28"/>
  <c r="I19" i="35"/>
  <c r="AD21" i="31"/>
  <c r="AD21" i="30"/>
  <c r="AD21" i="29"/>
  <c r="AC21" i="28"/>
  <c r="I31" i="35"/>
  <c r="AD33" i="31"/>
  <c r="AG33" i="31" s="1"/>
  <c r="AD33" i="30"/>
  <c r="AG33" i="30" s="1"/>
  <c r="AD33" i="29"/>
  <c r="AG33" i="29" s="1"/>
  <c r="AC33" i="28"/>
  <c r="AF33" i="28" s="1"/>
  <c r="I43" i="35"/>
  <c r="AD45" i="31"/>
  <c r="AG45" i="31" s="1"/>
  <c r="AD45" i="30"/>
  <c r="AG45" i="30" s="1"/>
  <c r="AD45" i="29"/>
  <c r="AG45" i="29" s="1"/>
  <c r="AC45" i="28"/>
  <c r="I55" i="35"/>
  <c r="AD57" i="31"/>
  <c r="AD57" i="30"/>
  <c r="AD57" i="29"/>
  <c r="AC57" i="28"/>
  <c r="K15" i="17"/>
  <c r="J6" i="35"/>
  <c r="AH8" i="31"/>
  <c r="AH8" i="30"/>
  <c r="AH8" i="29"/>
  <c r="AG8" i="28"/>
  <c r="J18" i="35"/>
  <c r="AH20" i="31"/>
  <c r="AH20" i="30"/>
  <c r="AH20" i="29"/>
  <c r="AG20" i="28"/>
  <c r="J30" i="35"/>
  <c r="AH32" i="31"/>
  <c r="AH32" i="30"/>
  <c r="AH32" i="29"/>
  <c r="AG32" i="28"/>
  <c r="J42" i="35"/>
  <c r="AH44" i="31"/>
  <c r="AH44" i="30"/>
  <c r="AG44" i="28"/>
  <c r="AH44" i="29"/>
  <c r="J54" i="35"/>
  <c r="AH56" i="31"/>
  <c r="AH56" i="30"/>
  <c r="AH56" i="29"/>
  <c r="AG56" i="28"/>
  <c r="G25" i="19"/>
  <c r="J25" i="19" s="1"/>
  <c r="G34" i="19"/>
  <c r="J34" i="19" s="1"/>
  <c r="G43" i="19"/>
  <c r="J43" i="19" s="1"/>
  <c r="G52" i="19"/>
  <c r="J52" i="19" s="1"/>
  <c r="G61" i="19"/>
  <c r="J61" i="19" s="1"/>
  <c r="K9" i="35"/>
  <c r="AL11" i="31"/>
  <c r="AL11" i="30"/>
  <c r="AL11" i="29"/>
  <c r="AK11" i="28"/>
  <c r="K21" i="35"/>
  <c r="AL23" i="31"/>
  <c r="AL23" i="30"/>
  <c r="AL23" i="29"/>
  <c r="AK23" i="28"/>
  <c r="K33" i="35"/>
  <c r="AL35" i="31"/>
  <c r="AL35" i="30"/>
  <c r="AL35" i="29"/>
  <c r="AK35" i="28"/>
  <c r="K45" i="35"/>
  <c r="AL47" i="31"/>
  <c r="AL47" i="30"/>
  <c r="AL47" i="29"/>
  <c r="K57" i="35"/>
  <c r="AL59" i="31"/>
  <c r="AL59" i="30"/>
  <c r="AL59" i="29"/>
  <c r="AK59" i="28"/>
  <c r="G18" i="21"/>
  <c r="J18" i="21" s="1"/>
  <c r="G31" i="21"/>
  <c r="G53" i="21"/>
  <c r="J53" i="21" s="1"/>
  <c r="G67" i="21"/>
  <c r="J67" i="21" s="1"/>
  <c r="L4" i="35"/>
  <c r="AP6" i="31"/>
  <c r="AP6" i="30"/>
  <c r="AP6" i="29"/>
  <c r="AO6" i="28"/>
  <c r="L16" i="35"/>
  <c r="AP18" i="31"/>
  <c r="AP18" i="30"/>
  <c r="AP18" i="29"/>
  <c r="AO18" i="28"/>
  <c r="L28" i="35"/>
  <c r="AP30" i="31"/>
  <c r="AP30" i="30"/>
  <c r="AP30" i="29"/>
  <c r="AO30" i="28"/>
  <c r="L40" i="35"/>
  <c r="AP42" i="31"/>
  <c r="AP42" i="30"/>
  <c r="AP42" i="29"/>
  <c r="AO42" i="28"/>
  <c r="L52" i="35"/>
  <c r="AP54" i="31"/>
  <c r="AP54" i="30"/>
  <c r="AP54" i="29"/>
  <c r="AO54" i="28"/>
  <c r="L64" i="35"/>
  <c r="AP66" i="31"/>
  <c r="AP66" i="29"/>
  <c r="AP66" i="30"/>
  <c r="AO66" i="28"/>
  <c r="M11" i="35"/>
  <c r="AT13" i="31"/>
  <c r="AT13" i="30"/>
  <c r="AT13" i="29"/>
  <c r="AS13" i="28"/>
  <c r="M23" i="35"/>
  <c r="AT25" i="31"/>
  <c r="AT25" i="30"/>
  <c r="AT25" i="29"/>
  <c r="AS25" i="28"/>
  <c r="M35" i="35"/>
  <c r="AT37" i="31"/>
  <c r="AT37" i="30"/>
  <c r="AT37" i="29"/>
  <c r="AS37" i="28"/>
  <c r="M47" i="35"/>
  <c r="AT49" i="31"/>
  <c r="AT49" i="30"/>
  <c r="AT49" i="29"/>
  <c r="AS49" i="28"/>
  <c r="M59" i="35"/>
  <c r="AT61" i="31"/>
  <c r="AT61" i="30"/>
  <c r="AT61" i="29"/>
  <c r="AS61" i="28"/>
  <c r="F6" i="24"/>
  <c r="G6" i="24" s="1"/>
  <c r="T9" i="24"/>
  <c r="K11" i="24"/>
  <c r="K21" i="24"/>
  <c r="J53" i="24"/>
  <c r="K55" i="24"/>
  <c r="K58" i="24"/>
  <c r="J67" i="24"/>
  <c r="J24" i="25"/>
  <c r="G9" i="35"/>
  <c r="V11" i="31"/>
  <c r="V11" i="30"/>
  <c r="V11" i="29"/>
  <c r="U11" i="28"/>
  <c r="G21" i="35"/>
  <c r="V23" i="31"/>
  <c r="V23" i="30"/>
  <c r="V23" i="29"/>
  <c r="U23" i="28"/>
  <c r="G33" i="35"/>
  <c r="V35" i="31"/>
  <c r="V35" i="30"/>
  <c r="V35" i="29"/>
  <c r="U35" i="28"/>
  <c r="G45" i="35"/>
  <c r="V47" i="31"/>
  <c r="V47" i="30"/>
  <c r="V47" i="29"/>
  <c r="U47" i="28"/>
  <c r="G57" i="35"/>
  <c r="V59" i="31"/>
  <c r="V59" i="30"/>
  <c r="V59" i="29"/>
  <c r="U59" i="28"/>
  <c r="H7" i="35"/>
  <c r="Z9" i="31"/>
  <c r="Z9" i="30"/>
  <c r="Z9" i="29"/>
  <c r="Y9" i="28"/>
  <c r="H19" i="35"/>
  <c r="Z21" i="31"/>
  <c r="Z21" i="30"/>
  <c r="Z21" i="29"/>
  <c r="Y21" i="28"/>
  <c r="H31" i="35"/>
  <c r="Z33" i="31"/>
  <c r="Z33" i="29"/>
  <c r="Z33" i="30"/>
  <c r="Y33" i="28"/>
  <c r="H43" i="35"/>
  <c r="Z45" i="31"/>
  <c r="Z45" i="30"/>
  <c r="Z45" i="29"/>
  <c r="Y45" i="28"/>
  <c r="H55" i="35"/>
  <c r="Z57" i="31"/>
  <c r="Z57" i="30"/>
  <c r="Z57" i="29"/>
  <c r="Y57" i="28"/>
  <c r="J3" i="15"/>
  <c r="K13" i="15"/>
  <c r="K16" i="15"/>
  <c r="K65" i="15"/>
  <c r="K10" i="17"/>
  <c r="R10" i="17" s="1"/>
  <c r="K17" i="17"/>
  <c r="K26" i="17"/>
  <c r="K32" i="17"/>
  <c r="K38" i="17"/>
  <c r="K44" i="17"/>
  <c r="K50" i="17"/>
  <c r="K56" i="17"/>
  <c r="K62" i="17"/>
  <c r="K68" i="17"/>
  <c r="J7" i="35"/>
  <c r="AH9" i="31"/>
  <c r="AH9" i="30"/>
  <c r="AH9" i="29"/>
  <c r="J19" i="35"/>
  <c r="AH21" i="31"/>
  <c r="AH21" i="30"/>
  <c r="AH21" i="29"/>
  <c r="AG21" i="28"/>
  <c r="J31" i="35"/>
  <c r="AH33" i="31"/>
  <c r="AH33" i="30"/>
  <c r="AH33" i="29"/>
  <c r="AG33" i="28"/>
  <c r="J43" i="35"/>
  <c r="AH45" i="31"/>
  <c r="AH45" i="30"/>
  <c r="AH45" i="29"/>
  <c r="AG45" i="28"/>
  <c r="J55" i="35"/>
  <c r="AH57" i="31"/>
  <c r="AH57" i="30"/>
  <c r="AH57" i="29"/>
  <c r="AG57" i="28"/>
  <c r="G21" i="19"/>
  <c r="J21" i="19" s="1"/>
  <c r="G30" i="19"/>
  <c r="J30" i="19" s="1"/>
  <c r="G39" i="19"/>
  <c r="J39" i="19" s="1"/>
  <c r="G48" i="19"/>
  <c r="J48" i="19" s="1"/>
  <c r="G57" i="19"/>
  <c r="J57" i="19" s="1"/>
  <c r="G66" i="19"/>
  <c r="J66" i="19" s="1"/>
  <c r="K10" i="35"/>
  <c r="AL12" i="31"/>
  <c r="AL12" i="30"/>
  <c r="AL12" i="29"/>
  <c r="AK12" i="28"/>
  <c r="K22" i="35"/>
  <c r="AL24" i="31"/>
  <c r="AL24" i="30"/>
  <c r="AL24" i="29"/>
  <c r="AK24" i="28"/>
  <c r="K34" i="35"/>
  <c r="AL36" i="31"/>
  <c r="AL36" i="30"/>
  <c r="AL36" i="29"/>
  <c r="AK36" i="28"/>
  <c r="K46" i="35"/>
  <c r="AL48" i="31"/>
  <c r="AL48" i="30"/>
  <c r="AL48" i="29"/>
  <c r="AK48" i="28"/>
  <c r="K58" i="35"/>
  <c r="AL60" i="31"/>
  <c r="AL60" i="30"/>
  <c r="AL60" i="29"/>
  <c r="AK60" i="28"/>
  <c r="G13" i="21"/>
  <c r="J13" i="21" s="1"/>
  <c r="G34" i="21"/>
  <c r="J34" i="21" s="1"/>
  <c r="G56" i="21"/>
  <c r="J56" i="21" s="1"/>
  <c r="L5" i="35"/>
  <c r="AP7" i="31"/>
  <c r="AP7" i="29"/>
  <c r="AO7" i="28"/>
  <c r="L17" i="35"/>
  <c r="AP19" i="31"/>
  <c r="AP19" i="30"/>
  <c r="AP19" i="29"/>
  <c r="AO19" i="28"/>
  <c r="L29" i="35"/>
  <c r="AP31" i="31"/>
  <c r="AP31" i="30"/>
  <c r="AP31" i="29"/>
  <c r="AO31" i="28"/>
  <c r="L41" i="35"/>
  <c r="AP43" i="31"/>
  <c r="AP43" i="30"/>
  <c r="AP43" i="29"/>
  <c r="AO43" i="28"/>
  <c r="L53" i="35"/>
  <c r="AP55" i="31"/>
  <c r="AP55" i="30"/>
  <c r="AP55" i="29"/>
  <c r="AO55" i="28"/>
  <c r="K66" i="22"/>
  <c r="M12" i="35"/>
  <c r="AT14" i="31"/>
  <c r="AT14" i="30"/>
  <c r="AT14" i="29"/>
  <c r="AS14" i="28"/>
  <c r="M24" i="35"/>
  <c r="AT26" i="31"/>
  <c r="AT26" i="30"/>
  <c r="AT26" i="29"/>
  <c r="M36" i="35"/>
  <c r="AT38" i="31"/>
  <c r="AT38" i="30"/>
  <c r="AT38" i="29"/>
  <c r="AS38" i="28"/>
  <c r="M48" i="35"/>
  <c r="AT50" i="31"/>
  <c r="AT50" i="30"/>
  <c r="AT50" i="29"/>
  <c r="AS50" i="28"/>
  <c r="M60" i="35"/>
  <c r="AT62" i="31"/>
  <c r="AT62" i="30"/>
  <c r="AT62" i="29"/>
  <c r="AS62" i="28"/>
  <c r="K14" i="24"/>
  <c r="J34" i="24"/>
  <c r="R34" i="24" s="1"/>
  <c r="K39" i="24"/>
  <c r="K50" i="24"/>
  <c r="K61" i="24"/>
  <c r="I70" i="25"/>
  <c r="T13" i="25" s="1"/>
  <c r="J57" i="25"/>
  <c r="G58" i="35"/>
  <c r="V60" i="31"/>
  <c r="V60" i="30"/>
  <c r="V60" i="29"/>
  <c r="U60" i="28"/>
  <c r="H8" i="35"/>
  <c r="Z10" i="31"/>
  <c r="Z10" i="30"/>
  <c r="Z10" i="29"/>
  <c r="Y10" i="28"/>
  <c r="H20" i="35"/>
  <c r="Z22" i="31"/>
  <c r="Z22" i="30"/>
  <c r="Z22" i="29"/>
  <c r="Y22" i="28"/>
  <c r="H32" i="35"/>
  <c r="Z34" i="31"/>
  <c r="Z34" i="30"/>
  <c r="Z34" i="29"/>
  <c r="H44" i="35"/>
  <c r="Z46" i="31"/>
  <c r="Z46" i="30"/>
  <c r="Z46" i="29"/>
  <c r="Y46" i="28"/>
  <c r="H56" i="35"/>
  <c r="Z58" i="31"/>
  <c r="Z58" i="30"/>
  <c r="Z58" i="29"/>
  <c r="Y58" i="28"/>
  <c r="K6" i="15"/>
  <c r="I9" i="35"/>
  <c r="AD11" i="31"/>
  <c r="AD11" i="30"/>
  <c r="AD11" i="29"/>
  <c r="AC11" i="28"/>
  <c r="I21" i="35"/>
  <c r="AD23" i="31"/>
  <c r="AD23" i="30"/>
  <c r="AD23" i="29"/>
  <c r="AC23" i="28"/>
  <c r="I33" i="35"/>
  <c r="AD35" i="31"/>
  <c r="AD35" i="30"/>
  <c r="AD35" i="29"/>
  <c r="AC35" i="28"/>
  <c r="I45" i="35"/>
  <c r="AD47" i="31"/>
  <c r="AD47" i="30"/>
  <c r="AD47" i="29"/>
  <c r="AC47" i="28"/>
  <c r="I57" i="35"/>
  <c r="AD59" i="31"/>
  <c r="AD59" i="30"/>
  <c r="AD59" i="29"/>
  <c r="AC59" i="28"/>
  <c r="J23" i="21"/>
  <c r="J59" i="21"/>
  <c r="L6" i="35"/>
  <c r="AP8" i="31"/>
  <c r="AP8" i="30"/>
  <c r="AP8" i="29"/>
  <c r="AO8" i="28"/>
  <c r="L18" i="35"/>
  <c r="AP20" i="31"/>
  <c r="AP20" i="30"/>
  <c r="AP20" i="29"/>
  <c r="AO20" i="28"/>
  <c r="L30" i="35"/>
  <c r="AP32" i="31"/>
  <c r="AP32" i="30"/>
  <c r="AP32" i="29"/>
  <c r="AO32" i="28"/>
  <c r="L42" i="35"/>
  <c r="AP44" i="31"/>
  <c r="AP44" i="30"/>
  <c r="AP44" i="29"/>
  <c r="AO44" i="28"/>
  <c r="L54" i="35"/>
  <c r="AP56" i="31"/>
  <c r="AP56" i="30"/>
  <c r="AP56" i="29"/>
  <c r="AO56" i="28"/>
  <c r="M1" i="35"/>
  <c r="AT3" i="31"/>
  <c r="AT3" i="30"/>
  <c r="AT3" i="29"/>
  <c r="AS3" i="28"/>
  <c r="K66" i="23"/>
  <c r="M13" i="35"/>
  <c r="AT15" i="31"/>
  <c r="AT15" i="30"/>
  <c r="AT15" i="29"/>
  <c r="AS15" i="28"/>
  <c r="M25" i="35"/>
  <c r="AT27" i="31"/>
  <c r="AT27" i="30"/>
  <c r="AT27" i="29"/>
  <c r="AS27" i="28"/>
  <c r="M37" i="35"/>
  <c r="AT39" i="31"/>
  <c r="AT39" i="30"/>
  <c r="AS39" i="28"/>
  <c r="AT39" i="29"/>
  <c r="M49" i="35"/>
  <c r="AT51" i="31"/>
  <c r="AT51" i="30"/>
  <c r="AT51" i="29"/>
  <c r="AS51" i="28"/>
  <c r="M61" i="35"/>
  <c r="AT63" i="31"/>
  <c r="AT63" i="29"/>
  <c r="AT63" i="30"/>
  <c r="AS63" i="28"/>
  <c r="K67" i="24"/>
  <c r="K56" i="24"/>
  <c r="K45" i="24"/>
  <c r="K59" i="24"/>
  <c r="K48" i="24"/>
  <c r="K40" i="24"/>
  <c r="K37" i="24"/>
  <c r="K34" i="24"/>
  <c r="K31" i="24"/>
  <c r="K28" i="24"/>
  <c r="K25" i="24"/>
  <c r="K22" i="24"/>
  <c r="K18" i="24"/>
  <c r="K15" i="24"/>
  <c r="K8" i="24"/>
  <c r="K62" i="24"/>
  <c r="K51" i="24"/>
  <c r="K12" i="24"/>
  <c r="K65" i="24"/>
  <c r="K54" i="24"/>
  <c r="K43" i="24"/>
  <c r="K68" i="24"/>
  <c r="K57" i="24"/>
  <c r="K19" i="24"/>
  <c r="K9" i="24"/>
  <c r="K60" i="24"/>
  <c r="K46" i="24"/>
  <c r="K41" i="24"/>
  <c r="K38" i="24"/>
  <c r="K35" i="24"/>
  <c r="K32" i="24"/>
  <c r="K29" i="24"/>
  <c r="K26" i="24"/>
  <c r="K23" i="24"/>
  <c r="K16" i="24"/>
  <c r="K6" i="24"/>
  <c r="K63" i="24"/>
  <c r="K49" i="24"/>
  <c r="K13" i="24"/>
  <c r="K66" i="24"/>
  <c r="K52" i="24"/>
  <c r="K44" i="24"/>
  <c r="K20" i="24"/>
  <c r="K10" i="24"/>
  <c r="J48" i="24"/>
  <c r="K53" i="24"/>
  <c r="J18" i="25"/>
  <c r="J42" i="25"/>
  <c r="G59" i="35"/>
  <c r="V61" i="31"/>
  <c r="V61" i="30"/>
  <c r="V61" i="29"/>
  <c r="U61" i="28"/>
  <c r="H9" i="35"/>
  <c r="Z11" i="31"/>
  <c r="Z11" i="30"/>
  <c r="Z11" i="29"/>
  <c r="Y11" i="28"/>
  <c r="H21" i="35"/>
  <c r="Z23" i="31"/>
  <c r="Z23" i="30"/>
  <c r="Z23" i="29"/>
  <c r="Y23" i="28"/>
  <c r="H33" i="35"/>
  <c r="Z35" i="31"/>
  <c r="Z35" i="30"/>
  <c r="Y35" i="28"/>
  <c r="Z35" i="29"/>
  <c r="H45" i="35"/>
  <c r="Z47" i="31"/>
  <c r="Z47" i="30"/>
  <c r="Z47" i="29"/>
  <c r="Y47" i="28"/>
  <c r="H57" i="35"/>
  <c r="Z59" i="30"/>
  <c r="Z59" i="31"/>
  <c r="Z59" i="29"/>
  <c r="K9" i="15"/>
  <c r="K60" i="15"/>
  <c r="K69" i="15"/>
  <c r="I10" i="35"/>
  <c r="AD12" i="31"/>
  <c r="AD12" i="30"/>
  <c r="AD12" i="29"/>
  <c r="AC12" i="28"/>
  <c r="I22" i="35"/>
  <c r="AD24" i="31"/>
  <c r="AG24" i="31" s="1"/>
  <c r="AD24" i="30"/>
  <c r="AG24" i="30" s="1"/>
  <c r="AD24" i="29"/>
  <c r="AC24" i="28"/>
  <c r="AF24" i="28" s="1"/>
  <c r="I34" i="35"/>
  <c r="AD36" i="31"/>
  <c r="AD36" i="29"/>
  <c r="AD36" i="30"/>
  <c r="AC36" i="28"/>
  <c r="I46" i="35"/>
  <c r="AD48" i="31"/>
  <c r="AD48" i="30"/>
  <c r="AG48" i="30" s="1"/>
  <c r="AD48" i="29"/>
  <c r="AG48" i="29" s="1"/>
  <c r="AC48" i="28"/>
  <c r="I58" i="35"/>
  <c r="AD60" i="31"/>
  <c r="AD60" i="30"/>
  <c r="AD60" i="29"/>
  <c r="AC60" i="28"/>
  <c r="K7" i="17"/>
  <c r="R7" i="17" s="1"/>
  <c r="D70" i="19"/>
  <c r="G12" i="19"/>
  <c r="J12" i="19" s="1"/>
  <c r="J6" i="21"/>
  <c r="J26" i="21"/>
  <c r="J62" i="21"/>
  <c r="L7" i="35"/>
  <c r="AP9" i="31"/>
  <c r="AP9" i="30"/>
  <c r="AO9" i="28"/>
  <c r="L19" i="35"/>
  <c r="AP21" i="31"/>
  <c r="AP21" i="30"/>
  <c r="AP21" i="29"/>
  <c r="AO21" i="28"/>
  <c r="L31" i="35"/>
  <c r="AP33" i="31"/>
  <c r="AP33" i="30"/>
  <c r="AP33" i="29"/>
  <c r="AO33" i="28"/>
  <c r="L43" i="35"/>
  <c r="AP45" i="31"/>
  <c r="AP45" i="30"/>
  <c r="AP45" i="29"/>
  <c r="AO45" i="28"/>
  <c r="L55" i="35"/>
  <c r="AP57" i="31"/>
  <c r="AP57" i="30"/>
  <c r="AP57" i="29"/>
  <c r="AO57" i="28"/>
  <c r="M2" i="35"/>
  <c r="AT4" i="31"/>
  <c r="AT4" i="30"/>
  <c r="AS4" i="28"/>
  <c r="AT4" i="29"/>
  <c r="M14" i="35"/>
  <c r="AT16" i="31"/>
  <c r="AT16" i="29"/>
  <c r="AT16" i="30"/>
  <c r="AS16" i="28"/>
  <c r="M26" i="35"/>
  <c r="AT28" i="31"/>
  <c r="AT28" i="30"/>
  <c r="AS28" i="28"/>
  <c r="AT28" i="29"/>
  <c r="M38" i="35"/>
  <c r="AT40" i="31"/>
  <c r="AT40" i="30"/>
  <c r="AT40" i="29"/>
  <c r="AS40" i="28"/>
  <c r="M50" i="35"/>
  <c r="AT52" i="31"/>
  <c r="AT52" i="30"/>
  <c r="AT52" i="29"/>
  <c r="AS52" i="28"/>
  <c r="M62" i="35"/>
  <c r="AT64" i="31"/>
  <c r="AT64" i="30"/>
  <c r="AS64" i="28"/>
  <c r="AT64" i="29"/>
  <c r="J12" i="24"/>
  <c r="R12" i="24" s="1"/>
  <c r="K17" i="24"/>
  <c r="K24" i="24"/>
  <c r="J37" i="24"/>
  <c r="K42" i="24"/>
  <c r="J62" i="24"/>
  <c r="R62" i="24" s="1"/>
  <c r="I5" i="35"/>
  <c r="AD7" i="31"/>
  <c r="AD7" i="30"/>
  <c r="AD7" i="29"/>
  <c r="AC7" i="28"/>
  <c r="I17" i="35"/>
  <c r="AD19" i="31"/>
  <c r="AD19" i="30"/>
  <c r="AD19" i="29"/>
  <c r="AC19" i="28"/>
  <c r="I29" i="35"/>
  <c r="AD31" i="31"/>
  <c r="AD31" i="30"/>
  <c r="AD31" i="29"/>
  <c r="AC31" i="28"/>
  <c r="I41" i="35"/>
  <c r="AD43" i="31"/>
  <c r="AD43" i="30"/>
  <c r="AD43" i="29"/>
  <c r="AC43" i="28"/>
  <c r="I53" i="35"/>
  <c r="AD55" i="31"/>
  <c r="AD55" i="30"/>
  <c r="AD55" i="29"/>
  <c r="AC55" i="28"/>
  <c r="J2" i="35"/>
  <c r="AH4" i="31"/>
  <c r="AH4" i="30"/>
  <c r="AH4" i="29"/>
  <c r="AG4" i="28"/>
  <c r="J14" i="35"/>
  <c r="AH16" i="31"/>
  <c r="AH16" i="30"/>
  <c r="AH16" i="29"/>
  <c r="AG16" i="28"/>
  <c r="J26" i="35"/>
  <c r="AH28" i="31"/>
  <c r="AH28" i="30"/>
  <c r="AH28" i="29"/>
  <c r="AG28" i="28"/>
  <c r="J38" i="35"/>
  <c r="AH40" i="31"/>
  <c r="AH40" i="30"/>
  <c r="AH40" i="29"/>
  <c r="AG40" i="28"/>
  <c r="J50" i="35"/>
  <c r="AH52" i="31"/>
  <c r="AH52" i="30"/>
  <c r="AH52" i="29"/>
  <c r="AG52" i="28"/>
  <c r="J62" i="35"/>
  <c r="AH64" i="31"/>
  <c r="AH64" i="30"/>
  <c r="AH64" i="29"/>
  <c r="AG64" i="28"/>
  <c r="K11" i="35"/>
  <c r="AL13" i="31"/>
  <c r="AL13" i="30"/>
  <c r="AL13" i="29"/>
  <c r="K23" i="35"/>
  <c r="AL25" i="31"/>
  <c r="AL25" i="30"/>
  <c r="AL25" i="29"/>
  <c r="K35" i="35"/>
  <c r="AL37" i="31"/>
  <c r="AL37" i="30"/>
  <c r="AL37" i="29"/>
  <c r="AK37" i="28"/>
  <c r="K47" i="35"/>
  <c r="AL49" i="31"/>
  <c r="AL49" i="30"/>
  <c r="AL49" i="29"/>
  <c r="AK49" i="28"/>
  <c r="K59" i="35"/>
  <c r="AL61" i="31"/>
  <c r="AL61" i="30"/>
  <c r="AL61" i="29"/>
  <c r="AK61" i="28"/>
  <c r="L8" i="35"/>
  <c r="AP10" i="31"/>
  <c r="AP10" i="30"/>
  <c r="AP10" i="29"/>
  <c r="L20" i="35"/>
  <c r="AP22" i="31"/>
  <c r="AP22" i="30"/>
  <c r="AP22" i="29"/>
  <c r="AO22" i="28"/>
  <c r="L32" i="35"/>
  <c r="AP34" i="31"/>
  <c r="AP34" i="30"/>
  <c r="AP34" i="29"/>
  <c r="AO34" i="28"/>
  <c r="L44" i="35"/>
  <c r="AP46" i="31"/>
  <c r="AP46" i="29"/>
  <c r="AP46" i="30"/>
  <c r="AO46" i="28"/>
  <c r="L56" i="35"/>
  <c r="AP58" i="31"/>
  <c r="AP58" i="30"/>
  <c r="AP58" i="29"/>
  <c r="AO58" i="28"/>
  <c r="M3" i="35"/>
  <c r="AT5" i="31"/>
  <c r="AT5" i="29"/>
  <c r="AT5" i="30"/>
  <c r="M15" i="35"/>
  <c r="AT17" i="31"/>
  <c r="AT17" i="29"/>
  <c r="AT17" i="30"/>
  <c r="AS17" i="28"/>
  <c r="M27" i="35"/>
  <c r="AT29" i="31"/>
  <c r="AT29" i="30"/>
  <c r="AT29" i="29"/>
  <c r="AS29" i="28"/>
  <c r="M39" i="35"/>
  <c r="AT41" i="31"/>
  <c r="AT41" i="30"/>
  <c r="AT41" i="29"/>
  <c r="AS41" i="28"/>
  <c r="M51" i="35"/>
  <c r="AT53" i="31"/>
  <c r="AT53" i="30"/>
  <c r="AT53" i="29"/>
  <c r="AS53" i="28"/>
  <c r="M63" i="35"/>
  <c r="AT65" i="31"/>
  <c r="AT65" i="30"/>
  <c r="AT65" i="29"/>
  <c r="AS65" i="28"/>
  <c r="F67" i="25"/>
  <c r="G67" i="25" s="1"/>
  <c r="J67" i="25" s="1"/>
  <c r="N3" i="35"/>
  <c r="AX5" i="31"/>
  <c r="AX5" i="30"/>
  <c r="AX5" i="29"/>
  <c r="N15" i="35"/>
  <c r="AX17" i="31"/>
  <c r="AX17" i="29"/>
  <c r="AX17" i="30"/>
  <c r="N27" i="35"/>
  <c r="AX29" i="31"/>
  <c r="AX29" i="30"/>
  <c r="AX29" i="29"/>
  <c r="N39" i="35"/>
  <c r="AX41" i="31"/>
  <c r="AX41" i="30"/>
  <c r="AX41" i="29"/>
  <c r="AW41" i="28"/>
  <c r="N51" i="35"/>
  <c r="AX53" i="31"/>
  <c r="AX53" i="30"/>
  <c r="AX53" i="29"/>
  <c r="AW53" i="28"/>
  <c r="N63" i="35"/>
  <c r="AX65" i="31"/>
  <c r="AX65" i="30"/>
  <c r="AX65" i="29"/>
  <c r="AW65" i="28"/>
  <c r="AW5" i="28"/>
  <c r="J3" i="35"/>
  <c r="AH5" i="31"/>
  <c r="AH5" i="30"/>
  <c r="AH5" i="29"/>
  <c r="J15" i="35"/>
  <c r="AH17" i="31"/>
  <c r="AH17" i="30"/>
  <c r="AH17" i="29"/>
  <c r="AG17" i="28"/>
  <c r="J27" i="35"/>
  <c r="AH29" i="31"/>
  <c r="AH29" i="30"/>
  <c r="AH29" i="29"/>
  <c r="AG29" i="28"/>
  <c r="J39" i="35"/>
  <c r="AH41" i="31"/>
  <c r="AH41" i="30"/>
  <c r="AH41" i="29"/>
  <c r="AG41" i="28"/>
  <c r="J51" i="35"/>
  <c r="AH53" i="31"/>
  <c r="AH53" i="30"/>
  <c r="AH53" i="29"/>
  <c r="AG53" i="28"/>
  <c r="J63" i="35"/>
  <c r="AH65" i="31"/>
  <c r="AH65" i="30"/>
  <c r="AH65" i="29"/>
  <c r="AG65" i="28"/>
  <c r="K12" i="35"/>
  <c r="AL14" i="31"/>
  <c r="AL14" i="30"/>
  <c r="AL14" i="29"/>
  <c r="K24" i="35"/>
  <c r="AL26" i="31"/>
  <c r="AL26" i="30"/>
  <c r="AL26" i="29"/>
  <c r="AK26" i="28"/>
  <c r="K36" i="35"/>
  <c r="AL38" i="31"/>
  <c r="AL38" i="30"/>
  <c r="AK38" i="28"/>
  <c r="AL38" i="29"/>
  <c r="K48" i="35"/>
  <c r="AL50" i="31"/>
  <c r="AL50" i="30"/>
  <c r="AL50" i="29"/>
  <c r="AK50" i="28"/>
  <c r="K60" i="35"/>
  <c r="AL62" i="31"/>
  <c r="AL62" i="30"/>
  <c r="AL62" i="29"/>
  <c r="AK62" i="28"/>
  <c r="L9" i="35"/>
  <c r="AP11" i="31"/>
  <c r="AP11" i="30"/>
  <c r="AP11" i="29"/>
  <c r="L21" i="35"/>
  <c r="AP23" i="31"/>
  <c r="AP23" i="30"/>
  <c r="AP23" i="29"/>
  <c r="AO23" i="28"/>
  <c r="L33" i="35"/>
  <c r="AP35" i="31"/>
  <c r="AP35" i="30"/>
  <c r="AO35" i="28"/>
  <c r="AP35" i="29"/>
  <c r="L45" i="35"/>
  <c r="AP47" i="31"/>
  <c r="AP47" i="30"/>
  <c r="AP47" i="29"/>
  <c r="AO47" i="28"/>
  <c r="L57" i="35"/>
  <c r="AP59" i="31"/>
  <c r="AP59" i="30"/>
  <c r="AP59" i="29"/>
  <c r="AO59" i="28"/>
  <c r="M4" i="35"/>
  <c r="AT6" i="31"/>
  <c r="AT6" i="30"/>
  <c r="AT6" i="29"/>
  <c r="M16" i="35"/>
  <c r="AT18" i="31"/>
  <c r="AT18" i="30"/>
  <c r="AT18" i="29"/>
  <c r="AS18" i="28"/>
  <c r="M28" i="35"/>
  <c r="AT30" i="31"/>
  <c r="AT30" i="30"/>
  <c r="AT30" i="29"/>
  <c r="M40" i="35"/>
  <c r="AT42" i="31"/>
  <c r="AT42" i="30"/>
  <c r="AT42" i="29"/>
  <c r="AS42" i="28"/>
  <c r="M52" i="35"/>
  <c r="AT54" i="31"/>
  <c r="AT54" i="30"/>
  <c r="AT54" i="29"/>
  <c r="AS54" i="28"/>
  <c r="M64" i="35"/>
  <c r="AT66" i="31"/>
  <c r="AT66" i="30"/>
  <c r="AT66" i="29"/>
  <c r="AS66" i="28"/>
  <c r="G54" i="24"/>
  <c r="J54" i="24" s="1"/>
  <c r="R54" i="24" s="1"/>
  <c r="AO10" i="28"/>
  <c r="AW17" i="28"/>
  <c r="J4" i="35"/>
  <c r="AH6" i="31"/>
  <c r="AH6" i="30"/>
  <c r="AH6" i="29"/>
  <c r="AG6" i="28"/>
  <c r="J16" i="35"/>
  <c r="AH18" i="31"/>
  <c r="AH18" i="30"/>
  <c r="AH18" i="29"/>
  <c r="AG18" i="28"/>
  <c r="J28" i="35"/>
  <c r="AH30" i="31"/>
  <c r="AH30" i="30"/>
  <c r="AH30" i="29"/>
  <c r="AG30" i="28"/>
  <c r="J40" i="35"/>
  <c r="AH42" i="31"/>
  <c r="AH42" i="30"/>
  <c r="AH42" i="29"/>
  <c r="AG42" i="28"/>
  <c r="J52" i="35"/>
  <c r="AH54" i="31"/>
  <c r="AH54" i="30"/>
  <c r="AH54" i="29"/>
  <c r="J64" i="35"/>
  <c r="AH66" i="31"/>
  <c r="AH66" i="30"/>
  <c r="AH66" i="29"/>
  <c r="AG66" i="28"/>
  <c r="K1" i="35"/>
  <c r="AL3" i="31"/>
  <c r="AL3" i="30"/>
  <c r="AL3" i="29"/>
  <c r="K13" i="35"/>
  <c r="AL15" i="30"/>
  <c r="AL15" i="31"/>
  <c r="AL15" i="29"/>
  <c r="K25" i="35"/>
  <c r="AL27" i="31"/>
  <c r="AL27" i="30"/>
  <c r="AL27" i="29"/>
  <c r="AK27" i="28"/>
  <c r="K37" i="35"/>
  <c r="AL39" i="31"/>
  <c r="AL39" i="30"/>
  <c r="AL39" i="29"/>
  <c r="K49" i="35"/>
  <c r="AL51" i="31"/>
  <c r="AL51" i="30"/>
  <c r="AL51" i="29"/>
  <c r="K61" i="35"/>
  <c r="AL63" i="31"/>
  <c r="AL63" i="30"/>
  <c r="AL63" i="29"/>
  <c r="AK63" i="28"/>
  <c r="L10" i="35"/>
  <c r="AP12" i="31"/>
  <c r="AP12" i="30"/>
  <c r="AP12" i="29"/>
  <c r="AO12" i="28"/>
  <c r="L22" i="35"/>
  <c r="AP24" i="31"/>
  <c r="AP24" i="30"/>
  <c r="AP24" i="29"/>
  <c r="AO24" i="28"/>
  <c r="L34" i="35"/>
  <c r="AP36" i="31"/>
  <c r="AP36" i="29"/>
  <c r="AP36" i="30"/>
  <c r="L46" i="35"/>
  <c r="AP48" i="31"/>
  <c r="AP48" i="30"/>
  <c r="AP48" i="29"/>
  <c r="L58" i="35"/>
  <c r="AP60" i="31"/>
  <c r="AP60" i="30"/>
  <c r="AP60" i="29"/>
  <c r="AO60" i="28"/>
  <c r="M5" i="35"/>
  <c r="AT7" i="31"/>
  <c r="AT7" i="30"/>
  <c r="AT7" i="29"/>
  <c r="AS7" i="28"/>
  <c r="M17" i="35"/>
  <c r="AT19" i="31"/>
  <c r="AT19" i="30"/>
  <c r="AT19" i="29"/>
  <c r="AS19" i="28"/>
  <c r="M29" i="35"/>
  <c r="AT31" i="31"/>
  <c r="AT31" i="30"/>
  <c r="AT31" i="29"/>
  <c r="AS31" i="28"/>
  <c r="M41" i="35"/>
  <c r="AT43" i="31"/>
  <c r="AT43" i="30"/>
  <c r="AT43" i="29"/>
  <c r="AS43" i="28"/>
  <c r="M53" i="35"/>
  <c r="AT55" i="31"/>
  <c r="AT55" i="30"/>
  <c r="AT55" i="29"/>
  <c r="AS55" i="28"/>
  <c r="G51" i="24"/>
  <c r="J51" i="24" s="1"/>
  <c r="R51" i="24" s="1"/>
  <c r="J11" i="25"/>
  <c r="N5" i="35"/>
  <c r="AX7" i="31"/>
  <c r="AX7" i="30"/>
  <c r="AX7" i="29"/>
  <c r="AW7" i="28"/>
  <c r="N17" i="35"/>
  <c r="AX19" i="31"/>
  <c r="AX19" i="30"/>
  <c r="AX19" i="29"/>
  <c r="N29" i="35"/>
  <c r="AX31" i="31"/>
  <c r="AX31" i="30"/>
  <c r="AX31" i="29"/>
  <c r="AW31" i="28"/>
  <c r="N41" i="35"/>
  <c r="AX43" i="31"/>
  <c r="AX43" i="30"/>
  <c r="AX43" i="29"/>
  <c r="AW43" i="28"/>
  <c r="N53" i="35"/>
  <c r="AX55" i="31"/>
  <c r="AX55" i="30"/>
  <c r="AX55" i="29"/>
  <c r="AW55" i="28"/>
  <c r="I8" i="35"/>
  <c r="AD10" i="31"/>
  <c r="AD10" i="30"/>
  <c r="AD10" i="29"/>
  <c r="AC10" i="28"/>
  <c r="I20" i="35"/>
  <c r="AD22" i="31"/>
  <c r="AD22" i="30"/>
  <c r="AD22" i="29"/>
  <c r="AC22" i="28"/>
  <c r="I32" i="35"/>
  <c r="AD34" i="31"/>
  <c r="AD34" i="30"/>
  <c r="AD34" i="29"/>
  <c r="AC34" i="28"/>
  <c r="I44" i="35"/>
  <c r="AD46" i="31"/>
  <c r="AD46" i="30"/>
  <c r="AD46" i="29"/>
  <c r="AC46" i="28"/>
  <c r="I56" i="35"/>
  <c r="AD58" i="31"/>
  <c r="AD58" i="30"/>
  <c r="AC58" i="28"/>
  <c r="AD58" i="29"/>
  <c r="J5" i="35"/>
  <c r="AH7" i="31"/>
  <c r="AH7" i="30"/>
  <c r="AH7" i="29"/>
  <c r="AG7" i="28"/>
  <c r="J17" i="35"/>
  <c r="AH19" i="31"/>
  <c r="AH19" i="30"/>
  <c r="AH19" i="29"/>
  <c r="AG19" i="28"/>
  <c r="J29" i="35"/>
  <c r="AH31" i="31"/>
  <c r="AH31" i="30"/>
  <c r="AH31" i="29"/>
  <c r="J41" i="35"/>
  <c r="AH43" i="31"/>
  <c r="AH43" i="30"/>
  <c r="AH43" i="29"/>
  <c r="AG43" i="28"/>
  <c r="J53" i="35"/>
  <c r="AH55" i="31"/>
  <c r="AH55" i="30"/>
  <c r="AH55" i="29"/>
  <c r="AG55" i="28"/>
  <c r="K2" i="35"/>
  <c r="AL4" i="31"/>
  <c r="AL4" i="30"/>
  <c r="AL4" i="29"/>
  <c r="K14" i="35"/>
  <c r="AL16" i="31"/>
  <c r="AL16" i="30"/>
  <c r="AL16" i="29"/>
  <c r="K26" i="35"/>
  <c r="AL28" i="31"/>
  <c r="AL28" i="30"/>
  <c r="AL28" i="29"/>
  <c r="K38" i="35"/>
  <c r="AL40" i="31"/>
  <c r="AL40" i="29"/>
  <c r="AL40" i="30"/>
  <c r="AK40" i="28"/>
  <c r="K50" i="35"/>
  <c r="AL52" i="31"/>
  <c r="AL52" i="30"/>
  <c r="AL52" i="29"/>
  <c r="AK52" i="28"/>
  <c r="K62" i="35"/>
  <c r="AL64" i="31"/>
  <c r="AL64" i="30"/>
  <c r="AL64" i="29"/>
  <c r="AK64" i="28"/>
  <c r="L11" i="35"/>
  <c r="AP13" i="31"/>
  <c r="AP13" i="30"/>
  <c r="AP13" i="29"/>
  <c r="AO13" i="28"/>
  <c r="L23" i="35"/>
  <c r="AP25" i="31"/>
  <c r="AP25" i="30"/>
  <c r="AP25" i="29"/>
  <c r="AO25" i="28"/>
  <c r="L35" i="35"/>
  <c r="AP37" i="31"/>
  <c r="AP37" i="30"/>
  <c r="AP37" i="29"/>
  <c r="AO37" i="28"/>
  <c r="L47" i="35"/>
  <c r="AP49" i="31"/>
  <c r="AP49" i="30"/>
  <c r="AP49" i="29"/>
  <c r="AO49" i="28"/>
  <c r="L59" i="35"/>
  <c r="AP61" i="30"/>
  <c r="AP61" i="31"/>
  <c r="AP61" i="29"/>
  <c r="AO61" i="28"/>
  <c r="M6" i="35"/>
  <c r="AT8" i="31"/>
  <c r="AT8" i="30"/>
  <c r="AT8" i="29"/>
  <c r="AS8" i="28"/>
  <c r="M18" i="35"/>
  <c r="AT20" i="30"/>
  <c r="AT20" i="31"/>
  <c r="AT20" i="29"/>
  <c r="AS20" i="28"/>
  <c r="M30" i="35"/>
  <c r="AT32" i="31"/>
  <c r="AT32" i="30"/>
  <c r="AT32" i="29"/>
  <c r="AS32" i="28"/>
  <c r="M42" i="35"/>
  <c r="AT44" i="31"/>
  <c r="AT44" i="30"/>
  <c r="AT44" i="29"/>
  <c r="AS44" i="28"/>
  <c r="M54" i="35"/>
  <c r="AT56" i="31"/>
  <c r="AT56" i="30"/>
  <c r="AT56" i="29"/>
  <c r="I70" i="24"/>
  <c r="T13" i="24" s="1"/>
  <c r="F45" i="24"/>
  <c r="G45" i="24" s="1"/>
  <c r="J45" i="24" s="1"/>
  <c r="R45" i="24" s="1"/>
  <c r="F56" i="24"/>
  <c r="G56" i="24" s="1"/>
  <c r="J56" i="24" s="1"/>
  <c r="F70" i="24"/>
  <c r="N6" i="35"/>
  <c r="AX8" i="30"/>
  <c r="AX8" i="31"/>
  <c r="AX8" i="29"/>
  <c r="N18" i="35"/>
  <c r="AX20" i="31"/>
  <c r="AX20" i="30"/>
  <c r="AX20" i="29"/>
  <c r="N30" i="35"/>
  <c r="AX32" i="31"/>
  <c r="AX32" i="30"/>
  <c r="AX32" i="29"/>
  <c r="AW32" i="28"/>
  <c r="N42" i="35"/>
  <c r="AX44" i="31"/>
  <c r="AX44" i="30"/>
  <c r="AX44" i="29"/>
  <c r="AW44" i="28"/>
  <c r="N54" i="35"/>
  <c r="AX56" i="31"/>
  <c r="AX56" i="30"/>
  <c r="AX56" i="29"/>
  <c r="AW56" i="28"/>
  <c r="O15" i="27"/>
  <c r="BD15" i="27" s="1"/>
  <c r="BD3" i="27"/>
  <c r="AK3" i="28"/>
  <c r="AS6" i="28"/>
  <c r="AW19" i="28"/>
  <c r="AK51" i="28"/>
  <c r="K3" i="35"/>
  <c r="AL5" i="31"/>
  <c r="AL5" i="30"/>
  <c r="AL5" i="29"/>
  <c r="AK5" i="28"/>
  <c r="K15" i="35"/>
  <c r="AL17" i="31"/>
  <c r="AL17" i="30"/>
  <c r="AL17" i="29"/>
  <c r="K27" i="35"/>
  <c r="AL29" i="31"/>
  <c r="AL29" i="30"/>
  <c r="AL29" i="29"/>
  <c r="AK29" i="28"/>
  <c r="K39" i="35"/>
  <c r="AL41" i="31"/>
  <c r="AL41" i="30"/>
  <c r="AL41" i="29"/>
  <c r="K51" i="35"/>
  <c r="AL53" i="31"/>
  <c r="AL53" i="30"/>
  <c r="AL53" i="29"/>
  <c r="K63" i="35"/>
  <c r="AL65" i="31"/>
  <c r="AL65" i="30"/>
  <c r="AL65" i="29"/>
  <c r="AK65" i="28"/>
  <c r="L12" i="35"/>
  <c r="AP14" i="31"/>
  <c r="AP14" i="30"/>
  <c r="AP14" i="29"/>
  <c r="AO14" i="28"/>
  <c r="L24" i="35"/>
  <c r="AP26" i="31"/>
  <c r="AP26" i="30"/>
  <c r="AP26" i="29"/>
  <c r="AO26" i="28"/>
  <c r="L36" i="35"/>
  <c r="AP38" i="31"/>
  <c r="AP38" i="30"/>
  <c r="AP38" i="29"/>
  <c r="L48" i="35"/>
  <c r="AP50" i="31"/>
  <c r="AP50" i="29"/>
  <c r="AP50" i="30"/>
  <c r="L60" i="35"/>
  <c r="AP62" i="31"/>
  <c r="AP62" i="30"/>
  <c r="AO62" i="28"/>
  <c r="M7" i="35"/>
  <c r="AT9" i="31"/>
  <c r="AT9" i="30"/>
  <c r="AT9" i="29"/>
  <c r="M19" i="35"/>
  <c r="AT21" i="31"/>
  <c r="AT21" i="30"/>
  <c r="AT21" i="29"/>
  <c r="AS21" i="28"/>
  <c r="M31" i="35"/>
  <c r="AT33" i="31"/>
  <c r="AT33" i="30"/>
  <c r="AT33" i="29"/>
  <c r="AS33" i="28"/>
  <c r="M43" i="35"/>
  <c r="AT45" i="31"/>
  <c r="AT45" i="30"/>
  <c r="AT45" i="29"/>
  <c r="AS45" i="28"/>
  <c r="M55" i="35"/>
  <c r="AT57" i="31"/>
  <c r="AT57" i="30"/>
  <c r="AT57" i="29"/>
  <c r="AS57" i="28"/>
  <c r="D70" i="25"/>
  <c r="K4" i="35"/>
  <c r="AL6" i="31"/>
  <c r="AL6" i="30"/>
  <c r="AL6" i="29"/>
  <c r="AK6" i="28"/>
  <c r="K16" i="35"/>
  <c r="AL18" i="31"/>
  <c r="AL18" i="30"/>
  <c r="AL18" i="29"/>
  <c r="K28" i="35"/>
  <c r="AL30" i="31"/>
  <c r="AL30" i="30"/>
  <c r="AL30" i="29"/>
  <c r="AK30" i="28"/>
  <c r="K40" i="35"/>
  <c r="AL42" i="31"/>
  <c r="AL42" i="30"/>
  <c r="AL42" i="29"/>
  <c r="AK42" i="28"/>
  <c r="K52" i="35"/>
  <c r="AL54" i="31"/>
  <c r="AL54" i="30"/>
  <c r="AL54" i="29"/>
  <c r="AK54" i="28"/>
  <c r="K64" i="35"/>
  <c r="AL66" i="31"/>
  <c r="AL66" i="30"/>
  <c r="AL66" i="29"/>
  <c r="L1" i="35"/>
  <c r="AP3" i="31"/>
  <c r="AP3" i="30"/>
  <c r="AP3" i="29"/>
  <c r="L13" i="35"/>
  <c r="AP15" i="31"/>
  <c r="AP15" i="30"/>
  <c r="AP15" i="29"/>
  <c r="AO15" i="28"/>
  <c r="L25" i="35"/>
  <c r="AP27" i="31"/>
  <c r="AP27" i="30"/>
  <c r="AP27" i="29"/>
  <c r="AO27" i="28"/>
  <c r="L37" i="35"/>
  <c r="AP39" i="31"/>
  <c r="AP39" i="30"/>
  <c r="AP39" i="29"/>
  <c r="AO39" i="28"/>
  <c r="L49" i="35"/>
  <c r="AP51" i="31"/>
  <c r="AP51" i="30"/>
  <c r="AP51" i="29"/>
  <c r="AO51" i="28"/>
  <c r="L61" i="35"/>
  <c r="AP63" i="31"/>
  <c r="AP63" i="30"/>
  <c r="AP63" i="29"/>
  <c r="AO63" i="28"/>
  <c r="M8" i="35"/>
  <c r="AT10" i="31"/>
  <c r="AT10" i="29"/>
  <c r="AT10" i="30"/>
  <c r="M20" i="35"/>
  <c r="AT22" i="31"/>
  <c r="AT22" i="30"/>
  <c r="AT22" i="29"/>
  <c r="AS22" i="28"/>
  <c r="M32" i="35"/>
  <c r="AT34" i="31"/>
  <c r="AT34" i="30"/>
  <c r="AT34" i="29"/>
  <c r="AS34" i="28"/>
  <c r="M44" i="35"/>
  <c r="AT46" i="31"/>
  <c r="AT46" i="30"/>
  <c r="AT46" i="29"/>
  <c r="AS46" i="28"/>
  <c r="M56" i="35"/>
  <c r="AT58" i="31"/>
  <c r="AT58" i="30"/>
  <c r="AT58" i="29"/>
  <c r="AS58" i="28"/>
  <c r="E6" i="25"/>
  <c r="BH14" i="27"/>
  <c r="BF14" i="27"/>
  <c r="AO3" i="28"/>
  <c r="AO11" i="28"/>
  <c r="J8" i="35"/>
  <c r="AH10" i="31"/>
  <c r="AK10" i="31" s="1"/>
  <c r="AH10" i="30"/>
  <c r="AK10" i="30" s="1"/>
  <c r="AH10" i="29"/>
  <c r="AK10" i="29" s="1"/>
  <c r="AG10" i="28"/>
  <c r="J20" i="35"/>
  <c r="AH22" i="31"/>
  <c r="AH22" i="30"/>
  <c r="AH22" i="29"/>
  <c r="AG22" i="28"/>
  <c r="J32" i="35"/>
  <c r="AH34" i="31"/>
  <c r="AH34" i="30"/>
  <c r="AH34" i="29"/>
  <c r="AG34" i="28"/>
  <c r="J44" i="35"/>
  <c r="AH46" i="31"/>
  <c r="AH46" i="30"/>
  <c r="AH46" i="29"/>
  <c r="AG46" i="28"/>
  <c r="J56" i="35"/>
  <c r="AH58" i="31"/>
  <c r="AH58" i="30"/>
  <c r="AH58" i="29"/>
  <c r="AG58" i="28"/>
  <c r="K5" i="35"/>
  <c r="AL7" i="31"/>
  <c r="AL7" i="30"/>
  <c r="AL7" i="29"/>
  <c r="K17" i="35"/>
  <c r="AL19" i="31"/>
  <c r="AL19" i="30"/>
  <c r="AL19" i="29"/>
  <c r="K29" i="35"/>
  <c r="AL31" i="31"/>
  <c r="AL31" i="30"/>
  <c r="AL31" i="29"/>
  <c r="AK31" i="28"/>
  <c r="K41" i="35"/>
  <c r="AL43" i="31"/>
  <c r="AL43" i="30"/>
  <c r="AL43" i="29"/>
  <c r="AK43" i="28"/>
  <c r="K53" i="35"/>
  <c r="AL55" i="31"/>
  <c r="AL55" i="30"/>
  <c r="AL55" i="29"/>
  <c r="K66" i="20"/>
  <c r="L2" i="35"/>
  <c r="AP4" i="31"/>
  <c r="AP4" i="30"/>
  <c r="AP4" i="29"/>
  <c r="AO4" i="28"/>
  <c r="L14" i="35"/>
  <c r="AP16" i="31"/>
  <c r="AP16" i="30"/>
  <c r="AP16" i="29"/>
  <c r="AO16" i="28"/>
  <c r="L26" i="35"/>
  <c r="AP28" i="31"/>
  <c r="AP28" i="30"/>
  <c r="AP28" i="29"/>
  <c r="AO28" i="28"/>
  <c r="L38" i="35"/>
  <c r="AP40" i="31"/>
  <c r="AP40" i="30"/>
  <c r="AP40" i="29"/>
  <c r="AO40" i="28"/>
  <c r="L50" i="35"/>
  <c r="AP52" i="31"/>
  <c r="AP52" i="30"/>
  <c r="AP52" i="29"/>
  <c r="AO52" i="28"/>
  <c r="L62" i="35"/>
  <c r="AP64" i="31"/>
  <c r="AP64" i="30"/>
  <c r="AO64" i="28"/>
  <c r="AP64" i="29"/>
  <c r="M9" i="35"/>
  <c r="AT11" i="31"/>
  <c r="AT11" i="30"/>
  <c r="AT11" i="29"/>
  <c r="AS11" i="28"/>
  <c r="M21" i="35"/>
  <c r="AT23" i="31"/>
  <c r="AT23" i="30"/>
  <c r="AT23" i="29"/>
  <c r="AS23" i="28"/>
  <c r="M33" i="35"/>
  <c r="AT35" i="31"/>
  <c r="AT35" i="30"/>
  <c r="AT35" i="29"/>
  <c r="AS35" i="28"/>
  <c r="M45" i="35"/>
  <c r="AT47" i="31"/>
  <c r="AT47" i="30"/>
  <c r="AT47" i="29"/>
  <c r="AS47" i="28"/>
  <c r="M57" i="35"/>
  <c r="AT59" i="31"/>
  <c r="AT59" i="30"/>
  <c r="AT59" i="29"/>
  <c r="AS59" i="28"/>
  <c r="BH11" i="27"/>
  <c r="T20" i="19" s="1"/>
  <c r="BF11" i="27"/>
  <c r="AS30" i="28"/>
  <c r="AK41" i="28"/>
  <c r="J9" i="35"/>
  <c r="AH11" i="31"/>
  <c r="AH11" i="30"/>
  <c r="AG11" i="28"/>
  <c r="AH11" i="29"/>
  <c r="J21" i="35"/>
  <c r="AH23" i="31"/>
  <c r="AH23" i="30"/>
  <c r="AH23" i="29"/>
  <c r="AG23" i="28"/>
  <c r="J33" i="35"/>
  <c r="AH35" i="31"/>
  <c r="AH35" i="30"/>
  <c r="AH35" i="29"/>
  <c r="AG35" i="28"/>
  <c r="J45" i="35"/>
  <c r="AH47" i="31"/>
  <c r="AH47" i="30"/>
  <c r="AH47" i="29"/>
  <c r="AG47" i="28"/>
  <c r="J57" i="35"/>
  <c r="AH59" i="31"/>
  <c r="AH59" i="30"/>
  <c r="AH59" i="29"/>
  <c r="AG59" i="28"/>
  <c r="K6" i="35"/>
  <c r="AL8" i="31"/>
  <c r="AL8" i="30"/>
  <c r="AL8" i="29"/>
  <c r="K18" i="35"/>
  <c r="AL20" i="31"/>
  <c r="AL20" i="30"/>
  <c r="AL20" i="29"/>
  <c r="K30" i="35"/>
  <c r="AL32" i="31"/>
  <c r="AL32" i="30"/>
  <c r="AL32" i="29"/>
  <c r="AK32" i="28"/>
  <c r="K42" i="35"/>
  <c r="AL44" i="31"/>
  <c r="AL44" i="30"/>
  <c r="AL44" i="29"/>
  <c r="AK44" i="28"/>
  <c r="K54" i="35"/>
  <c r="AL56" i="31"/>
  <c r="AL56" i="30"/>
  <c r="AL56" i="29"/>
  <c r="AK56" i="28"/>
  <c r="L3" i="35"/>
  <c r="AP5" i="31"/>
  <c r="AP5" i="30"/>
  <c r="AP5" i="29"/>
  <c r="AO5" i="28"/>
  <c r="L15" i="35"/>
  <c r="AP17" i="31"/>
  <c r="AP17" i="30"/>
  <c r="AP17" i="29"/>
  <c r="AO17" i="28"/>
  <c r="L27" i="35"/>
  <c r="AP29" i="31"/>
  <c r="AP29" i="30"/>
  <c r="AP29" i="29"/>
  <c r="AO29" i="28"/>
  <c r="L39" i="35"/>
  <c r="AP41" i="31"/>
  <c r="AP41" i="29"/>
  <c r="AP41" i="30"/>
  <c r="AO41" i="28"/>
  <c r="L51" i="35"/>
  <c r="AP53" i="31"/>
  <c r="AP53" i="30"/>
  <c r="AP53" i="29"/>
  <c r="AO53" i="28"/>
  <c r="L63" i="35"/>
  <c r="AP65" i="31"/>
  <c r="AP65" i="29"/>
  <c r="AP65" i="30"/>
  <c r="AO65" i="28"/>
  <c r="M10" i="35"/>
  <c r="AT12" i="31"/>
  <c r="AT12" i="29"/>
  <c r="AT12" i="30"/>
  <c r="AS12" i="28"/>
  <c r="M22" i="35"/>
  <c r="AT24" i="31"/>
  <c r="AT24" i="29"/>
  <c r="AT24" i="30"/>
  <c r="AS24" i="28"/>
  <c r="M34" i="35"/>
  <c r="AT36" i="31"/>
  <c r="AT36" i="30"/>
  <c r="AT36" i="29"/>
  <c r="AS36" i="28"/>
  <c r="M46" i="35"/>
  <c r="AT48" i="31"/>
  <c r="AT48" i="30"/>
  <c r="AT48" i="29"/>
  <c r="AS48" i="28"/>
  <c r="M58" i="35"/>
  <c r="AT60" i="31"/>
  <c r="AT60" i="30"/>
  <c r="AT60" i="29"/>
  <c r="AS60" i="28"/>
  <c r="AK4" i="28"/>
  <c r="AK8" i="28"/>
  <c r="AK25" i="28"/>
  <c r="AK39" i="28"/>
  <c r="AO48" i="28"/>
  <c r="AO50" i="28"/>
  <c r="N4" i="35"/>
  <c r="AX6" i="31"/>
  <c r="AX6" i="30"/>
  <c r="AX6" i="29"/>
  <c r="N16" i="35"/>
  <c r="AX18" i="31"/>
  <c r="AX18" i="30"/>
  <c r="AX18" i="29"/>
  <c r="N28" i="35"/>
  <c r="AX30" i="31"/>
  <c r="AX30" i="30"/>
  <c r="AX30" i="29"/>
  <c r="AW30" i="28"/>
  <c r="N40" i="35"/>
  <c r="AX42" i="31"/>
  <c r="AX42" i="30"/>
  <c r="AX42" i="29"/>
  <c r="AW42" i="28"/>
  <c r="N52" i="35"/>
  <c r="AX54" i="31"/>
  <c r="AX54" i="30"/>
  <c r="AX54" i="29"/>
  <c r="N64" i="35"/>
  <c r="AX66" i="31"/>
  <c r="AX66" i="30"/>
  <c r="AX66" i="29"/>
  <c r="AW66" i="28"/>
  <c r="E2" i="37"/>
  <c r="BC67" i="28"/>
  <c r="N7" i="35"/>
  <c r="AX9" i="31"/>
  <c r="AX9" i="30"/>
  <c r="AX9" i="29"/>
  <c r="N19" i="35"/>
  <c r="AX21" i="31"/>
  <c r="AX21" i="30"/>
  <c r="AX21" i="29"/>
  <c r="N31" i="35"/>
  <c r="AX33" i="31"/>
  <c r="AX33" i="30"/>
  <c r="AX33" i="29"/>
  <c r="N43" i="35"/>
  <c r="AX45" i="31"/>
  <c r="AX45" i="30"/>
  <c r="AX45" i="29"/>
  <c r="N55" i="35"/>
  <c r="AX57" i="31"/>
  <c r="AX57" i="30"/>
  <c r="AX57" i="29"/>
  <c r="AW57" i="28"/>
  <c r="N8" i="35"/>
  <c r="AX10" i="31"/>
  <c r="AX10" i="30"/>
  <c r="AX10" i="29"/>
  <c r="N20" i="35"/>
  <c r="AX22" i="30"/>
  <c r="AX22" i="31"/>
  <c r="AX22" i="29"/>
  <c r="N32" i="35"/>
  <c r="AX34" i="31"/>
  <c r="AX34" i="30"/>
  <c r="AX34" i="29"/>
  <c r="AW34" i="28"/>
  <c r="N44" i="35"/>
  <c r="AX46" i="31"/>
  <c r="AX46" i="30"/>
  <c r="AX46" i="29"/>
  <c r="AW46" i="28"/>
  <c r="N56" i="35"/>
  <c r="AX58" i="31"/>
  <c r="AX58" i="30"/>
  <c r="AX58" i="29"/>
  <c r="BC15" i="27"/>
  <c r="AW33" i="28"/>
  <c r="AW45" i="28"/>
  <c r="F7" i="25"/>
  <c r="G7" i="25" s="1"/>
  <c r="J7" i="25" s="1"/>
  <c r="F14" i="25"/>
  <c r="G14" i="25" s="1"/>
  <c r="J14" i="25" s="1"/>
  <c r="F17" i="25"/>
  <c r="G17" i="25" s="1"/>
  <c r="J17" i="25" s="1"/>
  <c r="F20" i="25"/>
  <c r="G20" i="25" s="1"/>
  <c r="J20" i="25" s="1"/>
  <c r="F23" i="25"/>
  <c r="G23" i="25" s="1"/>
  <c r="J23" i="25" s="1"/>
  <c r="F26" i="25"/>
  <c r="G26" i="25" s="1"/>
  <c r="J26" i="25" s="1"/>
  <c r="F29" i="25"/>
  <c r="G29" i="25" s="1"/>
  <c r="J29" i="25" s="1"/>
  <c r="F32" i="25"/>
  <c r="G32" i="25" s="1"/>
  <c r="J32" i="25" s="1"/>
  <c r="F35" i="25"/>
  <c r="G35" i="25" s="1"/>
  <c r="J35" i="25" s="1"/>
  <c r="F38" i="25"/>
  <c r="G38" i="25" s="1"/>
  <c r="J38" i="25" s="1"/>
  <c r="F41" i="25"/>
  <c r="G41" i="25" s="1"/>
  <c r="J41" i="25" s="1"/>
  <c r="F44" i="25"/>
  <c r="G44" i="25" s="1"/>
  <c r="J44" i="25" s="1"/>
  <c r="F47" i="25"/>
  <c r="G47" i="25" s="1"/>
  <c r="J47" i="25" s="1"/>
  <c r="F50" i="25"/>
  <c r="G50" i="25" s="1"/>
  <c r="J50" i="25" s="1"/>
  <c r="F53" i="25"/>
  <c r="G53" i="25" s="1"/>
  <c r="J53" i="25" s="1"/>
  <c r="F56" i="25"/>
  <c r="G56" i="25" s="1"/>
  <c r="J56" i="25" s="1"/>
  <c r="F59" i="25"/>
  <c r="G59" i="25" s="1"/>
  <c r="J59" i="25" s="1"/>
  <c r="F62" i="25"/>
  <c r="G62" i="25" s="1"/>
  <c r="J62" i="25" s="1"/>
  <c r="F65" i="25"/>
  <c r="G65" i="25" s="1"/>
  <c r="J65" i="25" s="1"/>
  <c r="F68" i="25"/>
  <c r="G68" i="25" s="1"/>
  <c r="J68" i="25" s="1"/>
  <c r="N9" i="35"/>
  <c r="AX11" i="31"/>
  <c r="AX11" i="30"/>
  <c r="N21" i="35"/>
  <c r="AX23" i="31"/>
  <c r="AX23" i="30"/>
  <c r="N33" i="35"/>
  <c r="AX35" i="31"/>
  <c r="AX35" i="30"/>
  <c r="AX35" i="29"/>
  <c r="N45" i="35"/>
  <c r="AX47" i="31"/>
  <c r="AX47" i="30"/>
  <c r="AX47" i="29"/>
  <c r="N57" i="35"/>
  <c r="AX59" i="31"/>
  <c r="AX59" i="29"/>
  <c r="AX59" i="30"/>
  <c r="AW59" i="28"/>
  <c r="BF6" i="27"/>
  <c r="AW6" i="28"/>
  <c r="AW10" i="28"/>
  <c r="AX23" i="29"/>
  <c r="N10" i="35"/>
  <c r="AX12" i="31"/>
  <c r="AX12" i="30"/>
  <c r="N22" i="35"/>
  <c r="AX24" i="31"/>
  <c r="AX24" i="30"/>
  <c r="N34" i="35"/>
  <c r="AX36" i="31"/>
  <c r="AX36" i="30"/>
  <c r="AX36" i="29"/>
  <c r="AW36" i="28"/>
  <c r="N46" i="35"/>
  <c r="AX48" i="31"/>
  <c r="AX48" i="30"/>
  <c r="AW48" i="28"/>
  <c r="AX48" i="29"/>
  <c r="N58" i="35"/>
  <c r="AX60" i="31"/>
  <c r="AX60" i="30"/>
  <c r="AX60" i="29"/>
  <c r="AW60" i="28"/>
  <c r="N11" i="35"/>
  <c r="AX13" i="31"/>
  <c r="AX13" i="30"/>
  <c r="AX13" i="29"/>
  <c r="N23" i="35"/>
  <c r="AX25" i="30"/>
  <c r="AX25" i="31"/>
  <c r="AX25" i="29"/>
  <c r="N35" i="35"/>
  <c r="AX37" i="31"/>
  <c r="AX37" i="30"/>
  <c r="AX37" i="29"/>
  <c r="N47" i="35"/>
  <c r="AX49" i="31"/>
  <c r="AX49" i="30"/>
  <c r="AX49" i="29"/>
  <c r="N59" i="35"/>
  <c r="AX61" i="31"/>
  <c r="AX61" i="30"/>
  <c r="AX61" i="29"/>
  <c r="AW61" i="28"/>
  <c r="AW11" i="28"/>
  <c r="N12" i="35"/>
  <c r="AX14" i="31"/>
  <c r="AX14" i="30"/>
  <c r="AX14" i="29"/>
  <c r="N24" i="35"/>
  <c r="AX26" i="31"/>
  <c r="AX26" i="30"/>
  <c r="AX26" i="29"/>
  <c r="AW26" i="28"/>
  <c r="N36" i="35"/>
  <c r="AX38" i="31"/>
  <c r="AX38" i="30"/>
  <c r="AX38" i="29"/>
  <c r="AW38" i="28"/>
  <c r="N48" i="35"/>
  <c r="AX50" i="31"/>
  <c r="AX50" i="30"/>
  <c r="AX50" i="29"/>
  <c r="AW50" i="28"/>
  <c r="N60" i="35"/>
  <c r="AX62" i="31"/>
  <c r="AX62" i="30"/>
  <c r="AX62" i="29"/>
  <c r="AW62" i="28"/>
  <c r="AW25" i="28"/>
  <c r="AW37" i="28"/>
  <c r="AW49" i="28"/>
  <c r="AX11" i="29"/>
  <c r="F16" i="25"/>
  <c r="G16" i="25" s="1"/>
  <c r="J16" i="25" s="1"/>
  <c r="F19" i="25"/>
  <c r="G19" i="25" s="1"/>
  <c r="J19" i="25" s="1"/>
  <c r="F22" i="25"/>
  <c r="G22" i="25" s="1"/>
  <c r="J22" i="25" s="1"/>
  <c r="F25" i="25"/>
  <c r="G25" i="25" s="1"/>
  <c r="J25" i="25" s="1"/>
  <c r="F28" i="25"/>
  <c r="G28" i="25" s="1"/>
  <c r="J28" i="25" s="1"/>
  <c r="F31" i="25"/>
  <c r="G31" i="25" s="1"/>
  <c r="J31" i="25" s="1"/>
  <c r="F34" i="25"/>
  <c r="G34" i="25" s="1"/>
  <c r="J34" i="25" s="1"/>
  <c r="F37" i="25"/>
  <c r="G37" i="25" s="1"/>
  <c r="J37" i="25" s="1"/>
  <c r="F40" i="25"/>
  <c r="G40" i="25" s="1"/>
  <c r="J40" i="25" s="1"/>
  <c r="F43" i="25"/>
  <c r="G43" i="25" s="1"/>
  <c r="J43" i="25" s="1"/>
  <c r="F46" i="25"/>
  <c r="G46" i="25" s="1"/>
  <c r="J46" i="25" s="1"/>
  <c r="F49" i="25"/>
  <c r="G49" i="25" s="1"/>
  <c r="J49" i="25" s="1"/>
  <c r="F52" i="25"/>
  <c r="G52" i="25" s="1"/>
  <c r="J52" i="25" s="1"/>
  <c r="F55" i="25"/>
  <c r="G55" i="25" s="1"/>
  <c r="J55" i="25" s="1"/>
  <c r="F58" i="25"/>
  <c r="G58" i="25" s="1"/>
  <c r="J58" i="25" s="1"/>
  <c r="F61" i="25"/>
  <c r="G61" i="25" s="1"/>
  <c r="J61" i="25" s="1"/>
  <c r="F64" i="25"/>
  <c r="G64" i="25" s="1"/>
  <c r="J64" i="25" s="1"/>
  <c r="N1" i="35"/>
  <c r="AX3" i="31"/>
  <c r="AX3" i="30"/>
  <c r="AX3" i="29"/>
  <c r="N13" i="35"/>
  <c r="AX15" i="31"/>
  <c r="AX15" i="30"/>
  <c r="AX15" i="29"/>
  <c r="N25" i="35"/>
  <c r="AX27" i="31"/>
  <c r="AX27" i="30"/>
  <c r="AX27" i="29"/>
  <c r="N37" i="35"/>
  <c r="AX39" i="31"/>
  <c r="AX39" i="30"/>
  <c r="AX39" i="29"/>
  <c r="N49" i="35"/>
  <c r="AX51" i="31"/>
  <c r="AX51" i="30"/>
  <c r="AX51" i="29"/>
  <c r="N61" i="35"/>
  <c r="AX63" i="30"/>
  <c r="AX63" i="31"/>
  <c r="AX63" i="29"/>
  <c r="AW63" i="28"/>
  <c r="AW58" i="28"/>
  <c r="BD67" i="29"/>
  <c r="E67" i="29"/>
  <c r="E67" i="30"/>
  <c r="BD67" i="31"/>
  <c r="L55" i="28" l="1"/>
  <c r="AF51" i="28"/>
  <c r="L47" i="28"/>
  <c r="L25" i="28"/>
  <c r="L21" i="28"/>
  <c r="L30" i="28"/>
  <c r="AF48" i="28"/>
  <c r="L9" i="28"/>
  <c r="AF42" i="28"/>
  <c r="L35" i="28"/>
  <c r="L44" i="28"/>
  <c r="L15" i="28"/>
  <c r="L57" i="28"/>
  <c r="L7" i="28"/>
  <c r="AF45" i="28"/>
  <c r="AF56" i="28"/>
  <c r="AF4" i="28"/>
  <c r="J18" i="34"/>
  <c r="AI20" i="31"/>
  <c r="AI20" i="30"/>
  <c r="AK20" i="30" s="1"/>
  <c r="AI20" i="29"/>
  <c r="AH20" i="28"/>
  <c r="AJ20" i="28" s="1"/>
  <c r="J54" i="34"/>
  <c r="AI56" i="31"/>
  <c r="AI56" i="30"/>
  <c r="AI56" i="29"/>
  <c r="AH56" i="28"/>
  <c r="AJ56" i="28" s="1"/>
  <c r="Y54" i="30"/>
  <c r="AG49" i="31"/>
  <c r="D61" i="39"/>
  <c r="G22" i="34"/>
  <c r="W24" i="31"/>
  <c r="Y24" i="31" s="1"/>
  <c r="W24" i="30"/>
  <c r="W24" i="29"/>
  <c r="Y24" i="29" s="1"/>
  <c r="V24" i="28"/>
  <c r="X24" i="28" s="1"/>
  <c r="G15" i="34"/>
  <c r="W17" i="31"/>
  <c r="W17" i="30"/>
  <c r="W17" i="29"/>
  <c r="V17" i="28"/>
  <c r="X17" i="28" s="1"/>
  <c r="G8" i="34"/>
  <c r="W10" i="31"/>
  <c r="W10" i="30"/>
  <c r="Y10" i="30" s="1"/>
  <c r="W10" i="29"/>
  <c r="Y10" i="29" s="1"/>
  <c r="V10" i="28"/>
  <c r="X10" i="28" s="1"/>
  <c r="G60" i="34"/>
  <c r="W62" i="31"/>
  <c r="W62" i="30"/>
  <c r="W62" i="29"/>
  <c r="V62" i="28"/>
  <c r="G52" i="34"/>
  <c r="W54" i="30"/>
  <c r="W54" i="31"/>
  <c r="Y54" i="31" s="1"/>
  <c r="W54" i="29"/>
  <c r="V54" i="28"/>
  <c r="T4" i="7"/>
  <c r="T11" i="7"/>
  <c r="D35" i="39"/>
  <c r="AJ34" i="28"/>
  <c r="D46" i="39"/>
  <c r="I27" i="34"/>
  <c r="AE29" i="31"/>
  <c r="AE29" i="30"/>
  <c r="AG29" i="30" s="1"/>
  <c r="AE29" i="29"/>
  <c r="AG29" i="29" s="1"/>
  <c r="AD29" i="28"/>
  <c r="J15" i="34"/>
  <c r="AI17" i="31"/>
  <c r="AI17" i="30"/>
  <c r="AI17" i="29"/>
  <c r="AH17" i="28"/>
  <c r="AJ17" i="28" s="1"/>
  <c r="J38" i="34"/>
  <c r="AI40" i="31"/>
  <c r="AI40" i="30"/>
  <c r="AK40" i="30" s="1"/>
  <c r="AI40" i="29"/>
  <c r="AK40" i="29" s="1"/>
  <c r="AH40" i="28"/>
  <c r="AJ40" i="28" s="1"/>
  <c r="J26" i="34"/>
  <c r="AI28" i="31"/>
  <c r="AI28" i="29"/>
  <c r="AI28" i="30"/>
  <c r="AH28" i="28"/>
  <c r="R65" i="24"/>
  <c r="J7" i="34"/>
  <c r="AI9" i="31"/>
  <c r="AK9" i="31" s="1"/>
  <c r="AI9" i="30"/>
  <c r="AK9" i="30" s="1"/>
  <c r="AI9" i="29"/>
  <c r="AH9" i="28"/>
  <c r="AD67" i="31"/>
  <c r="I41" i="34"/>
  <c r="AE43" i="31"/>
  <c r="AE43" i="30"/>
  <c r="AG43" i="30" s="1"/>
  <c r="AE43" i="29"/>
  <c r="AG43" i="29" s="1"/>
  <c r="AD43" i="28"/>
  <c r="I61" i="34"/>
  <c r="AE63" i="31"/>
  <c r="AE63" i="30"/>
  <c r="AE63" i="29"/>
  <c r="AD63" i="28"/>
  <c r="AF63" i="28" s="1"/>
  <c r="D62" i="39"/>
  <c r="M11" i="34"/>
  <c r="AU13" i="31"/>
  <c r="AW13" i="31" s="1"/>
  <c r="AU13" i="30"/>
  <c r="AU13" i="29"/>
  <c r="AT13" i="28"/>
  <c r="AV13" i="28" s="1"/>
  <c r="G56" i="34"/>
  <c r="W58" i="31"/>
  <c r="W58" i="30"/>
  <c r="W58" i="29"/>
  <c r="V58" i="28"/>
  <c r="X58" i="28" s="1"/>
  <c r="BH3" i="27"/>
  <c r="BH15" i="27" s="1"/>
  <c r="BF3" i="27"/>
  <c r="M46" i="34"/>
  <c r="AU48" i="31"/>
  <c r="AW48" i="31" s="1"/>
  <c r="AU48" i="30"/>
  <c r="AW48" i="30" s="1"/>
  <c r="AU48" i="29"/>
  <c r="AT48" i="28"/>
  <c r="AL67" i="30"/>
  <c r="D43" i="39"/>
  <c r="AK18" i="30"/>
  <c r="AK17" i="29"/>
  <c r="AK28" i="31"/>
  <c r="AW51" i="30"/>
  <c r="AG11" i="29"/>
  <c r="M56" i="34"/>
  <c r="AU58" i="31"/>
  <c r="AU58" i="30"/>
  <c r="AU58" i="29"/>
  <c r="AT58" i="28"/>
  <c r="AV58" i="28" s="1"/>
  <c r="R28" i="24"/>
  <c r="D60" i="39"/>
  <c r="AF58" i="28"/>
  <c r="AK4" i="31"/>
  <c r="D42" i="39"/>
  <c r="M57" i="34"/>
  <c r="AU59" i="31"/>
  <c r="AU59" i="29"/>
  <c r="AW59" i="29" s="1"/>
  <c r="AU59" i="30"/>
  <c r="AW59" i="30" s="1"/>
  <c r="AT59" i="28"/>
  <c r="I53" i="34"/>
  <c r="AE55" i="31"/>
  <c r="AE55" i="30"/>
  <c r="AE55" i="29"/>
  <c r="AD55" i="28"/>
  <c r="AF55" i="28" s="1"/>
  <c r="R19" i="17"/>
  <c r="J3" i="34"/>
  <c r="AI5" i="31"/>
  <c r="AI5" i="30"/>
  <c r="AK5" i="30" s="1"/>
  <c r="AH5" i="28"/>
  <c r="AI5" i="29"/>
  <c r="M45" i="34"/>
  <c r="AU47" i="31"/>
  <c r="AU47" i="30"/>
  <c r="AW47" i="30" s="1"/>
  <c r="AU47" i="29"/>
  <c r="AW47" i="29" s="1"/>
  <c r="AT47" i="28"/>
  <c r="AV47" i="28" s="1"/>
  <c r="I50" i="34"/>
  <c r="AE52" i="31"/>
  <c r="AE52" i="30"/>
  <c r="AE52" i="29"/>
  <c r="AD52" i="28"/>
  <c r="AF52" i="28" s="1"/>
  <c r="D26" i="39"/>
  <c r="M40" i="34"/>
  <c r="AU42" i="31"/>
  <c r="AW42" i="31" s="1"/>
  <c r="AU42" i="30"/>
  <c r="AW42" i="30" s="1"/>
  <c r="AU42" i="29"/>
  <c r="AW42" i="29" s="1"/>
  <c r="AT42" i="28"/>
  <c r="AV42" i="28" s="1"/>
  <c r="AG46" i="29"/>
  <c r="AG22" i="31"/>
  <c r="D67" i="39"/>
  <c r="D7" i="39"/>
  <c r="D66" i="39"/>
  <c r="AG55" i="31"/>
  <c r="R26" i="21"/>
  <c r="J5" i="34"/>
  <c r="AI7" i="31"/>
  <c r="AI7" i="30"/>
  <c r="AK7" i="30" s="1"/>
  <c r="AI7" i="29"/>
  <c r="AK7" i="29" s="1"/>
  <c r="AH7" i="28"/>
  <c r="AJ7" i="28" s="1"/>
  <c r="AK56" i="31"/>
  <c r="D21" i="39"/>
  <c r="I51" i="34"/>
  <c r="AE53" i="31"/>
  <c r="AG53" i="31" s="1"/>
  <c r="AE53" i="29"/>
  <c r="AE53" i="30"/>
  <c r="AD53" i="28"/>
  <c r="I15" i="34"/>
  <c r="AE17" i="31"/>
  <c r="AE17" i="30"/>
  <c r="AE17" i="29"/>
  <c r="AD17" i="28"/>
  <c r="AF17" i="28" s="1"/>
  <c r="I56" i="34"/>
  <c r="AE58" i="30"/>
  <c r="AE58" i="31"/>
  <c r="AG58" i="31" s="1"/>
  <c r="AE58" i="29"/>
  <c r="AD58" i="28"/>
  <c r="M4" i="34"/>
  <c r="AU6" i="31"/>
  <c r="AU6" i="30"/>
  <c r="AW6" i="30" s="1"/>
  <c r="AU6" i="29"/>
  <c r="AT6" i="28"/>
  <c r="AV6" i="28" s="1"/>
  <c r="Z67" i="29"/>
  <c r="AK50" i="29"/>
  <c r="J50" i="34"/>
  <c r="AI52" i="31"/>
  <c r="AI52" i="30"/>
  <c r="AI52" i="29"/>
  <c r="AK52" i="29" s="1"/>
  <c r="AH52" i="28"/>
  <c r="AW48" i="29"/>
  <c r="AW58" i="30"/>
  <c r="D33" i="39"/>
  <c r="Y58" i="31"/>
  <c r="J44" i="34"/>
  <c r="AI46" i="31"/>
  <c r="AI46" i="30"/>
  <c r="AI46" i="29"/>
  <c r="AH46" i="28"/>
  <c r="J63" i="34"/>
  <c r="AI65" i="31"/>
  <c r="AI65" i="30"/>
  <c r="AK65" i="30" s="1"/>
  <c r="AH65" i="28"/>
  <c r="AI65" i="29"/>
  <c r="M63" i="34"/>
  <c r="AU65" i="31"/>
  <c r="AU65" i="30"/>
  <c r="AU65" i="29"/>
  <c r="AW65" i="29" s="1"/>
  <c r="AT65" i="28"/>
  <c r="D23" i="39"/>
  <c r="AK65" i="29"/>
  <c r="AK5" i="29"/>
  <c r="AW65" i="30"/>
  <c r="D41" i="39"/>
  <c r="D34" i="39"/>
  <c r="R53" i="21"/>
  <c r="AK20" i="29"/>
  <c r="I5" i="34"/>
  <c r="AE7" i="31"/>
  <c r="AE7" i="30"/>
  <c r="AE7" i="29"/>
  <c r="AD7" i="28"/>
  <c r="AF7" i="28" s="1"/>
  <c r="R10" i="21"/>
  <c r="Z67" i="30"/>
  <c r="R61" i="13"/>
  <c r="R15" i="21"/>
  <c r="AG17" i="29"/>
  <c r="D28" i="39"/>
  <c r="AH67" i="29"/>
  <c r="K69" i="13"/>
  <c r="K66" i="13"/>
  <c r="R66" i="13" s="1"/>
  <c r="K63" i="13"/>
  <c r="R63" i="13" s="1"/>
  <c r="K60" i="13"/>
  <c r="R60" i="13" s="1"/>
  <c r="K57" i="13"/>
  <c r="R57" i="13" s="1"/>
  <c r="K54" i="13"/>
  <c r="R54" i="13" s="1"/>
  <c r="K51" i="13"/>
  <c r="R51" i="13" s="1"/>
  <c r="K48" i="13"/>
  <c r="R48" i="13" s="1"/>
  <c r="K45" i="13"/>
  <c r="R45" i="13" s="1"/>
  <c r="K42" i="13"/>
  <c r="R42" i="13" s="1"/>
  <c r="K39" i="13"/>
  <c r="K36" i="13"/>
  <c r="R36" i="13" s="1"/>
  <c r="K33" i="13"/>
  <c r="K30" i="13"/>
  <c r="R30" i="13" s="1"/>
  <c r="K27" i="13"/>
  <c r="K24" i="13"/>
  <c r="R24" i="13" s="1"/>
  <c r="K21" i="13"/>
  <c r="R21" i="13" s="1"/>
  <c r="K11" i="13"/>
  <c r="K8" i="13"/>
  <c r="R8" i="13" s="1"/>
  <c r="K18" i="13"/>
  <c r="R18" i="13" s="1"/>
  <c r="K15" i="13"/>
  <c r="K12" i="13"/>
  <c r="R12" i="13" s="1"/>
  <c r="K9" i="13"/>
  <c r="R9" i="13" s="1"/>
  <c r="K67" i="13"/>
  <c r="K50" i="13"/>
  <c r="K31" i="13"/>
  <c r="R31" i="13" s="1"/>
  <c r="K7" i="13"/>
  <c r="K52" i="13"/>
  <c r="K35" i="13"/>
  <c r="R35" i="13" s="1"/>
  <c r="K56" i="13"/>
  <c r="K37" i="13"/>
  <c r="R37" i="13" s="1"/>
  <c r="K58" i="13"/>
  <c r="R58" i="13" s="1"/>
  <c r="K41" i="13"/>
  <c r="K22" i="13"/>
  <c r="R22" i="13" s="1"/>
  <c r="K20" i="13"/>
  <c r="R20" i="13" s="1"/>
  <c r="K62" i="13"/>
  <c r="K43" i="13"/>
  <c r="R43" i="13" s="1"/>
  <c r="K26" i="13"/>
  <c r="K16" i="13"/>
  <c r="R16" i="13" s="1"/>
  <c r="K10" i="13"/>
  <c r="K64" i="13"/>
  <c r="R64" i="13" s="1"/>
  <c r="K47" i="13"/>
  <c r="K28" i="13"/>
  <c r="R28" i="13" s="1"/>
  <c r="K14" i="13"/>
  <c r="R14" i="13" s="1"/>
  <c r="K6" i="13"/>
  <c r="K68" i="13"/>
  <c r="R68" i="13" s="1"/>
  <c r="K49" i="13"/>
  <c r="R49" i="13" s="1"/>
  <c r="K32" i="13"/>
  <c r="R32" i="13" s="1"/>
  <c r="K53" i="13"/>
  <c r="R53" i="13" s="1"/>
  <c r="K23" i="13"/>
  <c r="K59" i="13"/>
  <c r="K29" i="13"/>
  <c r="K65" i="13"/>
  <c r="K44" i="13"/>
  <c r="K38" i="13"/>
  <c r="R38" i="13" s="1"/>
  <c r="K55" i="13"/>
  <c r="R55" i="13" s="1"/>
  <c r="K19" i="13"/>
  <c r="R19" i="13" s="1"/>
  <c r="K46" i="13"/>
  <c r="R46" i="13" s="1"/>
  <c r="K34" i="13"/>
  <c r="R34" i="13" s="1"/>
  <c r="K25" i="13"/>
  <c r="K17" i="13"/>
  <c r="K61" i="13"/>
  <c r="K40" i="13"/>
  <c r="K13" i="13"/>
  <c r="R13" i="13" s="1"/>
  <c r="M49" i="34"/>
  <c r="AU51" i="31"/>
  <c r="AU51" i="30"/>
  <c r="AU51" i="29"/>
  <c r="AT51" i="28"/>
  <c r="AV51" i="28" s="1"/>
  <c r="AW27" i="30"/>
  <c r="I21" i="34"/>
  <c r="AE23" i="31"/>
  <c r="AE23" i="30"/>
  <c r="AE23" i="29"/>
  <c r="AD23" i="28"/>
  <c r="AF23" i="28" s="1"/>
  <c r="J27" i="34"/>
  <c r="AI29" i="31"/>
  <c r="AI29" i="30"/>
  <c r="AI29" i="29"/>
  <c r="AH29" i="28"/>
  <c r="I14" i="34"/>
  <c r="AE16" i="31"/>
  <c r="AG16" i="31" s="1"/>
  <c r="AE16" i="30"/>
  <c r="AE16" i="29"/>
  <c r="AD16" i="28"/>
  <c r="AF16" i="28" s="1"/>
  <c r="AK23" i="31"/>
  <c r="AO67" i="28"/>
  <c r="T11" i="25"/>
  <c r="T4" i="25"/>
  <c r="D55" i="39"/>
  <c r="K70" i="24"/>
  <c r="M29" i="34"/>
  <c r="AU31" i="31"/>
  <c r="AU31" i="30"/>
  <c r="AW31" i="30" s="1"/>
  <c r="AU31" i="29"/>
  <c r="AW31" i="29" s="1"/>
  <c r="AT31" i="28"/>
  <c r="AV31" i="28" s="1"/>
  <c r="AW13" i="29"/>
  <c r="J31" i="21"/>
  <c r="G70" i="21"/>
  <c r="I45" i="34"/>
  <c r="AE47" i="31"/>
  <c r="AG47" i="31" s="1"/>
  <c r="AE47" i="30"/>
  <c r="AE47" i="29"/>
  <c r="AD47" i="28"/>
  <c r="AF47" i="28" s="1"/>
  <c r="Z67" i="31"/>
  <c r="Y55" i="29"/>
  <c r="G32" i="34"/>
  <c r="W34" i="30"/>
  <c r="W34" i="31"/>
  <c r="W34" i="29"/>
  <c r="V34" i="28"/>
  <c r="X34" i="28" s="1"/>
  <c r="D19" i="39"/>
  <c r="AG7" i="30"/>
  <c r="AT67" i="31"/>
  <c r="AK42" i="29"/>
  <c r="I63" i="34"/>
  <c r="AE65" i="31"/>
  <c r="AE65" i="30"/>
  <c r="AE65" i="29"/>
  <c r="AD65" i="28"/>
  <c r="AF65" i="28" s="1"/>
  <c r="AG37" i="29"/>
  <c r="AK11" i="29"/>
  <c r="D47" i="39"/>
  <c r="AJ46" i="28"/>
  <c r="AF36" i="28"/>
  <c r="Y60" i="29"/>
  <c r="D32" i="39"/>
  <c r="D58" i="39"/>
  <c r="AK33" i="30"/>
  <c r="R57" i="24"/>
  <c r="R67" i="29"/>
  <c r="U67" i="28"/>
  <c r="Y37" i="30"/>
  <c r="G35" i="34"/>
  <c r="W37" i="31"/>
  <c r="W37" i="30"/>
  <c r="W37" i="29"/>
  <c r="V37" i="28"/>
  <c r="AW59" i="31"/>
  <c r="J31" i="34"/>
  <c r="AI33" i="31"/>
  <c r="AI33" i="30"/>
  <c r="AI33" i="29"/>
  <c r="AK33" i="29" s="1"/>
  <c r="AH33" i="28"/>
  <c r="AW9" i="30"/>
  <c r="D8" i="39"/>
  <c r="AW30" i="31"/>
  <c r="M7" i="34"/>
  <c r="AU9" i="31"/>
  <c r="AW9" i="31" s="1"/>
  <c r="AU9" i="30"/>
  <c r="AU9" i="29"/>
  <c r="AW9" i="29" s="1"/>
  <c r="AT9" i="28"/>
  <c r="AV9" i="28" s="1"/>
  <c r="J2" i="34"/>
  <c r="AI4" i="31"/>
  <c r="AI4" i="30"/>
  <c r="AK4" i="30" s="1"/>
  <c r="AI4" i="29"/>
  <c r="AK4" i="29" s="1"/>
  <c r="AH4" i="28"/>
  <c r="AS67" i="28"/>
  <c r="AG23" i="29"/>
  <c r="G70" i="24"/>
  <c r="J6" i="24"/>
  <c r="AW37" i="29"/>
  <c r="AG21" i="30"/>
  <c r="I39" i="34"/>
  <c r="AE41" i="31"/>
  <c r="AE41" i="30"/>
  <c r="AE41" i="29"/>
  <c r="AG41" i="29" s="1"/>
  <c r="AD41" i="28"/>
  <c r="AF41" i="28" s="1"/>
  <c r="Y34" i="30"/>
  <c r="J62" i="34"/>
  <c r="AI64" i="31"/>
  <c r="AK64" i="31" s="1"/>
  <c r="AI64" i="30"/>
  <c r="AI64" i="29"/>
  <c r="AK64" i="29" s="1"/>
  <c r="AH64" i="28"/>
  <c r="R44" i="13"/>
  <c r="D6" i="39"/>
  <c r="R27" i="17"/>
  <c r="R63" i="17"/>
  <c r="R50" i="17"/>
  <c r="AG65" i="29"/>
  <c r="AG41" i="31"/>
  <c r="AW67" i="28"/>
  <c r="Y17" i="31"/>
  <c r="G6" i="34"/>
  <c r="W8" i="31"/>
  <c r="W8" i="30"/>
  <c r="W8" i="29"/>
  <c r="V8" i="28"/>
  <c r="X8" i="28" s="1"/>
  <c r="G62" i="34"/>
  <c r="W64" i="31"/>
  <c r="Y64" i="31" s="1"/>
  <c r="W64" i="30"/>
  <c r="Y64" i="30" s="1"/>
  <c r="W64" i="29"/>
  <c r="V64" i="28"/>
  <c r="X64" i="28" s="1"/>
  <c r="G30" i="34"/>
  <c r="W32" i="31"/>
  <c r="W32" i="30"/>
  <c r="Y32" i="30" s="1"/>
  <c r="W32" i="29"/>
  <c r="V32" i="28"/>
  <c r="G51" i="34"/>
  <c r="W53" i="31"/>
  <c r="Y53" i="31" s="1"/>
  <c r="W53" i="30"/>
  <c r="Y53" i="30" s="1"/>
  <c r="W53" i="29"/>
  <c r="Y53" i="29" s="1"/>
  <c r="V53" i="28"/>
  <c r="X53" i="28" s="1"/>
  <c r="G4" i="34"/>
  <c r="W6" i="31"/>
  <c r="W6" i="30"/>
  <c r="W6" i="29"/>
  <c r="V6" i="28"/>
  <c r="W40" i="31"/>
  <c r="G38" i="34"/>
  <c r="W40" i="30"/>
  <c r="V40" i="28"/>
  <c r="X40" i="28" s="1"/>
  <c r="W40" i="29"/>
  <c r="Y40" i="29" s="1"/>
  <c r="AP67" i="30"/>
  <c r="AK28" i="29"/>
  <c r="AG47" i="30"/>
  <c r="D24" i="39"/>
  <c r="AL67" i="31"/>
  <c r="AK52" i="30"/>
  <c r="J40" i="34"/>
  <c r="AI42" i="31"/>
  <c r="AK42" i="31" s="1"/>
  <c r="AI42" i="30"/>
  <c r="AI42" i="29"/>
  <c r="AH42" i="28"/>
  <c r="AJ42" i="28" s="1"/>
  <c r="R39" i="13"/>
  <c r="AX67" i="29"/>
  <c r="D54" i="39"/>
  <c r="AK29" i="30"/>
  <c r="AK64" i="30"/>
  <c r="AG43" i="31"/>
  <c r="R56" i="21"/>
  <c r="AK44" i="31"/>
  <c r="D9" i="39"/>
  <c r="AG21" i="31"/>
  <c r="Y58" i="29"/>
  <c r="Y34" i="31"/>
  <c r="R52" i="17"/>
  <c r="R30" i="17"/>
  <c r="R66" i="17"/>
  <c r="J48" i="34"/>
  <c r="AI50" i="31"/>
  <c r="AK50" i="31" s="1"/>
  <c r="AI50" i="30"/>
  <c r="AI50" i="29"/>
  <c r="AH50" i="28"/>
  <c r="AJ50" i="28" s="1"/>
  <c r="Y9" i="29"/>
  <c r="M13" i="34"/>
  <c r="AU15" i="31"/>
  <c r="AU15" i="29"/>
  <c r="AW15" i="29" s="1"/>
  <c r="AT15" i="28"/>
  <c r="AV15" i="28" s="1"/>
  <c r="AU15" i="30"/>
  <c r="AG52" i="30"/>
  <c r="R53" i="15"/>
  <c r="G14" i="34"/>
  <c r="W16" i="31"/>
  <c r="W16" i="30"/>
  <c r="W16" i="29"/>
  <c r="Y16" i="29" s="1"/>
  <c r="V16" i="28"/>
  <c r="X16" i="28" s="1"/>
  <c r="G7" i="34"/>
  <c r="W9" i="31"/>
  <c r="Y9" i="31" s="1"/>
  <c r="W9" i="30"/>
  <c r="W9" i="29"/>
  <c r="V9" i="28"/>
  <c r="X9" i="28" s="1"/>
  <c r="R12" i="21"/>
  <c r="D59" i="39"/>
  <c r="AW6" i="31"/>
  <c r="AK17" i="30"/>
  <c r="AG55" i="29"/>
  <c r="M26" i="34"/>
  <c r="AU28" i="31"/>
  <c r="AU28" i="30"/>
  <c r="AU28" i="29"/>
  <c r="AW28" i="29" s="1"/>
  <c r="AT28" i="28"/>
  <c r="AV28" i="28" s="1"/>
  <c r="I12" i="34"/>
  <c r="AE14" i="31"/>
  <c r="AG14" i="31" s="1"/>
  <c r="AE14" i="30"/>
  <c r="AE14" i="29"/>
  <c r="AG14" i="29" s="1"/>
  <c r="AD14" i="28"/>
  <c r="AF14" i="28" s="1"/>
  <c r="AW28" i="31"/>
  <c r="AX67" i="30"/>
  <c r="AV48" i="28"/>
  <c r="AK46" i="31"/>
  <c r="D11" i="39"/>
  <c r="AJ10" i="28"/>
  <c r="AW58" i="29"/>
  <c r="AP67" i="29"/>
  <c r="D56" i="39"/>
  <c r="AG58" i="29"/>
  <c r="AK29" i="31"/>
  <c r="D29" i="39"/>
  <c r="AJ28" i="28"/>
  <c r="AG7" i="29"/>
  <c r="AT67" i="30"/>
  <c r="AG47" i="29"/>
  <c r="AG23" i="31"/>
  <c r="D22" i="39"/>
  <c r="I33" i="34"/>
  <c r="AE35" i="31"/>
  <c r="AE35" i="30"/>
  <c r="AD35" i="28"/>
  <c r="AE35" i="29"/>
  <c r="J32" i="34"/>
  <c r="AI34" i="31"/>
  <c r="AK34" i="31" s="1"/>
  <c r="AI34" i="30"/>
  <c r="AK34" i="30" s="1"/>
  <c r="AI34" i="29"/>
  <c r="AH34" i="28"/>
  <c r="R58" i="17"/>
  <c r="Y40" i="30"/>
  <c r="R67" i="31"/>
  <c r="Y62" i="29"/>
  <c r="G61" i="34"/>
  <c r="W63" i="31"/>
  <c r="W63" i="30"/>
  <c r="Y63" i="30" s="1"/>
  <c r="W63" i="29"/>
  <c r="V63" i="28"/>
  <c r="X63" i="28" s="1"/>
  <c r="G10" i="34"/>
  <c r="W12" i="31"/>
  <c r="Y12" i="31" s="1"/>
  <c r="W12" i="30"/>
  <c r="Y12" i="30" s="1"/>
  <c r="W12" i="29"/>
  <c r="V12" i="28"/>
  <c r="X12" i="28"/>
  <c r="M41" i="34"/>
  <c r="AU43" i="31"/>
  <c r="AW43" i="31" s="1"/>
  <c r="AU43" i="30"/>
  <c r="AW43" i="30" s="1"/>
  <c r="AU43" i="29"/>
  <c r="AW43" i="29" s="1"/>
  <c r="AT43" i="28"/>
  <c r="K70" i="11"/>
  <c r="M4" i="30"/>
  <c r="BC4" i="30"/>
  <c r="BB42" i="29"/>
  <c r="G26" i="34"/>
  <c r="W28" i="31"/>
  <c r="W28" i="30"/>
  <c r="W28" i="29"/>
  <c r="Y28" i="29" s="1"/>
  <c r="V28" i="28"/>
  <c r="M6" i="30"/>
  <c r="BC6" i="30"/>
  <c r="BB35" i="29"/>
  <c r="BA63" i="28"/>
  <c r="BC41" i="30"/>
  <c r="O15" i="35"/>
  <c r="BB46" i="29"/>
  <c r="BB10" i="29"/>
  <c r="BB57" i="30"/>
  <c r="BB21" i="29"/>
  <c r="J67" i="29"/>
  <c r="M10" i="31"/>
  <c r="BD57" i="8"/>
  <c r="AR57" i="8"/>
  <c r="AF57" i="8"/>
  <c r="T57" i="8"/>
  <c r="H57" i="8"/>
  <c r="BN57" i="8"/>
  <c r="BB57" i="8"/>
  <c r="AP57" i="8"/>
  <c r="AD57" i="8"/>
  <c r="R57" i="8"/>
  <c r="F57" i="8"/>
  <c r="BM57" i="8"/>
  <c r="BA57" i="8"/>
  <c r="AO57" i="8"/>
  <c r="AC57" i="8"/>
  <c r="Q57" i="8"/>
  <c r="E57" i="8"/>
  <c r="BG57" i="8"/>
  <c r="AQ57" i="8"/>
  <c r="Z57" i="8"/>
  <c r="K57" i="8"/>
  <c r="BE57" i="8"/>
  <c r="AM57" i="8"/>
  <c r="X57" i="8"/>
  <c r="I57" i="8"/>
  <c r="BC57" i="8"/>
  <c r="AL57" i="8"/>
  <c r="W57" i="8"/>
  <c r="G57" i="8"/>
  <c r="AZ57" i="8"/>
  <c r="AK57" i="8"/>
  <c r="V57" i="8"/>
  <c r="D57" i="8"/>
  <c r="AX57" i="8"/>
  <c r="AI57" i="8"/>
  <c r="S57" i="8"/>
  <c r="AY57" i="8"/>
  <c r="AA57" i="8"/>
  <c r="AV57" i="8"/>
  <c r="U57" i="8"/>
  <c r="AU57" i="8"/>
  <c r="P57" i="8"/>
  <c r="AT57" i="8"/>
  <c r="O57" i="8"/>
  <c r="AS57" i="8"/>
  <c r="N57" i="8"/>
  <c r="BI57" i="8"/>
  <c r="AG57" i="8"/>
  <c r="C57" i="8"/>
  <c r="AH57" i="8"/>
  <c r="BF57" i="8"/>
  <c r="AE57" i="8"/>
  <c r="AB57" i="8"/>
  <c r="AW57" i="8"/>
  <c r="Y57" i="8"/>
  <c r="BH57" i="8"/>
  <c r="BL57" i="8"/>
  <c r="M57" i="8"/>
  <c r="BK57" i="8"/>
  <c r="L57" i="8"/>
  <c r="BJ57" i="8"/>
  <c r="J57" i="8"/>
  <c r="AJ57" i="8"/>
  <c r="AN57" i="8"/>
  <c r="BA44" i="28"/>
  <c r="O48" i="35"/>
  <c r="BB43" i="31"/>
  <c r="BB7" i="31"/>
  <c r="BB18" i="29"/>
  <c r="BC34" i="30"/>
  <c r="BC12" i="30"/>
  <c r="M12" i="30"/>
  <c r="BA17" i="28"/>
  <c r="BB64" i="30"/>
  <c r="D30" i="34"/>
  <c r="K32" i="31"/>
  <c r="K32" i="30"/>
  <c r="K32" i="29"/>
  <c r="J32" i="28"/>
  <c r="L32" i="28" s="1"/>
  <c r="M57" i="30"/>
  <c r="BC57" i="30"/>
  <c r="O31" i="35"/>
  <c r="BB26" i="30"/>
  <c r="BC56" i="30"/>
  <c r="O30" i="35"/>
  <c r="D35" i="34"/>
  <c r="K37" i="30"/>
  <c r="K37" i="31"/>
  <c r="K37" i="29"/>
  <c r="M37" i="29" s="1"/>
  <c r="J37" i="28"/>
  <c r="BA37" i="28"/>
  <c r="M31" i="30"/>
  <c r="BC31" i="30"/>
  <c r="O5" i="35"/>
  <c r="BB48" i="31"/>
  <c r="BB12" i="31"/>
  <c r="D6" i="34"/>
  <c r="K8" i="31"/>
  <c r="M8" i="31" s="1"/>
  <c r="K8" i="30"/>
  <c r="M8" i="30" s="1"/>
  <c r="K8" i="29"/>
  <c r="J8" i="28"/>
  <c r="L8" i="28" s="1"/>
  <c r="BE4" i="8"/>
  <c r="AS4" i="8"/>
  <c r="AG4" i="8"/>
  <c r="U4" i="8"/>
  <c r="I4" i="8"/>
  <c r="BC4" i="8"/>
  <c r="AQ4" i="8"/>
  <c r="AE4" i="8"/>
  <c r="S4" i="8"/>
  <c r="G4" i="8"/>
  <c r="BN4" i="8"/>
  <c r="BB4" i="8"/>
  <c r="AP4" i="8"/>
  <c r="AD4" i="8"/>
  <c r="R4" i="8"/>
  <c r="F4" i="8"/>
  <c r="BM4" i="8"/>
  <c r="BA4" i="8"/>
  <c r="AO4" i="8"/>
  <c r="AC4" i="8"/>
  <c r="Q4" i="8"/>
  <c r="E4" i="8"/>
  <c r="BL4" i="8"/>
  <c r="AZ4" i="8"/>
  <c r="AN4" i="8"/>
  <c r="AB4" i="8"/>
  <c r="P4" i="8"/>
  <c r="D4" i="8"/>
  <c r="BH4" i="8"/>
  <c r="AV4" i="8"/>
  <c r="AJ4" i="8"/>
  <c r="X4" i="8"/>
  <c r="L4" i="8"/>
  <c r="BG4" i="8"/>
  <c r="AI4" i="8"/>
  <c r="K4" i="8"/>
  <c r="BF4" i="8"/>
  <c r="AH4" i="8"/>
  <c r="J4" i="8"/>
  <c r="T4" i="8"/>
  <c r="AM4" i="8"/>
  <c r="BD4" i="8"/>
  <c r="AF4" i="8"/>
  <c r="H4" i="8"/>
  <c r="AY4" i="8"/>
  <c r="AA4" i="8"/>
  <c r="V4" i="8"/>
  <c r="AX4" i="8"/>
  <c r="Z4" i="8"/>
  <c r="C4" i="8"/>
  <c r="AR4" i="8"/>
  <c r="AW4" i="8"/>
  <c r="Y4" i="8"/>
  <c r="AT4" i="8"/>
  <c r="BK4" i="8"/>
  <c r="AU4" i="8"/>
  <c r="W4" i="8"/>
  <c r="O4" i="8"/>
  <c r="N4" i="8"/>
  <c r="M4" i="8"/>
  <c r="BJ4" i="8"/>
  <c r="BI4" i="8"/>
  <c r="AL4" i="8"/>
  <c r="AK4" i="8"/>
  <c r="D26" i="34"/>
  <c r="K28" i="31"/>
  <c r="K28" i="30"/>
  <c r="K28" i="29"/>
  <c r="M28" i="29" s="1"/>
  <c r="J28" i="28"/>
  <c r="L28" i="28" s="1"/>
  <c r="G70" i="1"/>
  <c r="AG17" i="31"/>
  <c r="Y32" i="31"/>
  <c r="R52" i="13"/>
  <c r="I64" i="34"/>
  <c r="AE66" i="31"/>
  <c r="AG66" i="31" s="1"/>
  <c r="AE66" i="30"/>
  <c r="AE66" i="29"/>
  <c r="AD66" i="28"/>
  <c r="D37" i="39"/>
  <c r="G2" i="34"/>
  <c r="W4" i="31"/>
  <c r="Y4" i="31" s="1"/>
  <c r="W4" i="29"/>
  <c r="W4" i="30"/>
  <c r="V4" i="28"/>
  <c r="X4" i="28" s="1"/>
  <c r="G54" i="34"/>
  <c r="W56" i="30"/>
  <c r="W56" i="31"/>
  <c r="Y56" i="31" s="1"/>
  <c r="W56" i="29"/>
  <c r="Y56" i="29" s="1"/>
  <c r="V56" i="28"/>
  <c r="X56" i="28" s="1"/>
  <c r="Y39" i="30"/>
  <c r="R57" i="21"/>
  <c r="R23" i="24"/>
  <c r="BB42" i="30"/>
  <c r="O64" i="35"/>
  <c r="BB35" i="30"/>
  <c r="BB63" i="29"/>
  <c r="BB46" i="30"/>
  <c r="BB10" i="30"/>
  <c r="BL37" i="8"/>
  <c r="AZ37" i="8"/>
  <c r="AN37" i="8"/>
  <c r="AB37" i="8"/>
  <c r="P37" i="8"/>
  <c r="D37" i="8"/>
  <c r="BJ37" i="8"/>
  <c r="AX37" i="8"/>
  <c r="AL37" i="8"/>
  <c r="Z37" i="8"/>
  <c r="N37" i="8"/>
  <c r="BI37" i="8"/>
  <c r="AW37" i="8"/>
  <c r="AK37" i="8"/>
  <c r="Y37" i="8"/>
  <c r="M37" i="8"/>
  <c r="BH37" i="8"/>
  <c r="AV37" i="8"/>
  <c r="AJ37" i="8"/>
  <c r="X37" i="8"/>
  <c r="L37" i="8"/>
  <c r="BF37" i="8"/>
  <c r="AT37" i="8"/>
  <c r="AH37" i="8"/>
  <c r="V37" i="8"/>
  <c r="J37" i="8"/>
  <c r="AS37" i="8"/>
  <c r="AA37" i="8"/>
  <c r="F37" i="8"/>
  <c r="BM37" i="8"/>
  <c r="AQ37" i="8"/>
  <c r="U37" i="8"/>
  <c r="C37" i="8"/>
  <c r="BK37" i="8"/>
  <c r="AP37" i="8"/>
  <c r="T37" i="8"/>
  <c r="BG37" i="8"/>
  <c r="AO37" i="8"/>
  <c r="S37" i="8"/>
  <c r="BE37" i="8"/>
  <c r="AM37" i="8"/>
  <c r="R37" i="8"/>
  <c r="BA37" i="8"/>
  <c r="AE37" i="8"/>
  <c r="I37" i="8"/>
  <c r="BB37" i="8"/>
  <c r="K37" i="8"/>
  <c r="AY37" i="8"/>
  <c r="H37" i="8"/>
  <c r="AD37" i="8"/>
  <c r="AU37" i="8"/>
  <c r="G37" i="8"/>
  <c r="AC37" i="8"/>
  <c r="AR37" i="8"/>
  <c r="E37" i="8"/>
  <c r="AI37" i="8"/>
  <c r="W37" i="8"/>
  <c r="AG37" i="8"/>
  <c r="AF37" i="8"/>
  <c r="BN37" i="8"/>
  <c r="Q37" i="8"/>
  <c r="O37" i="8"/>
  <c r="BD37" i="8"/>
  <c r="BC37" i="8"/>
  <c r="BB57" i="29"/>
  <c r="BB21" i="30"/>
  <c r="J67" i="30"/>
  <c r="BC3" i="30"/>
  <c r="O8" i="35"/>
  <c r="BH19" i="8"/>
  <c r="AV19" i="8"/>
  <c r="AJ19" i="8"/>
  <c r="X19" i="8"/>
  <c r="L19" i="8"/>
  <c r="BN19" i="8"/>
  <c r="BA19" i="8"/>
  <c r="AN19" i="8"/>
  <c r="AA19" i="8"/>
  <c r="N19" i="8"/>
  <c r="BL19" i="8"/>
  <c r="AY19" i="8"/>
  <c r="AL19" i="8"/>
  <c r="Y19" i="8"/>
  <c r="K19" i="8"/>
  <c r="BK19" i="8"/>
  <c r="AX19" i="8"/>
  <c r="AK19" i="8"/>
  <c r="W19" i="8"/>
  <c r="J19" i="8"/>
  <c r="BJ19" i="8"/>
  <c r="AW19" i="8"/>
  <c r="AI19" i="8"/>
  <c r="V19" i="8"/>
  <c r="I19" i="8"/>
  <c r="BI19" i="8"/>
  <c r="AU19" i="8"/>
  <c r="AH19" i="8"/>
  <c r="U19" i="8"/>
  <c r="H19" i="8"/>
  <c r="BD19" i="8"/>
  <c r="AQ19" i="8"/>
  <c r="AD19" i="8"/>
  <c r="Q19" i="8"/>
  <c r="D19" i="8"/>
  <c r="BE19" i="8"/>
  <c r="AE19" i="8"/>
  <c r="E19" i="8"/>
  <c r="BC19" i="8"/>
  <c r="AC19" i="8"/>
  <c r="C19" i="8"/>
  <c r="BM19" i="8"/>
  <c r="BB19" i="8"/>
  <c r="AB19" i="8"/>
  <c r="AZ19" i="8"/>
  <c r="Z19" i="8"/>
  <c r="AT19" i="8"/>
  <c r="T19" i="8"/>
  <c r="AP19" i="8"/>
  <c r="AS19" i="8"/>
  <c r="S19" i="8"/>
  <c r="P19" i="8"/>
  <c r="AO19" i="8"/>
  <c r="M19" i="8"/>
  <c r="AR19" i="8"/>
  <c r="R19" i="8"/>
  <c r="O19" i="8"/>
  <c r="AM19" i="8"/>
  <c r="G19" i="8"/>
  <c r="F19" i="8"/>
  <c r="BG19" i="8"/>
  <c r="BF19" i="8"/>
  <c r="AG19" i="8"/>
  <c r="AF19" i="8"/>
  <c r="O61" i="35"/>
  <c r="BB44" i="29"/>
  <c r="BC14" i="30"/>
  <c r="BA31" i="28"/>
  <c r="BA53" i="28"/>
  <c r="BC49" i="30"/>
  <c r="M49" i="30"/>
  <c r="O23" i="35"/>
  <c r="BB18" i="30"/>
  <c r="BC2" i="8"/>
  <c r="AQ2" i="8"/>
  <c r="AE2" i="8"/>
  <c r="S2" i="8"/>
  <c r="G2" i="8"/>
  <c r="BM2" i="8"/>
  <c r="BA2" i="8"/>
  <c r="AO2" i="8"/>
  <c r="AC2" i="8"/>
  <c r="Q2" i="8"/>
  <c r="E2" i="8"/>
  <c r="BL2" i="8"/>
  <c r="AZ2" i="8"/>
  <c r="AN2" i="8"/>
  <c r="AB2" i="8"/>
  <c r="P2" i="8"/>
  <c r="D2" i="8"/>
  <c r="BK2" i="8"/>
  <c r="AY2" i="8"/>
  <c r="AM2" i="8"/>
  <c r="AA2" i="8"/>
  <c r="O2" i="8"/>
  <c r="BJ2" i="8"/>
  <c r="AX2" i="8"/>
  <c r="BF2" i="8"/>
  <c r="AT2" i="8"/>
  <c r="AH2" i="8"/>
  <c r="V2" i="8"/>
  <c r="J2" i="8"/>
  <c r="AS2" i="8"/>
  <c r="X2" i="8"/>
  <c r="C2" i="8"/>
  <c r="K2" i="8"/>
  <c r="AR2" i="8"/>
  <c r="W2" i="8"/>
  <c r="L2" i="8"/>
  <c r="BB2" i="8"/>
  <c r="BN2" i="8"/>
  <c r="AP2" i="8"/>
  <c r="U2" i="8"/>
  <c r="BD2" i="8"/>
  <c r="BI2" i="8"/>
  <c r="AL2" i="8"/>
  <c r="T2" i="8"/>
  <c r="BH2" i="8"/>
  <c r="AK2" i="8"/>
  <c r="R2" i="8"/>
  <c r="AF2" i="8"/>
  <c r="BG2" i="8"/>
  <c r="AJ2" i="8"/>
  <c r="N2" i="8"/>
  <c r="AG2" i="8"/>
  <c r="BE2" i="8"/>
  <c r="AI2" i="8"/>
  <c r="M2" i="8"/>
  <c r="Z2" i="8"/>
  <c r="Y2" i="8"/>
  <c r="I2" i="8"/>
  <c r="H2" i="8"/>
  <c r="F2" i="8"/>
  <c r="AW2" i="8"/>
  <c r="AV2" i="8"/>
  <c r="AU2" i="8"/>
  <c r="AD2" i="8"/>
  <c r="BB17" i="30"/>
  <c r="BB64" i="31"/>
  <c r="O20" i="35"/>
  <c r="BB26" i="31"/>
  <c r="D24" i="34"/>
  <c r="K26" i="31"/>
  <c r="K26" i="30"/>
  <c r="M26" i="30" s="1"/>
  <c r="J26" i="28"/>
  <c r="L26" i="28" s="1"/>
  <c r="K26" i="29"/>
  <c r="M26" i="29" s="1"/>
  <c r="BB37" i="29"/>
  <c r="D57" i="34"/>
  <c r="K59" i="31"/>
  <c r="K59" i="30"/>
  <c r="K59" i="29"/>
  <c r="M59" i="29" s="1"/>
  <c r="J59" i="28"/>
  <c r="L59" i="28" s="1"/>
  <c r="BA36" i="28"/>
  <c r="D15" i="34"/>
  <c r="K17" i="31"/>
  <c r="M17" i="31" s="1"/>
  <c r="K17" i="30"/>
  <c r="M17" i="30" s="1"/>
  <c r="K17" i="29"/>
  <c r="J17" i="28"/>
  <c r="L17" i="28" s="1"/>
  <c r="R17" i="3"/>
  <c r="I44" i="34"/>
  <c r="AE46" i="31"/>
  <c r="AE46" i="30"/>
  <c r="AG46" i="30" s="1"/>
  <c r="AD46" i="28"/>
  <c r="AE46" i="29"/>
  <c r="Y18" i="29"/>
  <c r="AH67" i="30"/>
  <c r="Y17" i="29"/>
  <c r="AK50" i="30"/>
  <c r="G20" i="34"/>
  <c r="W22" i="31"/>
  <c r="W22" i="30"/>
  <c r="W22" i="29"/>
  <c r="V22" i="28"/>
  <c r="X22" i="28" s="1"/>
  <c r="G16" i="34"/>
  <c r="W18" i="31"/>
  <c r="Y18" i="31" s="1"/>
  <c r="W18" i="30"/>
  <c r="Y18" i="30" s="1"/>
  <c r="W18" i="29"/>
  <c r="V18" i="28"/>
  <c r="X18" i="28" s="1"/>
  <c r="G33" i="34"/>
  <c r="W35" i="31"/>
  <c r="W35" i="30"/>
  <c r="Y35" i="30" s="1"/>
  <c r="W35" i="29"/>
  <c r="Y35" i="29" s="1"/>
  <c r="V35" i="28"/>
  <c r="Y16" i="30"/>
  <c r="Q67" i="28"/>
  <c r="Y62" i="30"/>
  <c r="M28" i="34"/>
  <c r="AU30" i="31"/>
  <c r="AU30" i="30"/>
  <c r="AW30" i="30" s="1"/>
  <c r="AU30" i="29"/>
  <c r="AW30" i="29" s="1"/>
  <c r="AT30" i="28"/>
  <c r="AV30" i="28" s="1"/>
  <c r="Y37" i="31"/>
  <c r="G17" i="34"/>
  <c r="W19" i="31"/>
  <c r="W19" i="30"/>
  <c r="Y19" i="30" s="1"/>
  <c r="W19" i="29"/>
  <c r="V19" i="28"/>
  <c r="X19" i="28" s="1"/>
  <c r="Y12" i="29"/>
  <c r="O62" i="35"/>
  <c r="AK34" i="29"/>
  <c r="AW58" i="31"/>
  <c r="AP67" i="31"/>
  <c r="AK67" i="28"/>
  <c r="D20" i="39"/>
  <c r="AG58" i="30"/>
  <c r="AL67" i="29"/>
  <c r="AW6" i="29"/>
  <c r="D18" i="39"/>
  <c r="D53" i="39"/>
  <c r="AJ52" i="28"/>
  <c r="AK28" i="30"/>
  <c r="AG7" i="31"/>
  <c r="R48" i="24"/>
  <c r="AT67" i="29"/>
  <c r="AG23" i="30"/>
  <c r="AK33" i="31"/>
  <c r="X35" i="28"/>
  <c r="J42" i="24"/>
  <c r="R42" i="24" s="1"/>
  <c r="J24" i="24"/>
  <c r="R24" i="24" s="1"/>
  <c r="J17" i="24"/>
  <c r="R17" i="24" s="1"/>
  <c r="J27" i="24"/>
  <c r="R27" i="24" s="1"/>
  <c r="J7" i="24"/>
  <c r="R7" i="24" s="1"/>
  <c r="AW13" i="30"/>
  <c r="D45" i="39"/>
  <c r="AK20" i="31"/>
  <c r="AG21" i="29"/>
  <c r="Y34" i="29"/>
  <c r="Y10" i="31"/>
  <c r="K70" i="17"/>
  <c r="R48" i="21"/>
  <c r="R41" i="13"/>
  <c r="R16" i="17"/>
  <c r="J58" i="24"/>
  <c r="R58" i="24" s="1"/>
  <c r="R64" i="17"/>
  <c r="R33" i="17"/>
  <c r="R69" i="17"/>
  <c r="R56" i="17"/>
  <c r="X33" i="28"/>
  <c r="Y9" i="30"/>
  <c r="AG41" i="30"/>
  <c r="Y56" i="30"/>
  <c r="J8" i="25"/>
  <c r="AG4" i="30"/>
  <c r="J60" i="24"/>
  <c r="R60" i="24" s="1"/>
  <c r="J6" i="15"/>
  <c r="R6" i="15" s="1"/>
  <c r="G70" i="15"/>
  <c r="I47" i="34"/>
  <c r="AE49" i="31"/>
  <c r="AE49" i="30"/>
  <c r="AG49" i="30" s="1"/>
  <c r="AD49" i="28"/>
  <c r="AE49" i="29"/>
  <c r="AG49" i="29" s="1"/>
  <c r="D52" i="39"/>
  <c r="AH67" i="31"/>
  <c r="AG14" i="30"/>
  <c r="D15" i="39"/>
  <c r="G70" i="17"/>
  <c r="J6" i="17"/>
  <c r="G19" i="34"/>
  <c r="W21" i="31"/>
  <c r="W21" i="30"/>
  <c r="W21" i="29"/>
  <c r="Y21" i="29" s="1"/>
  <c r="V21" i="28"/>
  <c r="X21" i="28" s="1"/>
  <c r="G12" i="34"/>
  <c r="W14" i="31"/>
  <c r="Y14" i="31" s="1"/>
  <c r="W14" i="30"/>
  <c r="W14" i="29"/>
  <c r="V14" i="28"/>
  <c r="G36" i="34"/>
  <c r="W38" i="31"/>
  <c r="Y38" i="31" s="1"/>
  <c r="W38" i="30"/>
  <c r="W38" i="29"/>
  <c r="V38" i="28"/>
  <c r="G57" i="34"/>
  <c r="W59" i="31"/>
  <c r="Y59" i="31" s="1"/>
  <c r="W59" i="30"/>
  <c r="Y59" i="30" s="1"/>
  <c r="W59" i="29"/>
  <c r="Y59" i="29" s="1"/>
  <c r="V59" i="28"/>
  <c r="X59" i="28" s="1"/>
  <c r="R16" i="15"/>
  <c r="Y16" i="31"/>
  <c r="R67" i="30"/>
  <c r="Y63" i="29"/>
  <c r="Y62" i="31"/>
  <c r="J26" i="24"/>
  <c r="R26" i="24" s="1"/>
  <c r="J38" i="24"/>
  <c r="R38" i="24" s="1"/>
  <c r="I9" i="34"/>
  <c r="AE11" i="31"/>
  <c r="AE11" i="30"/>
  <c r="AG11" i="30" s="1"/>
  <c r="AE11" i="29"/>
  <c r="AD11" i="28"/>
  <c r="J20" i="24"/>
  <c r="R20" i="24" s="1"/>
  <c r="M28" i="30"/>
  <c r="BC28" i="30"/>
  <c r="O2" i="35"/>
  <c r="BB42" i="31"/>
  <c r="M30" i="30"/>
  <c r="BC30" i="30"/>
  <c r="O4" i="35"/>
  <c r="BB35" i="31"/>
  <c r="M47" i="30"/>
  <c r="BC47" i="30"/>
  <c r="BB63" i="30"/>
  <c r="M65" i="30"/>
  <c r="BC65" i="30"/>
  <c r="O39" i="35"/>
  <c r="M5" i="29"/>
  <c r="BB46" i="31"/>
  <c r="BB10" i="31"/>
  <c r="BF13" i="8"/>
  <c r="AT13" i="8"/>
  <c r="AH13" i="8"/>
  <c r="V13" i="8"/>
  <c r="J13" i="8"/>
  <c r="BD13" i="8"/>
  <c r="AR13" i="8"/>
  <c r="AF13" i="8"/>
  <c r="T13" i="8"/>
  <c r="H13" i="8"/>
  <c r="BC13" i="8"/>
  <c r="AQ13" i="8"/>
  <c r="AE13" i="8"/>
  <c r="S13" i="8"/>
  <c r="G13" i="8"/>
  <c r="BN13" i="8"/>
  <c r="BB13" i="8"/>
  <c r="AP13" i="8"/>
  <c r="AD13" i="8"/>
  <c r="R13" i="8"/>
  <c r="F13" i="8"/>
  <c r="BM13" i="8"/>
  <c r="BA13" i="8"/>
  <c r="AO13" i="8"/>
  <c r="AC13" i="8"/>
  <c r="Q13" i="8"/>
  <c r="E13" i="8"/>
  <c r="BI13" i="8"/>
  <c r="AW13" i="8"/>
  <c r="AK13" i="8"/>
  <c r="Y13" i="8"/>
  <c r="M13" i="8"/>
  <c r="AX13" i="8"/>
  <c r="Z13" i="8"/>
  <c r="I13" i="8"/>
  <c r="AV13" i="8"/>
  <c r="X13" i="8"/>
  <c r="L13" i="8"/>
  <c r="BG13" i="8"/>
  <c r="AU13" i="8"/>
  <c r="W13" i="8"/>
  <c r="AI13" i="8"/>
  <c r="AS13" i="8"/>
  <c r="U13" i="8"/>
  <c r="BL13" i="8"/>
  <c r="AN13" i="8"/>
  <c r="P13" i="8"/>
  <c r="BH13" i="8"/>
  <c r="BE13" i="8"/>
  <c r="BK13" i="8"/>
  <c r="AM13" i="8"/>
  <c r="O13" i="8"/>
  <c r="AJ13" i="8"/>
  <c r="K13" i="8"/>
  <c r="BJ13" i="8"/>
  <c r="AL13" i="8"/>
  <c r="N13" i="8"/>
  <c r="AG13" i="8"/>
  <c r="AA13" i="8"/>
  <c r="AB13" i="8"/>
  <c r="AZ13" i="8"/>
  <c r="AY13" i="8"/>
  <c r="D13" i="8"/>
  <c r="C13" i="8"/>
  <c r="BB57" i="31"/>
  <c r="BB21" i="31"/>
  <c r="M51" i="29"/>
  <c r="J67" i="31"/>
  <c r="M59" i="30"/>
  <c r="BC59" i="30"/>
  <c r="BA15" i="28"/>
  <c r="BL31" i="8"/>
  <c r="AZ31" i="8"/>
  <c r="AN31" i="8"/>
  <c r="AB31" i="8"/>
  <c r="P31" i="8"/>
  <c r="D31" i="8"/>
  <c r="BJ31" i="8"/>
  <c r="AX31" i="8"/>
  <c r="AL31" i="8"/>
  <c r="Z31" i="8"/>
  <c r="N31" i="8"/>
  <c r="BI31" i="8"/>
  <c r="AW31" i="8"/>
  <c r="AK31" i="8"/>
  <c r="Y31" i="8"/>
  <c r="M31" i="8"/>
  <c r="BH31" i="8"/>
  <c r="AV31" i="8"/>
  <c r="AJ31" i="8"/>
  <c r="X31" i="8"/>
  <c r="L31" i="8"/>
  <c r="BF31" i="8"/>
  <c r="AT31" i="8"/>
  <c r="AH31" i="8"/>
  <c r="V31" i="8"/>
  <c r="J31" i="8"/>
  <c r="BG31" i="8"/>
  <c r="AO31" i="8"/>
  <c r="S31" i="8"/>
  <c r="BD31" i="8"/>
  <c r="AI31" i="8"/>
  <c r="Q31" i="8"/>
  <c r="BC31" i="8"/>
  <c r="AG31" i="8"/>
  <c r="O31" i="8"/>
  <c r="BB31" i="8"/>
  <c r="AF31" i="8"/>
  <c r="K31" i="8"/>
  <c r="BA31" i="8"/>
  <c r="AE31" i="8"/>
  <c r="I31" i="8"/>
  <c r="BN31" i="8"/>
  <c r="AR31" i="8"/>
  <c r="W31" i="8"/>
  <c r="E31" i="8"/>
  <c r="AA31" i="8"/>
  <c r="BM31" i="8"/>
  <c r="U31" i="8"/>
  <c r="BK31" i="8"/>
  <c r="T31" i="8"/>
  <c r="AQ31" i="8"/>
  <c r="BE31" i="8"/>
  <c r="R31" i="8"/>
  <c r="AY31" i="8"/>
  <c r="H31" i="8"/>
  <c r="AU31" i="8"/>
  <c r="G31" i="8"/>
  <c r="C31" i="8"/>
  <c r="AP31" i="8"/>
  <c r="AM31" i="8"/>
  <c r="AS31" i="8"/>
  <c r="F31" i="8"/>
  <c r="AD31" i="8"/>
  <c r="AC31" i="8"/>
  <c r="BL22" i="8"/>
  <c r="AZ22" i="8"/>
  <c r="AN22" i="8"/>
  <c r="AB22" i="8"/>
  <c r="P22" i="8"/>
  <c r="BH22" i="8"/>
  <c r="AV22" i="8"/>
  <c r="AJ22" i="8"/>
  <c r="X22" i="8"/>
  <c r="L22" i="8"/>
  <c r="BF22" i="8"/>
  <c r="AT22" i="8"/>
  <c r="AH22" i="8"/>
  <c r="V22" i="8"/>
  <c r="J22" i="8"/>
  <c r="BD22" i="8"/>
  <c r="AO22" i="8"/>
  <c r="Y22" i="8"/>
  <c r="H22" i="8"/>
  <c r="BB22" i="8"/>
  <c r="AL22" i="8"/>
  <c r="U22" i="8"/>
  <c r="F22" i="8"/>
  <c r="BA22" i="8"/>
  <c r="AK22" i="8"/>
  <c r="T22" i="8"/>
  <c r="E22" i="8"/>
  <c r="AY22" i="8"/>
  <c r="AI22" i="8"/>
  <c r="S22" i="8"/>
  <c r="D22" i="8"/>
  <c r="BN22" i="8"/>
  <c r="AX22" i="8"/>
  <c r="AG22" i="8"/>
  <c r="R22" i="8"/>
  <c r="C22" i="8"/>
  <c r="BI22" i="8"/>
  <c r="AR22" i="8"/>
  <c r="AC22" i="8"/>
  <c r="M22" i="8"/>
  <c r="BJ22" i="8"/>
  <c r="AD22" i="8"/>
  <c r="BG22" i="8"/>
  <c r="AA22" i="8"/>
  <c r="AP22" i="8"/>
  <c r="AM22" i="8"/>
  <c r="BE22" i="8"/>
  <c r="Z22" i="8"/>
  <c r="BC22" i="8"/>
  <c r="W22" i="8"/>
  <c r="G22" i="8"/>
  <c r="AW22" i="8"/>
  <c r="Q22" i="8"/>
  <c r="K22" i="8"/>
  <c r="AU22" i="8"/>
  <c r="O22" i="8"/>
  <c r="I22" i="8"/>
  <c r="AS22" i="8"/>
  <c r="N22" i="8"/>
  <c r="AQ22" i="8"/>
  <c r="AF22" i="8"/>
  <c r="BM22" i="8"/>
  <c r="BK22" i="8"/>
  <c r="AE22" i="8"/>
  <c r="L39" i="28"/>
  <c r="BB44" i="30"/>
  <c r="BA4" i="28"/>
  <c r="BB31" i="29"/>
  <c r="BB53" i="29"/>
  <c r="BB18" i="31"/>
  <c r="O32" i="35"/>
  <c r="BJ52" i="8"/>
  <c r="AX52" i="8"/>
  <c r="AL52" i="8"/>
  <c r="Z52" i="8"/>
  <c r="N52" i="8"/>
  <c r="BI52" i="8"/>
  <c r="AW52" i="8"/>
  <c r="AK52" i="8"/>
  <c r="Y52" i="8"/>
  <c r="M52" i="8"/>
  <c r="BA52" i="8"/>
  <c r="AM52" i="8"/>
  <c r="W52" i="8"/>
  <c r="I52" i="8"/>
  <c r="BM52" i="8"/>
  <c r="AY52" i="8"/>
  <c r="AI52" i="8"/>
  <c r="U52" i="8"/>
  <c r="G52" i="8"/>
  <c r="BL52" i="8"/>
  <c r="AV52" i="8"/>
  <c r="AH52" i="8"/>
  <c r="T52" i="8"/>
  <c r="F52" i="8"/>
  <c r="BK52" i="8"/>
  <c r="AU52" i="8"/>
  <c r="AG52" i="8"/>
  <c r="S52" i="8"/>
  <c r="E52" i="8"/>
  <c r="BG52" i="8"/>
  <c r="AS52" i="8"/>
  <c r="AE52" i="8"/>
  <c r="Q52" i="8"/>
  <c r="C52" i="8"/>
  <c r="AQ52" i="8"/>
  <c r="R52" i="8"/>
  <c r="BN52" i="8"/>
  <c r="AO52" i="8"/>
  <c r="O52" i="8"/>
  <c r="BH52" i="8"/>
  <c r="AN52" i="8"/>
  <c r="L52" i="8"/>
  <c r="BF52" i="8"/>
  <c r="AJ52" i="8"/>
  <c r="K52" i="8"/>
  <c r="BE52" i="8"/>
  <c r="AF52" i="8"/>
  <c r="J52" i="8"/>
  <c r="AZ52" i="8"/>
  <c r="AA52" i="8"/>
  <c r="BB52" i="8"/>
  <c r="AT52" i="8"/>
  <c r="AR52" i="8"/>
  <c r="AP52" i="8"/>
  <c r="X52" i="8"/>
  <c r="AD52" i="8"/>
  <c r="V52" i="8"/>
  <c r="AC52" i="8"/>
  <c r="P52" i="8"/>
  <c r="AB52" i="8"/>
  <c r="BC52" i="8"/>
  <c r="BD52" i="8"/>
  <c r="H52" i="8"/>
  <c r="D52" i="8"/>
  <c r="L60" i="28"/>
  <c r="BC36" i="30"/>
  <c r="M36" i="30"/>
  <c r="O10" i="35"/>
  <c r="BB17" i="31"/>
  <c r="BA51" i="28"/>
  <c r="O55" i="35"/>
  <c r="M21" i="29"/>
  <c r="BA62" i="28"/>
  <c r="BA14" i="28"/>
  <c r="O54" i="35"/>
  <c r="M20" i="29"/>
  <c r="BB37" i="30"/>
  <c r="M55" i="30"/>
  <c r="BC55" i="30"/>
  <c r="O29" i="35"/>
  <c r="D32" i="34"/>
  <c r="K34" i="31"/>
  <c r="M34" i="31" s="1"/>
  <c r="K34" i="30"/>
  <c r="M34" i="30" s="1"/>
  <c r="K34" i="29"/>
  <c r="J34" i="28"/>
  <c r="L34" i="28" s="1"/>
  <c r="BB36" i="29"/>
  <c r="J70" i="1"/>
  <c r="M30" i="34"/>
  <c r="AU32" i="31"/>
  <c r="AW32" i="31" s="1"/>
  <c r="AU32" i="30"/>
  <c r="AW32" i="30" s="1"/>
  <c r="AU32" i="29"/>
  <c r="AW32" i="29" s="1"/>
  <c r="AT32" i="28"/>
  <c r="AV32" i="28" s="1"/>
  <c r="M28" i="31"/>
  <c r="BA66" i="28"/>
  <c r="BA59" i="28"/>
  <c r="BA23" i="28"/>
  <c r="BB63" i="31"/>
  <c r="BC5" i="30"/>
  <c r="BA34" i="28"/>
  <c r="BA45" i="28"/>
  <c r="BA9" i="28"/>
  <c r="BC51" i="30"/>
  <c r="M51" i="30"/>
  <c r="O1" i="35"/>
  <c r="M59" i="31"/>
  <c r="BB15" i="29"/>
  <c r="BL43" i="8"/>
  <c r="AZ43" i="8"/>
  <c r="AN43" i="8"/>
  <c r="AB43" i="8"/>
  <c r="P43" i="8"/>
  <c r="D43" i="8"/>
  <c r="BJ43" i="8"/>
  <c r="AX43" i="8"/>
  <c r="AL43" i="8"/>
  <c r="Z43" i="8"/>
  <c r="N43" i="8"/>
  <c r="BI43" i="8"/>
  <c r="AW43" i="8"/>
  <c r="AK43" i="8"/>
  <c r="Y43" i="8"/>
  <c r="M43" i="8"/>
  <c r="BH43" i="8"/>
  <c r="AV43" i="8"/>
  <c r="AJ43" i="8"/>
  <c r="X43" i="8"/>
  <c r="L43" i="8"/>
  <c r="BF43" i="8"/>
  <c r="AT43" i="8"/>
  <c r="AH43" i="8"/>
  <c r="V43" i="8"/>
  <c r="J43" i="8"/>
  <c r="BB43" i="8"/>
  <c r="AF43" i="8"/>
  <c r="K43" i="8"/>
  <c r="AY43" i="8"/>
  <c r="AD43" i="8"/>
  <c r="H43" i="8"/>
  <c r="AU43" i="8"/>
  <c r="AC43" i="8"/>
  <c r="G43" i="8"/>
  <c r="AS43" i="8"/>
  <c r="AA43" i="8"/>
  <c r="F43" i="8"/>
  <c r="BN43" i="8"/>
  <c r="AR43" i="8"/>
  <c r="W43" i="8"/>
  <c r="E43" i="8"/>
  <c r="BE43" i="8"/>
  <c r="AM43" i="8"/>
  <c r="R43" i="8"/>
  <c r="AO43" i="8"/>
  <c r="AI43" i="8"/>
  <c r="O43" i="8"/>
  <c r="I43" i="8"/>
  <c r="AG43" i="8"/>
  <c r="BD43" i="8"/>
  <c r="AE43" i="8"/>
  <c r="BM43" i="8"/>
  <c r="U43" i="8"/>
  <c r="BK43" i="8"/>
  <c r="T43" i="8"/>
  <c r="Q43" i="8"/>
  <c r="BC43" i="8"/>
  <c r="BA43" i="8"/>
  <c r="BG43" i="8"/>
  <c r="S43" i="8"/>
  <c r="C43" i="8"/>
  <c r="AQ43" i="8"/>
  <c r="AP43" i="8"/>
  <c r="BL34" i="8"/>
  <c r="AZ34" i="8"/>
  <c r="AN34" i="8"/>
  <c r="AB34" i="8"/>
  <c r="P34" i="8"/>
  <c r="D34" i="8"/>
  <c r="BJ34" i="8"/>
  <c r="AX34" i="8"/>
  <c r="AL34" i="8"/>
  <c r="Z34" i="8"/>
  <c r="N34" i="8"/>
  <c r="BI34" i="8"/>
  <c r="AW34" i="8"/>
  <c r="AK34" i="8"/>
  <c r="Y34" i="8"/>
  <c r="M34" i="8"/>
  <c r="BH34" i="8"/>
  <c r="AV34" i="8"/>
  <c r="AJ34" i="8"/>
  <c r="X34" i="8"/>
  <c r="L34" i="8"/>
  <c r="BF34" i="8"/>
  <c r="AT34" i="8"/>
  <c r="AH34" i="8"/>
  <c r="V34" i="8"/>
  <c r="J34" i="8"/>
  <c r="BB34" i="8"/>
  <c r="AF34" i="8"/>
  <c r="K34" i="8"/>
  <c r="AY34" i="8"/>
  <c r="AD34" i="8"/>
  <c r="H34" i="8"/>
  <c r="AU34" i="8"/>
  <c r="AC34" i="8"/>
  <c r="G34" i="8"/>
  <c r="AS34" i="8"/>
  <c r="AA34" i="8"/>
  <c r="F34" i="8"/>
  <c r="BN34" i="8"/>
  <c r="AR34" i="8"/>
  <c r="W34" i="8"/>
  <c r="E34" i="8"/>
  <c r="BE34" i="8"/>
  <c r="AM34" i="8"/>
  <c r="R34" i="8"/>
  <c r="AO34" i="8"/>
  <c r="BC34" i="8"/>
  <c r="AI34" i="8"/>
  <c r="BD34" i="8"/>
  <c r="BA34" i="8"/>
  <c r="AG34" i="8"/>
  <c r="AE34" i="8"/>
  <c r="O34" i="8"/>
  <c r="BM34" i="8"/>
  <c r="U34" i="8"/>
  <c r="BK34" i="8"/>
  <c r="T34" i="8"/>
  <c r="BG34" i="8"/>
  <c r="S34" i="8"/>
  <c r="Q34" i="8"/>
  <c r="I34" i="8"/>
  <c r="AQ34" i="8"/>
  <c r="AP34" i="8"/>
  <c r="C34" i="8"/>
  <c r="BB44" i="31"/>
  <c r="BB4" i="29"/>
  <c r="M38" i="30"/>
  <c r="BC38" i="30"/>
  <c r="O12" i="35"/>
  <c r="BB31" i="30"/>
  <c r="BB53" i="30"/>
  <c r="O47" i="35"/>
  <c r="BA6" i="28"/>
  <c r="BA39" i="28"/>
  <c r="BL28" i="8"/>
  <c r="AZ28" i="8"/>
  <c r="AN28" i="8"/>
  <c r="AB28" i="8"/>
  <c r="P28" i="8"/>
  <c r="D28" i="8"/>
  <c r="BJ28" i="8"/>
  <c r="AX28" i="8"/>
  <c r="AL28" i="8"/>
  <c r="Z28" i="8"/>
  <c r="N28" i="8"/>
  <c r="BI28" i="8"/>
  <c r="BH28" i="8"/>
  <c r="AV28" i="8"/>
  <c r="AJ28" i="8"/>
  <c r="X28" i="8"/>
  <c r="L28" i="8"/>
  <c r="BF28" i="8"/>
  <c r="AT28" i="8"/>
  <c r="AH28" i="8"/>
  <c r="V28" i="8"/>
  <c r="J28" i="8"/>
  <c r="AU28" i="8"/>
  <c r="AD28" i="8"/>
  <c r="K28" i="8"/>
  <c r="BM28" i="8"/>
  <c r="AR28" i="8"/>
  <c r="AA28" i="8"/>
  <c r="H28" i="8"/>
  <c r="BK28" i="8"/>
  <c r="AQ28" i="8"/>
  <c r="Y28" i="8"/>
  <c r="G28" i="8"/>
  <c r="BG28" i="8"/>
  <c r="AP28" i="8"/>
  <c r="W28" i="8"/>
  <c r="F28" i="8"/>
  <c r="BE28" i="8"/>
  <c r="AO28" i="8"/>
  <c r="U28" i="8"/>
  <c r="E28" i="8"/>
  <c r="BA28" i="8"/>
  <c r="AG28" i="8"/>
  <c r="Q28" i="8"/>
  <c r="BB28" i="8"/>
  <c r="R28" i="8"/>
  <c r="AC28" i="8"/>
  <c r="AY28" i="8"/>
  <c r="O28" i="8"/>
  <c r="AE28" i="8"/>
  <c r="AW28" i="8"/>
  <c r="M28" i="8"/>
  <c r="AS28" i="8"/>
  <c r="I28" i="8"/>
  <c r="BN28" i="8"/>
  <c r="AM28" i="8"/>
  <c r="C28" i="8"/>
  <c r="AK28" i="8"/>
  <c r="AF28" i="8"/>
  <c r="AI28" i="8"/>
  <c r="BD28" i="8"/>
  <c r="BC28" i="8"/>
  <c r="T28" i="8"/>
  <c r="S28" i="8"/>
  <c r="BA65" i="28"/>
  <c r="BA5" i="28"/>
  <c r="BB51" i="29"/>
  <c r="BC21" i="30"/>
  <c r="M21" i="30"/>
  <c r="BB62" i="29"/>
  <c r="BB14" i="29"/>
  <c r="BC20" i="30"/>
  <c r="F70" i="3"/>
  <c r="G6" i="3"/>
  <c r="BB37" i="31"/>
  <c r="D3" i="34"/>
  <c r="K5" i="30"/>
  <c r="M5" i="30" s="1"/>
  <c r="K5" i="31"/>
  <c r="M5" i="31" s="1"/>
  <c r="K5" i="29"/>
  <c r="J5" i="28"/>
  <c r="L5" i="28" s="1"/>
  <c r="BC19" i="30"/>
  <c r="M19" i="30"/>
  <c r="D21" i="34"/>
  <c r="K23" i="31"/>
  <c r="K23" i="30"/>
  <c r="M23" i="30" s="1"/>
  <c r="K23" i="29"/>
  <c r="M23" i="29" s="1"/>
  <c r="J23" i="28"/>
  <c r="L23" i="28" s="1"/>
  <c r="BB36" i="30"/>
  <c r="D9" i="34"/>
  <c r="K11" i="31"/>
  <c r="K11" i="30"/>
  <c r="K11" i="29"/>
  <c r="J11" i="28"/>
  <c r="L11" i="28" s="1"/>
  <c r="G70" i="5"/>
  <c r="J6" i="5"/>
  <c r="R17" i="13"/>
  <c r="R47" i="13"/>
  <c r="R65" i="15"/>
  <c r="R65" i="21"/>
  <c r="J4" i="34"/>
  <c r="AI6" i="31"/>
  <c r="AK6" i="31" s="1"/>
  <c r="AI6" i="30"/>
  <c r="AK6" i="30" s="1"/>
  <c r="AI6" i="29"/>
  <c r="AK6" i="29" s="1"/>
  <c r="AH6" i="28"/>
  <c r="AJ6" i="28" s="1"/>
  <c r="R39" i="17"/>
  <c r="J21" i="34"/>
  <c r="AI23" i="31"/>
  <c r="AI23" i="30"/>
  <c r="AI23" i="29"/>
  <c r="AK23" i="29" s="1"/>
  <c r="AH23" i="28"/>
  <c r="J57" i="34"/>
  <c r="AI59" i="31"/>
  <c r="AK59" i="31" s="1"/>
  <c r="AI59" i="29"/>
  <c r="AK59" i="29" s="1"/>
  <c r="AI59" i="30"/>
  <c r="AK59" i="30" s="1"/>
  <c r="AH59" i="28"/>
  <c r="AJ59" i="28" s="1"/>
  <c r="I7" i="34"/>
  <c r="AE9" i="31"/>
  <c r="AE9" i="30"/>
  <c r="AE9" i="29"/>
  <c r="AD9" i="28"/>
  <c r="AF9" i="28" s="1"/>
  <c r="Y17" i="30"/>
  <c r="D39" i="39"/>
  <c r="AG37" i="30"/>
  <c r="I6" i="34"/>
  <c r="AE8" i="31"/>
  <c r="AE8" i="29"/>
  <c r="AE8" i="30"/>
  <c r="AG8" i="30" s="1"/>
  <c r="AD8" i="28"/>
  <c r="AF8" i="28" s="1"/>
  <c r="R51" i="11"/>
  <c r="G63" i="34"/>
  <c r="W65" i="31"/>
  <c r="W65" i="30"/>
  <c r="V65" i="28"/>
  <c r="X65" i="28" s="1"/>
  <c r="W65" i="29"/>
  <c r="Y40" i="31"/>
  <c r="Y63" i="31"/>
  <c r="V67" i="29"/>
  <c r="R49" i="21"/>
  <c r="M25" i="34"/>
  <c r="AU27" i="31"/>
  <c r="AU27" i="30"/>
  <c r="AU27" i="29"/>
  <c r="AW27" i="29" s="1"/>
  <c r="AT27" i="28"/>
  <c r="AV27" i="28" s="1"/>
  <c r="R32" i="24"/>
  <c r="Y36" i="30"/>
  <c r="BC52" i="30"/>
  <c r="O26" i="35"/>
  <c r="O28" i="35"/>
  <c r="BB23" i="30"/>
  <c r="O45" i="35"/>
  <c r="E67" i="28"/>
  <c r="BA3" i="28"/>
  <c r="O63" i="35"/>
  <c r="BB34" i="29"/>
  <c r="BB45" i="29"/>
  <c r="BB9" i="29"/>
  <c r="BA56" i="28"/>
  <c r="O57" i="35"/>
  <c r="BB15" i="30"/>
  <c r="BJ55" i="8"/>
  <c r="AX55" i="8"/>
  <c r="AL55" i="8"/>
  <c r="Z55" i="8"/>
  <c r="N55" i="8"/>
  <c r="BI55" i="8"/>
  <c r="AW55" i="8"/>
  <c r="AK55" i="8"/>
  <c r="Y55" i="8"/>
  <c r="M55" i="8"/>
  <c r="BK55" i="8"/>
  <c r="AU55" i="8"/>
  <c r="AG55" i="8"/>
  <c r="S55" i="8"/>
  <c r="E55" i="8"/>
  <c r="BG55" i="8"/>
  <c r="AS55" i="8"/>
  <c r="AE55" i="8"/>
  <c r="Q55" i="8"/>
  <c r="C55" i="8"/>
  <c r="BF55" i="8"/>
  <c r="AR55" i="8"/>
  <c r="AD55" i="8"/>
  <c r="P55" i="8"/>
  <c r="BE55" i="8"/>
  <c r="AQ55" i="8"/>
  <c r="AC55" i="8"/>
  <c r="O55" i="8"/>
  <c r="BC55" i="8"/>
  <c r="AO55" i="8"/>
  <c r="AA55" i="8"/>
  <c r="K55" i="8"/>
  <c r="AY55" i="8"/>
  <c r="W55" i="8"/>
  <c r="AT55" i="8"/>
  <c r="U55" i="8"/>
  <c r="AP55" i="8"/>
  <c r="T55" i="8"/>
  <c r="BN55" i="8"/>
  <c r="AN55" i="8"/>
  <c r="R55" i="8"/>
  <c r="BM55" i="8"/>
  <c r="AM55" i="8"/>
  <c r="L55" i="8"/>
  <c r="BB55" i="8"/>
  <c r="AF55" i="8"/>
  <c r="G55" i="8"/>
  <c r="BD55" i="8"/>
  <c r="H55" i="8"/>
  <c r="BA55" i="8"/>
  <c r="F55" i="8"/>
  <c r="X55" i="8"/>
  <c r="V55" i="8"/>
  <c r="AZ55" i="8"/>
  <c r="D55" i="8"/>
  <c r="AB55" i="8"/>
  <c r="AV55" i="8"/>
  <c r="AJ55" i="8"/>
  <c r="AI55" i="8"/>
  <c r="AH55" i="8"/>
  <c r="BH55" i="8"/>
  <c r="J55" i="8"/>
  <c r="I55" i="8"/>
  <c r="BL55" i="8"/>
  <c r="BL46" i="8"/>
  <c r="AZ46" i="8"/>
  <c r="AN46" i="8"/>
  <c r="AB46" i="8"/>
  <c r="P46" i="8"/>
  <c r="D46" i="8"/>
  <c r="BJ46" i="8"/>
  <c r="AX46" i="8"/>
  <c r="AL46" i="8"/>
  <c r="Z46" i="8"/>
  <c r="N46" i="8"/>
  <c r="BI46" i="8"/>
  <c r="AW46" i="8"/>
  <c r="AK46" i="8"/>
  <c r="Y46" i="8"/>
  <c r="M46" i="8"/>
  <c r="BH46" i="8"/>
  <c r="AV46" i="8"/>
  <c r="AJ46" i="8"/>
  <c r="X46" i="8"/>
  <c r="L46" i="8"/>
  <c r="BF46" i="8"/>
  <c r="AT46" i="8"/>
  <c r="AH46" i="8"/>
  <c r="V46" i="8"/>
  <c r="J46" i="8"/>
  <c r="AS46" i="8"/>
  <c r="AA46" i="8"/>
  <c r="F46" i="8"/>
  <c r="BM46" i="8"/>
  <c r="AQ46" i="8"/>
  <c r="U46" i="8"/>
  <c r="C46" i="8"/>
  <c r="BK46" i="8"/>
  <c r="AP46" i="8"/>
  <c r="T46" i="8"/>
  <c r="BG46" i="8"/>
  <c r="AO46" i="8"/>
  <c r="S46" i="8"/>
  <c r="BE46" i="8"/>
  <c r="AM46" i="8"/>
  <c r="R46" i="8"/>
  <c r="BA46" i="8"/>
  <c r="AE46" i="8"/>
  <c r="I46" i="8"/>
  <c r="BB46" i="8"/>
  <c r="K46" i="8"/>
  <c r="AC46" i="8"/>
  <c r="AY46" i="8"/>
  <c r="H46" i="8"/>
  <c r="AU46" i="8"/>
  <c r="G46" i="8"/>
  <c r="W46" i="8"/>
  <c r="AR46" i="8"/>
  <c r="E46" i="8"/>
  <c r="BN46" i="8"/>
  <c r="AI46" i="8"/>
  <c r="AG46" i="8"/>
  <c r="AF46" i="8"/>
  <c r="AD46" i="8"/>
  <c r="BC46" i="8"/>
  <c r="BD46" i="8"/>
  <c r="O46" i="8"/>
  <c r="Q46" i="8"/>
  <c r="M67" i="28"/>
  <c r="BC39" i="30"/>
  <c r="M39" i="30"/>
  <c r="BA32" i="28"/>
  <c r="BB4" i="30"/>
  <c r="M58" i="30"/>
  <c r="BC58" i="30"/>
  <c r="BB31" i="31"/>
  <c r="BB53" i="31"/>
  <c r="M11" i="29"/>
  <c r="C3" i="8" a="1"/>
  <c r="F70" i="7"/>
  <c r="G6" i="7"/>
  <c r="L37" i="28"/>
  <c r="BC13" i="30"/>
  <c r="M13" i="30"/>
  <c r="BB6" i="29"/>
  <c r="BC23" i="30"/>
  <c r="BB39" i="29"/>
  <c r="M60" i="30"/>
  <c r="BC60" i="30"/>
  <c r="O34" i="35"/>
  <c r="BB65" i="29"/>
  <c r="BB5" i="29"/>
  <c r="BB51" i="30"/>
  <c r="BB62" i="30"/>
  <c r="BB14" i="30"/>
  <c r="BA61" i="28"/>
  <c r="BA25" i="28"/>
  <c r="O53" i="35"/>
  <c r="BB36" i="31"/>
  <c r="E70" i="5"/>
  <c r="F70" i="5" s="1"/>
  <c r="AG65" i="30"/>
  <c r="M35" i="34"/>
  <c r="AU37" i="31"/>
  <c r="AW37" i="31" s="1"/>
  <c r="AU37" i="30"/>
  <c r="AW37" i="30" s="1"/>
  <c r="AT37" i="28"/>
  <c r="AV37" i="28" s="1"/>
  <c r="AU37" i="29"/>
  <c r="I17" i="34"/>
  <c r="AE19" i="31"/>
  <c r="AG19" i="31" s="1"/>
  <c r="AE19" i="30"/>
  <c r="AG19" i="30" s="1"/>
  <c r="AE19" i="29"/>
  <c r="AG19" i="29" s="1"/>
  <c r="AD19" i="28"/>
  <c r="AF19" i="28" s="1"/>
  <c r="R14" i="24"/>
  <c r="G25" i="34"/>
  <c r="W27" i="31"/>
  <c r="Y27" i="31" s="1"/>
  <c r="W27" i="30"/>
  <c r="W27" i="29"/>
  <c r="Y27" i="29" s="1"/>
  <c r="V27" i="28"/>
  <c r="X27" i="28" s="1"/>
  <c r="G11" i="34"/>
  <c r="W13" i="31"/>
  <c r="W13" i="30"/>
  <c r="W13" i="29"/>
  <c r="V13" i="28"/>
  <c r="X13" i="28" s="1"/>
  <c r="Y64" i="29"/>
  <c r="BB66" i="29"/>
  <c r="BC54" i="30"/>
  <c r="M54" i="30"/>
  <c r="BB59" i="29"/>
  <c r="D48" i="39"/>
  <c r="AK23" i="30"/>
  <c r="T4" i="19"/>
  <c r="T11" i="19"/>
  <c r="AW47" i="31"/>
  <c r="R56" i="24"/>
  <c r="D44" i="39"/>
  <c r="AF46" i="28"/>
  <c r="AW31" i="31"/>
  <c r="AK42" i="30"/>
  <c r="AK17" i="31"/>
  <c r="AV65" i="28"/>
  <c r="AK52" i="31"/>
  <c r="D17" i="39"/>
  <c r="AG55" i="30"/>
  <c r="AW28" i="30"/>
  <c r="AG24" i="29"/>
  <c r="AW51" i="29"/>
  <c r="AW27" i="31"/>
  <c r="AF11" i="28"/>
  <c r="R13" i="21"/>
  <c r="Y35" i="31"/>
  <c r="Y58" i="30"/>
  <c r="J27" i="25"/>
  <c r="AG8" i="29"/>
  <c r="J7" i="13"/>
  <c r="G70" i="13"/>
  <c r="R50" i="13"/>
  <c r="R17" i="17"/>
  <c r="J16" i="34"/>
  <c r="AI18" i="31"/>
  <c r="AK18" i="31" s="1"/>
  <c r="AI18" i="30"/>
  <c r="AI18" i="29"/>
  <c r="AK18" i="29" s="1"/>
  <c r="AH18" i="28"/>
  <c r="R42" i="17"/>
  <c r="J24" i="34"/>
  <c r="AI26" i="31"/>
  <c r="AK26" i="31" s="1"/>
  <c r="AI26" i="30"/>
  <c r="AI26" i="29"/>
  <c r="AH26" i="28"/>
  <c r="AJ26" i="28" s="1"/>
  <c r="J60" i="34"/>
  <c r="AI62" i="31"/>
  <c r="AK62" i="31" s="1"/>
  <c r="AI62" i="30"/>
  <c r="AK62" i="30" s="1"/>
  <c r="AI62" i="29"/>
  <c r="AH62" i="28"/>
  <c r="AG18" i="30"/>
  <c r="AG65" i="31"/>
  <c r="AF29" i="28"/>
  <c r="AG5" i="30"/>
  <c r="J21" i="24"/>
  <c r="R21" i="24" s="1"/>
  <c r="AG52" i="29"/>
  <c r="R67" i="15"/>
  <c r="Y19" i="29"/>
  <c r="I20" i="34"/>
  <c r="AE22" i="31"/>
  <c r="AE22" i="30"/>
  <c r="AG22" i="30" s="1"/>
  <c r="AE22" i="29"/>
  <c r="AG22" i="29" s="1"/>
  <c r="AD22" i="28"/>
  <c r="AF22" i="28" s="1"/>
  <c r="I10" i="34"/>
  <c r="AE12" i="31"/>
  <c r="AG12" i="31" s="1"/>
  <c r="AE12" i="30"/>
  <c r="AG12" i="30" s="1"/>
  <c r="AE12" i="29"/>
  <c r="AG12" i="29" s="1"/>
  <c r="AD12" i="28"/>
  <c r="AF12" i="28" s="1"/>
  <c r="X6" i="28"/>
  <c r="D16" i="39"/>
  <c r="Y65" i="29"/>
  <c r="Y41" i="30"/>
  <c r="D50" i="39"/>
  <c r="AG37" i="31"/>
  <c r="I52" i="34"/>
  <c r="AE54" i="31"/>
  <c r="AG54" i="31" s="1"/>
  <c r="AE54" i="30"/>
  <c r="AG54" i="30" s="1"/>
  <c r="AE54" i="29"/>
  <c r="AG54" i="29" s="1"/>
  <c r="AD54" i="28"/>
  <c r="AF54" i="28" s="1"/>
  <c r="G28" i="34"/>
  <c r="W30" i="31"/>
  <c r="W30" i="30"/>
  <c r="Y30" i="30" s="1"/>
  <c r="W30" i="29"/>
  <c r="Y30" i="29" s="1"/>
  <c r="V30" i="28"/>
  <c r="R60" i="11"/>
  <c r="R46" i="11"/>
  <c r="Y4" i="30"/>
  <c r="V67" i="30"/>
  <c r="J10" i="24"/>
  <c r="R10" i="24" s="1"/>
  <c r="J13" i="24"/>
  <c r="R13" i="24" s="1"/>
  <c r="Y25" i="29"/>
  <c r="Y36" i="31"/>
  <c r="R34" i="11"/>
  <c r="BB66" i="30"/>
  <c r="BL40" i="8"/>
  <c r="AZ40" i="8"/>
  <c r="AN40" i="8"/>
  <c r="AB40" i="8"/>
  <c r="P40" i="8"/>
  <c r="D40" i="8"/>
  <c r="BJ40" i="8"/>
  <c r="AX40" i="8"/>
  <c r="AL40" i="8"/>
  <c r="Z40" i="8"/>
  <c r="N40" i="8"/>
  <c r="BI40" i="8"/>
  <c r="AW40" i="8"/>
  <c r="AK40" i="8"/>
  <c r="Y40" i="8"/>
  <c r="M40" i="8"/>
  <c r="BH40" i="8"/>
  <c r="AV40" i="8"/>
  <c r="AJ40" i="8"/>
  <c r="X40" i="8"/>
  <c r="L40" i="8"/>
  <c r="BF40" i="8"/>
  <c r="AT40" i="8"/>
  <c r="AH40" i="8"/>
  <c r="V40" i="8"/>
  <c r="J40" i="8"/>
  <c r="BG40" i="8"/>
  <c r="AO40" i="8"/>
  <c r="S40" i="8"/>
  <c r="BD40" i="8"/>
  <c r="AI40" i="8"/>
  <c r="Q40" i="8"/>
  <c r="BC40" i="8"/>
  <c r="AG40" i="8"/>
  <c r="O40" i="8"/>
  <c r="BB40" i="8"/>
  <c r="AF40" i="8"/>
  <c r="K40" i="8"/>
  <c r="BA40" i="8"/>
  <c r="AE40" i="8"/>
  <c r="I40" i="8"/>
  <c r="BN40" i="8"/>
  <c r="AR40" i="8"/>
  <c r="W40" i="8"/>
  <c r="E40" i="8"/>
  <c r="AA40" i="8"/>
  <c r="AP40" i="8"/>
  <c r="AM40" i="8"/>
  <c r="BM40" i="8"/>
  <c r="U40" i="8"/>
  <c r="BK40" i="8"/>
  <c r="T40" i="8"/>
  <c r="BE40" i="8"/>
  <c r="R40" i="8"/>
  <c r="AY40" i="8"/>
  <c r="H40" i="8"/>
  <c r="AQ40" i="8"/>
  <c r="AU40" i="8"/>
  <c r="G40" i="8"/>
  <c r="C40" i="8"/>
  <c r="AS40" i="8"/>
  <c r="F40" i="8"/>
  <c r="AD40" i="8"/>
  <c r="AC40" i="8"/>
  <c r="L18" i="28"/>
  <c r="BB59" i="30"/>
  <c r="BB23" i="29"/>
  <c r="BA52" i="28"/>
  <c r="F67" i="29"/>
  <c r="BB3" i="29"/>
  <c r="BC53" i="30"/>
  <c r="M53" i="30"/>
  <c r="BC29" i="30"/>
  <c r="M29" i="30"/>
  <c r="O3" i="35"/>
  <c r="BB34" i="30"/>
  <c r="BB45" i="30"/>
  <c r="BB9" i="30"/>
  <c r="O49" i="35"/>
  <c r="BB56" i="29"/>
  <c r="BA28" i="28"/>
  <c r="BB15" i="31"/>
  <c r="BD20" i="8"/>
  <c r="AR20" i="8"/>
  <c r="AF20" i="8"/>
  <c r="T20" i="8"/>
  <c r="H20" i="8"/>
  <c r="BB20" i="8"/>
  <c r="AO20" i="8"/>
  <c r="AB20" i="8"/>
  <c r="O20" i="8"/>
  <c r="BM20" i="8"/>
  <c r="AZ20" i="8"/>
  <c r="AM20" i="8"/>
  <c r="Z20" i="8"/>
  <c r="M20" i="8"/>
  <c r="BL20" i="8"/>
  <c r="AY20" i="8"/>
  <c r="AL20" i="8"/>
  <c r="Y20" i="8"/>
  <c r="L20" i="8"/>
  <c r="BK20" i="8"/>
  <c r="AX20" i="8"/>
  <c r="AK20" i="8"/>
  <c r="X20" i="8"/>
  <c r="K20" i="8"/>
  <c r="BJ20" i="8"/>
  <c r="AW20" i="8"/>
  <c r="AJ20" i="8"/>
  <c r="W20" i="8"/>
  <c r="J20" i="8"/>
  <c r="BF20" i="8"/>
  <c r="AS20" i="8"/>
  <c r="AE20" i="8"/>
  <c r="R20" i="8"/>
  <c r="E20" i="8"/>
  <c r="AT20" i="8"/>
  <c r="S20" i="8"/>
  <c r="AQ20" i="8"/>
  <c r="Q20" i="8"/>
  <c r="AD20" i="8"/>
  <c r="C20" i="8"/>
  <c r="AP20" i="8"/>
  <c r="P20" i="8"/>
  <c r="BE20" i="8"/>
  <c r="BN20" i="8"/>
  <c r="AN20" i="8"/>
  <c r="N20" i="8"/>
  <c r="AC20" i="8"/>
  <c r="BI20" i="8"/>
  <c r="AI20" i="8"/>
  <c r="I20" i="8"/>
  <c r="BC20" i="8"/>
  <c r="AA20" i="8"/>
  <c r="BH20" i="8"/>
  <c r="AH20" i="8"/>
  <c r="G20" i="8"/>
  <c r="BA20" i="8"/>
  <c r="BG20" i="8"/>
  <c r="AG20" i="8"/>
  <c r="F20" i="8"/>
  <c r="D20" i="8"/>
  <c r="U20" i="8"/>
  <c r="AV20" i="8"/>
  <c r="AU20" i="8"/>
  <c r="V20" i="8"/>
  <c r="BL58" i="8"/>
  <c r="AZ58" i="8"/>
  <c r="AN58" i="8"/>
  <c r="AB58" i="8"/>
  <c r="P58" i="8"/>
  <c r="D58" i="8"/>
  <c r="BJ58" i="8"/>
  <c r="AX58" i="8"/>
  <c r="AL58" i="8"/>
  <c r="Z58" i="8"/>
  <c r="N58" i="8"/>
  <c r="BI58" i="8"/>
  <c r="AW58" i="8"/>
  <c r="AK58" i="8"/>
  <c r="Y58" i="8"/>
  <c r="M58" i="8"/>
  <c r="BF58" i="8"/>
  <c r="AQ58" i="8"/>
  <c r="AA58" i="8"/>
  <c r="J58" i="8"/>
  <c r="BD58" i="8"/>
  <c r="AO58" i="8"/>
  <c r="W58" i="8"/>
  <c r="H58" i="8"/>
  <c r="BC58" i="8"/>
  <c r="AM58" i="8"/>
  <c r="V58" i="8"/>
  <c r="G58" i="8"/>
  <c r="BB58" i="8"/>
  <c r="AJ58" i="8"/>
  <c r="U58" i="8"/>
  <c r="F58" i="8"/>
  <c r="AY58" i="8"/>
  <c r="AH58" i="8"/>
  <c r="S58" i="8"/>
  <c r="C58" i="8"/>
  <c r="BK58" i="8"/>
  <c r="AT58" i="8"/>
  <c r="AE58" i="8"/>
  <c r="O58" i="8"/>
  <c r="AV58" i="8"/>
  <c r="R58" i="8"/>
  <c r="AS58" i="8"/>
  <c r="L58" i="8"/>
  <c r="AR58" i="8"/>
  <c r="K58" i="8"/>
  <c r="AP58" i="8"/>
  <c r="I58" i="8"/>
  <c r="AI58" i="8"/>
  <c r="E58" i="8"/>
  <c r="BG58" i="8"/>
  <c r="AC58" i="8"/>
  <c r="AD58" i="8"/>
  <c r="X58" i="8"/>
  <c r="T58" i="8"/>
  <c r="Q58" i="8"/>
  <c r="BN58" i="8"/>
  <c r="BM58" i="8"/>
  <c r="BE58" i="8"/>
  <c r="BA58" i="8"/>
  <c r="BH58" i="8"/>
  <c r="AU58" i="8"/>
  <c r="AF58" i="8"/>
  <c r="AG58" i="8"/>
  <c r="N67" i="29"/>
  <c r="BB32" i="29"/>
  <c r="BB4" i="31"/>
  <c r="BC62" i="30"/>
  <c r="O36" i="35"/>
  <c r="BA55" i="28"/>
  <c r="BA19" i="28"/>
  <c r="M11" i="30"/>
  <c r="BC11" i="30"/>
  <c r="BB6" i="30"/>
  <c r="M23" i="31"/>
  <c r="BB39" i="30"/>
  <c r="L24" i="28"/>
  <c r="BB65" i="30"/>
  <c r="BB5" i="30"/>
  <c r="BB51" i="31"/>
  <c r="BB38" i="29"/>
  <c r="M45" i="30"/>
  <c r="BC45" i="30"/>
  <c r="O19" i="35"/>
  <c r="BB62" i="31"/>
  <c r="BB14" i="31"/>
  <c r="BC44" i="30"/>
  <c r="M44" i="30"/>
  <c r="O18" i="35"/>
  <c r="BB61" i="29"/>
  <c r="BB25" i="29"/>
  <c r="BA60" i="28"/>
  <c r="BA24" i="28"/>
  <c r="D50" i="34"/>
  <c r="K52" i="30"/>
  <c r="M52" i="30" s="1"/>
  <c r="K52" i="31"/>
  <c r="M52" i="31" s="1"/>
  <c r="K52" i="29"/>
  <c r="M52" i="29" s="1"/>
  <c r="J52" i="28"/>
  <c r="L52" i="28" s="1"/>
  <c r="AG39" i="29"/>
  <c r="I23" i="34"/>
  <c r="AE25" i="31"/>
  <c r="AE25" i="30"/>
  <c r="AG25" i="30" s="1"/>
  <c r="AE25" i="29"/>
  <c r="AG25" i="29" s="1"/>
  <c r="AD25" i="28"/>
  <c r="AF25" i="28" s="1"/>
  <c r="I57" i="34"/>
  <c r="AE59" i="31"/>
  <c r="AG59" i="31" s="1"/>
  <c r="AE59" i="30"/>
  <c r="AG59" i="30" s="1"/>
  <c r="AE59" i="29"/>
  <c r="AD59" i="28"/>
  <c r="AF59" i="28" s="1"/>
  <c r="Y66" i="30"/>
  <c r="Y6" i="29"/>
  <c r="D63" i="39"/>
  <c r="D10" i="39"/>
  <c r="D25" i="39"/>
  <c r="I34" i="34"/>
  <c r="AE36" i="31"/>
  <c r="AG36" i="31" s="1"/>
  <c r="AE36" i="30"/>
  <c r="AG36" i="30" s="1"/>
  <c r="AE36" i="29"/>
  <c r="AG36" i="29" s="1"/>
  <c r="AD36" i="28"/>
  <c r="G31" i="34"/>
  <c r="W33" i="31"/>
  <c r="Y33" i="31" s="1"/>
  <c r="W33" i="30"/>
  <c r="Y33" i="30" s="1"/>
  <c r="W33" i="29"/>
  <c r="Y33" i="29" s="1"/>
  <c r="V33" i="28"/>
  <c r="G64" i="34"/>
  <c r="W66" i="31"/>
  <c r="W66" i="30"/>
  <c r="W66" i="29"/>
  <c r="Y66" i="29" s="1"/>
  <c r="V66" i="28"/>
  <c r="X66" i="28" s="1"/>
  <c r="G50" i="34"/>
  <c r="W52" i="31"/>
  <c r="W52" i="30"/>
  <c r="W52" i="29"/>
  <c r="V52" i="28"/>
  <c r="X28" i="28"/>
  <c r="Y4" i="29"/>
  <c r="J44" i="24"/>
  <c r="R44" i="24" s="1"/>
  <c r="Y27" i="30"/>
  <c r="V67" i="31"/>
  <c r="J43" i="24"/>
  <c r="R43" i="24" s="1"/>
  <c r="Y49" i="29"/>
  <c r="G23" i="34"/>
  <c r="W25" i="31"/>
  <c r="Y25" i="31" s="1"/>
  <c r="W25" i="30"/>
  <c r="Y25" i="30" s="1"/>
  <c r="W25" i="29"/>
  <c r="V25" i="28"/>
  <c r="X25" i="28" s="1"/>
  <c r="O50" i="35"/>
  <c r="BB66" i="31"/>
  <c r="J48" i="25"/>
  <c r="BF16" i="8"/>
  <c r="AT16" i="8"/>
  <c r="AH16" i="8"/>
  <c r="V16" i="8"/>
  <c r="J16" i="8"/>
  <c r="BD16" i="8"/>
  <c r="AR16" i="8"/>
  <c r="AF16" i="8"/>
  <c r="T16" i="8"/>
  <c r="H16" i="8"/>
  <c r="BC16" i="8"/>
  <c r="AQ16" i="8"/>
  <c r="AE16" i="8"/>
  <c r="S16" i="8"/>
  <c r="G16" i="8"/>
  <c r="BN16" i="8"/>
  <c r="BB16" i="8"/>
  <c r="AP16" i="8"/>
  <c r="AD16" i="8"/>
  <c r="R16" i="8"/>
  <c r="F16" i="8"/>
  <c r="BM16" i="8"/>
  <c r="BA16" i="8"/>
  <c r="AO16" i="8"/>
  <c r="AC16" i="8"/>
  <c r="Q16" i="8"/>
  <c r="E16" i="8"/>
  <c r="BI16" i="8"/>
  <c r="AW16" i="8"/>
  <c r="AK16" i="8"/>
  <c r="Y16" i="8"/>
  <c r="M16" i="8"/>
  <c r="AX16" i="8"/>
  <c r="Z16" i="8"/>
  <c r="L16" i="8"/>
  <c r="I16" i="8"/>
  <c r="AV16" i="8"/>
  <c r="X16" i="8"/>
  <c r="BH16" i="8"/>
  <c r="K16" i="8"/>
  <c r="AU16" i="8"/>
  <c r="W16" i="8"/>
  <c r="AS16" i="8"/>
  <c r="U16" i="8"/>
  <c r="BL16" i="8"/>
  <c r="AN16" i="8"/>
  <c r="P16" i="8"/>
  <c r="AI16" i="8"/>
  <c r="AG16" i="8"/>
  <c r="BK16" i="8"/>
  <c r="AM16" i="8"/>
  <c r="O16" i="8"/>
  <c r="BE16" i="8"/>
  <c r="BJ16" i="8"/>
  <c r="AL16" i="8"/>
  <c r="N16" i="8"/>
  <c r="AJ16" i="8"/>
  <c r="BG16" i="8"/>
  <c r="AZ16" i="8"/>
  <c r="AY16" i="8"/>
  <c r="AB16" i="8"/>
  <c r="AA16" i="8"/>
  <c r="D16" i="8"/>
  <c r="C16" i="8"/>
  <c r="O52" i="35"/>
  <c r="BB59" i="31"/>
  <c r="BB23" i="31"/>
  <c r="BB52" i="29"/>
  <c r="F67" i="30"/>
  <c r="BB3" i="30"/>
  <c r="M29" i="31"/>
  <c r="BB34" i="31"/>
  <c r="BB45" i="31"/>
  <c r="BB9" i="31"/>
  <c r="BB56" i="30"/>
  <c r="BB28" i="29"/>
  <c r="BH59" i="8"/>
  <c r="AV59" i="8"/>
  <c r="AJ59" i="8"/>
  <c r="X59" i="8"/>
  <c r="L59" i="8"/>
  <c r="BF59" i="8"/>
  <c r="AT59" i="8"/>
  <c r="AH59" i="8"/>
  <c r="V59" i="8"/>
  <c r="J59" i="8"/>
  <c r="BE59" i="8"/>
  <c r="AS59" i="8"/>
  <c r="AG59" i="8"/>
  <c r="U59" i="8"/>
  <c r="I59" i="8"/>
  <c r="BG59" i="8"/>
  <c r="AP59" i="8"/>
  <c r="AA59" i="8"/>
  <c r="K59" i="8"/>
  <c r="BC59" i="8"/>
  <c r="AN59" i="8"/>
  <c r="Y59" i="8"/>
  <c r="G59" i="8"/>
  <c r="BB59" i="8"/>
  <c r="AM59" i="8"/>
  <c r="W59" i="8"/>
  <c r="F59" i="8"/>
  <c r="BA59" i="8"/>
  <c r="AL59" i="8"/>
  <c r="T59" i="8"/>
  <c r="E59" i="8"/>
  <c r="BN59" i="8"/>
  <c r="AY59" i="8"/>
  <c r="AI59" i="8"/>
  <c r="R59" i="8"/>
  <c r="C59" i="8"/>
  <c r="BK59" i="8"/>
  <c r="AU59" i="8"/>
  <c r="AD59" i="8"/>
  <c r="O59" i="8"/>
  <c r="AX59" i="8"/>
  <c r="Q59" i="8"/>
  <c r="AR59" i="8"/>
  <c r="N59" i="8"/>
  <c r="AQ59" i="8"/>
  <c r="M59" i="8"/>
  <c r="AO59" i="8"/>
  <c r="H59" i="8"/>
  <c r="AK59" i="8"/>
  <c r="D59" i="8"/>
  <c r="BI59" i="8"/>
  <c r="AB59" i="8"/>
  <c r="AC59" i="8"/>
  <c r="Z59" i="8"/>
  <c r="BD59" i="8"/>
  <c r="S59" i="8"/>
  <c r="P59" i="8"/>
  <c r="AZ59" i="8"/>
  <c r="AW59" i="8"/>
  <c r="BM59" i="8"/>
  <c r="BL59" i="8"/>
  <c r="BJ59" i="8"/>
  <c r="AF59" i="8"/>
  <c r="AE59" i="8"/>
  <c r="BH32" i="8"/>
  <c r="AV32" i="8"/>
  <c r="AJ32" i="8"/>
  <c r="X32" i="8"/>
  <c r="L32" i="8"/>
  <c r="BF32" i="8"/>
  <c r="AT32" i="8"/>
  <c r="AH32" i="8"/>
  <c r="V32" i="8"/>
  <c r="J32" i="8"/>
  <c r="BE32" i="8"/>
  <c r="AS32" i="8"/>
  <c r="AG32" i="8"/>
  <c r="U32" i="8"/>
  <c r="I32" i="8"/>
  <c r="BD32" i="8"/>
  <c r="AR32" i="8"/>
  <c r="AF32" i="8"/>
  <c r="T32" i="8"/>
  <c r="H32" i="8"/>
  <c r="BN32" i="8"/>
  <c r="BB32" i="8"/>
  <c r="AP32" i="8"/>
  <c r="AD32" i="8"/>
  <c r="R32" i="8"/>
  <c r="F32" i="8"/>
  <c r="BG32" i="8"/>
  <c r="AL32" i="8"/>
  <c r="P32" i="8"/>
  <c r="BA32" i="8"/>
  <c r="AI32" i="8"/>
  <c r="N32" i="8"/>
  <c r="AZ32" i="8"/>
  <c r="AE32" i="8"/>
  <c r="M32" i="8"/>
  <c r="AY32" i="8"/>
  <c r="AC32" i="8"/>
  <c r="K32" i="8"/>
  <c r="AX32" i="8"/>
  <c r="AB32" i="8"/>
  <c r="G32" i="8"/>
  <c r="BK32" i="8"/>
  <c r="AO32" i="8"/>
  <c r="W32" i="8"/>
  <c r="AQ32" i="8"/>
  <c r="C32" i="8"/>
  <c r="O32" i="8"/>
  <c r="AN32" i="8"/>
  <c r="BJ32" i="8"/>
  <c r="Q32" i="8"/>
  <c r="AM32" i="8"/>
  <c r="AK32" i="8"/>
  <c r="AA32" i="8"/>
  <c r="S32" i="8"/>
  <c r="BI32" i="8"/>
  <c r="BC32" i="8"/>
  <c r="BM32" i="8"/>
  <c r="Z32" i="8"/>
  <c r="BL32" i="8"/>
  <c r="Y32" i="8"/>
  <c r="AW32" i="8"/>
  <c r="AU32" i="8"/>
  <c r="E32" i="8"/>
  <c r="D32" i="8"/>
  <c r="N67" i="30"/>
  <c r="O37" i="35"/>
  <c r="BB32" i="30"/>
  <c r="O56" i="35"/>
  <c r="BD30" i="8"/>
  <c r="AR30" i="8"/>
  <c r="AF30" i="8"/>
  <c r="T30" i="8"/>
  <c r="H30" i="8"/>
  <c r="BN30" i="8"/>
  <c r="BB30" i="8"/>
  <c r="AP30" i="8"/>
  <c r="AD30" i="8"/>
  <c r="R30" i="8"/>
  <c r="F30" i="8"/>
  <c r="BM30" i="8"/>
  <c r="BA30" i="8"/>
  <c r="AO30" i="8"/>
  <c r="AC30" i="8"/>
  <c r="Q30" i="8"/>
  <c r="E30" i="8"/>
  <c r="BL30" i="8"/>
  <c r="AZ30" i="8"/>
  <c r="AN30" i="8"/>
  <c r="AB30" i="8"/>
  <c r="P30" i="8"/>
  <c r="D30" i="8"/>
  <c r="BJ30" i="8"/>
  <c r="AX30" i="8"/>
  <c r="AL30" i="8"/>
  <c r="Z30" i="8"/>
  <c r="N30" i="8"/>
  <c r="BI30" i="8"/>
  <c r="AQ30" i="8"/>
  <c r="V30" i="8"/>
  <c r="BG30" i="8"/>
  <c r="AK30" i="8"/>
  <c r="S30" i="8"/>
  <c r="BF30" i="8"/>
  <c r="AJ30" i="8"/>
  <c r="O30" i="8"/>
  <c r="BE30" i="8"/>
  <c r="AI30" i="8"/>
  <c r="M30" i="8"/>
  <c r="BC30" i="8"/>
  <c r="AH30" i="8"/>
  <c r="L30" i="8"/>
  <c r="AU30" i="8"/>
  <c r="Y30" i="8"/>
  <c r="G30" i="8"/>
  <c r="AV30" i="8"/>
  <c r="I30" i="8"/>
  <c r="W30" i="8"/>
  <c r="AT30" i="8"/>
  <c r="C30" i="8"/>
  <c r="U30" i="8"/>
  <c r="AS30" i="8"/>
  <c r="AM30" i="8"/>
  <c r="X30" i="8"/>
  <c r="AG30" i="8"/>
  <c r="AE30" i="8"/>
  <c r="AA30" i="8"/>
  <c r="BK30" i="8"/>
  <c r="BH30" i="8"/>
  <c r="AY30" i="8"/>
  <c r="AW30" i="8"/>
  <c r="K30" i="8"/>
  <c r="J30" i="8"/>
  <c r="M62" i="31"/>
  <c r="BB55" i="29"/>
  <c r="BB19" i="29"/>
  <c r="M11" i="31"/>
  <c r="BF53" i="8"/>
  <c r="AT53" i="8"/>
  <c r="AH53" i="8"/>
  <c r="V53" i="8"/>
  <c r="J53" i="8"/>
  <c r="BE53" i="8"/>
  <c r="AS53" i="8"/>
  <c r="AG53" i="8"/>
  <c r="U53" i="8"/>
  <c r="I53" i="8"/>
  <c r="BI53" i="8"/>
  <c r="AU53" i="8"/>
  <c r="AE53" i="8"/>
  <c r="Q53" i="8"/>
  <c r="C53" i="8"/>
  <c r="BG53" i="8"/>
  <c r="AQ53" i="8"/>
  <c r="AC53" i="8"/>
  <c r="O53" i="8"/>
  <c r="BD53" i="8"/>
  <c r="AP53" i="8"/>
  <c r="AB53" i="8"/>
  <c r="N53" i="8"/>
  <c r="BC53" i="8"/>
  <c r="AO53" i="8"/>
  <c r="AA53" i="8"/>
  <c r="M53" i="8"/>
  <c r="BA53" i="8"/>
  <c r="AM53" i="8"/>
  <c r="Y53" i="8"/>
  <c r="K53" i="8"/>
  <c r="AZ53" i="8"/>
  <c r="AD53" i="8"/>
  <c r="E53" i="8"/>
  <c r="AX53" i="8"/>
  <c r="X53" i="8"/>
  <c r="AW53" i="8"/>
  <c r="W53" i="8"/>
  <c r="AV53" i="8"/>
  <c r="T53" i="8"/>
  <c r="BN53" i="8"/>
  <c r="AR53" i="8"/>
  <c r="S53" i="8"/>
  <c r="BJ53" i="8"/>
  <c r="AJ53" i="8"/>
  <c r="H53" i="8"/>
  <c r="AK53" i="8"/>
  <c r="AI53" i="8"/>
  <c r="BH53" i="8"/>
  <c r="AF53" i="8"/>
  <c r="Z53" i="8"/>
  <c r="BB53" i="8"/>
  <c r="AY53" i="8"/>
  <c r="BM53" i="8"/>
  <c r="R53" i="8"/>
  <c r="G53" i="8"/>
  <c r="D53" i="8"/>
  <c r="BL53" i="8"/>
  <c r="P53" i="8"/>
  <c r="F53" i="8"/>
  <c r="BK53" i="8"/>
  <c r="L53" i="8"/>
  <c r="AL53" i="8"/>
  <c r="AN53" i="8"/>
  <c r="M37" i="31"/>
  <c r="O11" i="35"/>
  <c r="BB6" i="31"/>
  <c r="O21" i="35"/>
  <c r="BB39" i="31"/>
  <c r="O58" i="35"/>
  <c r="BB65" i="31"/>
  <c r="BB5" i="31"/>
  <c r="M35" i="29"/>
  <c r="BA38" i="28"/>
  <c r="M45" i="31"/>
  <c r="BA50" i="28"/>
  <c r="M44" i="31"/>
  <c r="BB61" i="30"/>
  <c r="BB25" i="30"/>
  <c r="BC43" i="30"/>
  <c r="BB60" i="29"/>
  <c r="BB24" i="29"/>
  <c r="D39" i="34"/>
  <c r="K41" i="31"/>
  <c r="M41" i="31" s="1"/>
  <c r="K41" i="30"/>
  <c r="M41" i="30" s="1"/>
  <c r="K41" i="29"/>
  <c r="J41" i="28"/>
  <c r="Y61" i="30"/>
  <c r="AW51" i="31"/>
  <c r="AF35" i="28"/>
  <c r="R67" i="24"/>
  <c r="AG9" i="29"/>
  <c r="Y22" i="29"/>
  <c r="J55" i="24"/>
  <c r="R55" i="24" s="1"/>
  <c r="AG8" i="31"/>
  <c r="R10" i="13"/>
  <c r="R56" i="13"/>
  <c r="R27" i="13"/>
  <c r="R22" i="17"/>
  <c r="R15" i="17"/>
  <c r="R48" i="17"/>
  <c r="J30" i="34"/>
  <c r="AI32" i="31"/>
  <c r="AI32" i="30"/>
  <c r="AK32" i="30" s="1"/>
  <c r="AI32" i="29"/>
  <c r="AK32" i="29" s="1"/>
  <c r="AH32" i="28"/>
  <c r="AJ32" i="28" s="1"/>
  <c r="AF66" i="28"/>
  <c r="J15" i="24"/>
  <c r="R15" i="24" s="1"/>
  <c r="AF53" i="28"/>
  <c r="AG52" i="31"/>
  <c r="R47" i="15"/>
  <c r="Y19" i="31"/>
  <c r="AG39" i="30"/>
  <c r="I26" i="34"/>
  <c r="AE28" i="30"/>
  <c r="AG28" i="30" s="1"/>
  <c r="AE28" i="31"/>
  <c r="AG28" i="31" s="1"/>
  <c r="AE28" i="29"/>
  <c r="AG28" i="29" s="1"/>
  <c r="AD28" i="28"/>
  <c r="AF28" i="28" s="1"/>
  <c r="I3" i="34"/>
  <c r="AE5" i="31"/>
  <c r="AG5" i="31" s="1"/>
  <c r="AE5" i="30"/>
  <c r="AE5" i="29"/>
  <c r="AG5" i="29" s="1"/>
  <c r="AD5" i="28"/>
  <c r="AF5" i="28" s="1"/>
  <c r="Y66" i="31"/>
  <c r="X30" i="28"/>
  <c r="Y6" i="30"/>
  <c r="D40" i="39"/>
  <c r="Y65" i="30"/>
  <c r="AK62" i="29"/>
  <c r="AK38" i="31"/>
  <c r="J59" i="24"/>
  <c r="R59" i="24" s="1"/>
  <c r="I16" i="34"/>
  <c r="AE18" i="31"/>
  <c r="AG18" i="31" s="1"/>
  <c r="AE18" i="30"/>
  <c r="AE18" i="29"/>
  <c r="AG18" i="29" s="1"/>
  <c r="AD18" i="28"/>
  <c r="AF18" i="28" s="1"/>
  <c r="G34" i="34"/>
  <c r="W36" i="31"/>
  <c r="W36" i="30"/>
  <c r="V36" i="28"/>
  <c r="X36" i="28" s="1"/>
  <c r="W36" i="29"/>
  <c r="Y36" i="29" s="1"/>
  <c r="R10" i="11"/>
  <c r="W61" i="31"/>
  <c r="G59" i="34"/>
  <c r="W61" i="30"/>
  <c r="W61" i="29"/>
  <c r="Y61" i="29" s="1"/>
  <c r="V61" i="28"/>
  <c r="X61" i="28" s="1"/>
  <c r="X14" i="28"/>
  <c r="R60" i="21"/>
  <c r="Y49" i="30"/>
  <c r="R40" i="13"/>
  <c r="J49" i="24"/>
  <c r="R49" i="24" s="1"/>
  <c r="J52" i="24"/>
  <c r="R52" i="24" s="1"/>
  <c r="BC16" i="30"/>
  <c r="M16" i="30"/>
  <c r="BA54" i="28"/>
  <c r="M42" i="29"/>
  <c r="M18" i="30"/>
  <c r="BC18" i="30"/>
  <c r="BA47" i="28"/>
  <c r="BA11" i="28"/>
  <c r="BB52" i="30"/>
  <c r="L46" i="28"/>
  <c r="F67" i="31"/>
  <c r="BB3" i="31"/>
  <c r="M53" i="29"/>
  <c r="O27" i="35"/>
  <c r="BA58" i="28"/>
  <c r="BA22" i="28"/>
  <c r="BA40" i="28"/>
  <c r="BA33" i="28"/>
  <c r="BB56" i="31"/>
  <c r="BB28" i="30"/>
  <c r="BH35" i="8"/>
  <c r="AV35" i="8"/>
  <c r="AJ35" i="8"/>
  <c r="X35" i="8"/>
  <c r="L35" i="8"/>
  <c r="BF35" i="8"/>
  <c r="AT35" i="8"/>
  <c r="AH35" i="8"/>
  <c r="V35" i="8"/>
  <c r="J35" i="8"/>
  <c r="BE35" i="8"/>
  <c r="AS35" i="8"/>
  <c r="AG35" i="8"/>
  <c r="U35" i="8"/>
  <c r="I35" i="8"/>
  <c r="BD35" i="8"/>
  <c r="AR35" i="8"/>
  <c r="AF35" i="8"/>
  <c r="T35" i="8"/>
  <c r="H35" i="8"/>
  <c r="BN35" i="8"/>
  <c r="BB35" i="8"/>
  <c r="AP35" i="8"/>
  <c r="AD35" i="8"/>
  <c r="R35" i="8"/>
  <c r="F35" i="8"/>
  <c r="AY35" i="8"/>
  <c r="AC35" i="8"/>
  <c r="K35" i="8"/>
  <c r="AW35" i="8"/>
  <c r="AA35" i="8"/>
  <c r="E35" i="8"/>
  <c r="BM35" i="8"/>
  <c r="AU35" i="8"/>
  <c r="Z35" i="8"/>
  <c r="D35" i="8"/>
  <c r="BL35" i="8"/>
  <c r="AQ35" i="8"/>
  <c r="Y35" i="8"/>
  <c r="C35" i="8"/>
  <c r="BK35" i="8"/>
  <c r="AO35" i="8"/>
  <c r="W35" i="8"/>
  <c r="BC35" i="8"/>
  <c r="AK35" i="8"/>
  <c r="O35" i="8"/>
  <c r="BG35" i="8"/>
  <c r="P35" i="8"/>
  <c r="BA35" i="8"/>
  <c r="N35" i="8"/>
  <c r="AZ35" i="8"/>
  <c r="M35" i="8"/>
  <c r="AB35" i="8"/>
  <c r="AX35" i="8"/>
  <c r="G35" i="8"/>
  <c r="AN35" i="8"/>
  <c r="AM35" i="8"/>
  <c r="AI35" i="8"/>
  <c r="AE35" i="8"/>
  <c r="AL35" i="8"/>
  <c r="Q35" i="8"/>
  <c r="BJ35" i="8"/>
  <c r="BI35" i="8"/>
  <c r="S35" i="8"/>
  <c r="BH44" i="8"/>
  <c r="AV44" i="8"/>
  <c r="AJ44" i="8"/>
  <c r="X44" i="8"/>
  <c r="L44" i="8"/>
  <c r="BF44" i="8"/>
  <c r="AT44" i="8"/>
  <c r="AH44" i="8"/>
  <c r="V44" i="8"/>
  <c r="J44" i="8"/>
  <c r="BE44" i="8"/>
  <c r="AS44" i="8"/>
  <c r="AG44" i="8"/>
  <c r="U44" i="8"/>
  <c r="I44" i="8"/>
  <c r="BD44" i="8"/>
  <c r="AR44" i="8"/>
  <c r="AF44" i="8"/>
  <c r="T44" i="8"/>
  <c r="H44" i="8"/>
  <c r="BN44" i="8"/>
  <c r="BB44" i="8"/>
  <c r="AP44" i="8"/>
  <c r="AD44" i="8"/>
  <c r="R44" i="8"/>
  <c r="F44" i="8"/>
  <c r="AY44" i="8"/>
  <c r="AC44" i="8"/>
  <c r="K44" i="8"/>
  <c r="AW44" i="8"/>
  <c r="AA44" i="8"/>
  <c r="E44" i="8"/>
  <c r="BM44" i="8"/>
  <c r="AU44" i="8"/>
  <c r="Z44" i="8"/>
  <c r="D44" i="8"/>
  <c r="BL44" i="8"/>
  <c r="AQ44" i="8"/>
  <c r="Y44" i="8"/>
  <c r="C44" i="8"/>
  <c r="BK44" i="8"/>
  <c r="AO44" i="8"/>
  <c r="W44" i="8"/>
  <c r="BC44" i="8"/>
  <c r="AK44" i="8"/>
  <c r="O44" i="8"/>
  <c r="BG44" i="8"/>
  <c r="P44" i="8"/>
  <c r="BA44" i="8"/>
  <c r="N44" i="8"/>
  <c r="AI44" i="8"/>
  <c r="AZ44" i="8"/>
  <c r="M44" i="8"/>
  <c r="AX44" i="8"/>
  <c r="G44" i="8"/>
  <c r="AN44" i="8"/>
  <c r="AE44" i="8"/>
  <c r="AB44" i="8"/>
  <c r="AM44" i="8"/>
  <c r="AL44" i="8"/>
  <c r="BJ44" i="8"/>
  <c r="BI44" i="8"/>
  <c r="S44" i="8"/>
  <c r="Q44" i="8"/>
  <c r="BD24" i="8"/>
  <c r="AR24" i="8"/>
  <c r="AF24" i="8"/>
  <c r="T24" i="8"/>
  <c r="H24" i="8"/>
  <c r="BL24" i="8"/>
  <c r="AZ24" i="8"/>
  <c r="AN24" i="8"/>
  <c r="AB24" i="8"/>
  <c r="P24" i="8"/>
  <c r="D24" i="8"/>
  <c r="BJ24" i="8"/>
  <c r="AX24" i="8"/>
  <c r="AL24" i="8"/>
  <c r="Z24" i="8"/>
  <c r="N24" i="8"/>
  <c r="BE24" i="8"/>
  <c r="AO24" i="8"/>
  <c r="X24" i="8"/>
  <c r="I24" i="8"/>
  <c r="BB24" i="8"/>
  <c r="AK24" i="8"/>
  <c r="V24" i="8"/>
  <c r="F24" i="8"/>
  <c r="BA24" i="8"/>
  <c r="AJ24" i="8"/>
  <c r="U24" i="8"/>
  <c r="E24" i="8"/>
  <c r="AY24" i="8"/>
  <c r="AI24" i="8"/>
  <c r="S24" i="8"/>
  <c r="C24" i="8"/>
  <c r="BN24" i="8"/>
  <c r="AW24" i="8"/>
  <c r="AH24" i="8"/>
  <c r="R24" i="8"/>
  <c r="BH24" i="8"/>
  <c r="AS24" i="8"/>
  <c r="AC24" i="8"/>
  <c r="L24" i="8"/>
  <c r="BI24" i="8"/>
  <c r="AD24" i="8"/>
  <c r="AQ24" i="8"/>
  <c r="BG24" i="8"/>
  <c r="AA24" i="8"/>
  <c r="BF24" i="8"/>
  <c r="Y24" i="8"/>
  <c r="AM24" i="8"/>
  <c r="BC24" i="8"/>
  <c r="W24" i="8"/>
  <c r="K24" i="8"/>
  <c r="J24" i="8"/>
  <c r="AV24" i="8"/>
  <c r="Q24" i="8"/>
  <c r="AU24" i="8"/>
  <c r="O24" i="8"/>
  <c r="AP24" i="8"/>
  <c r="AT24" i="8"/>
  <c r="M24" i="8"/>
  <c r="G24" i="8"/>
  <c r="AG24" i="8"/>
  <c r="AE24" i="8"/>
  <c r="BM24" i="8"/>
  <c r="BK24" i="8"/>
  <c r="N67" i="31"/>
  <c r="BB32" i="31"/>
  <c r="BA27" i="28"/>
  <c r="O60" i="35"/>
  <c r="BB55" i="30"/>
  <c r="BB19" i="30"/>
  <c r="O9" i="35"/>
  <c r="BH29" i="8"/>
  <c r="AV29" i="8"/>
  <c r="AJ29" i="8"/>
  <c r="X29" i="8"/>
  <c r="L29" i="8"/>
  <c r="BF29" i="8"/>
  <c r="AT29" i="8"/>
  <c r="AH29" i="8"/>
  <c r="V29" i="8"/>
  <c r="J29" i="8"/>
  <c r="BE29" i="8"/>
  <c r="AS29" i="8"/>
  <c r="AG29" i="8"/>
  <c r="U29" i="8"/>
  <c r="I29" i="8"/>
  <c r="BD29" i="8"/>
  <c r="AR29" i="8"/>
  <c r="AF29" i="8"/>
  <c r="T29" i="8"/>
  <c r="H29" i="8"/>
  <c r="BN29" i="8"/>
  <c r="BB29" i="8"/>
  <c r="AP29" i="8"/>
  <c r="AD29" i="8"/>
  <c r="R29" i="8"/>
  <c r="F29" i="8"/>
  <c r="BL29" i="8"/>
  <c r="AQ29" i="8"/>
  <c r="Y29" i="8"/>
  <c r="C29" i="8"/>
  <c r="BJ29" i="8"/>
  <c r="AN29" i="8"/>
  <c r="S29" i="8"/>
  <c r="BI29" i="8"/>
  <c r="AM29" i="8"/>
  <c r="Q29" i="8"/>
  <c r="BG29" i="8"/>
  <c r="AL29" i="8"/>
  <c r="P29" i="8"/>
  <c r="BC29" i="8"/>
  <c r="AK29" i="8"/>
  <c r="O29" i="8"/>
  <c r="AX29" i="8"/>
  <c r="AB29" i="8"/>
  <c r="G29" i="8"/>
  <c r="AC29" i="8"/>
  <c r="AA29" i="8"/>
  <c r="AW29" i="8"/>
  <c r="BM29" i="8"/>
  <c r="Z29" i="8"/>
  <c r="BK29" i="8"/>
  <c r="W29" i="8"/>
  <c r="D29" i="8"/>
  <c r="BA29" i="8"/>
  <c r="N29" i="8"/>
  <c r="AU29" i="8"/>
  <c r="AO29" i="8"/>
  <c r="AZ29" i="8"/>
  <c r="M29" i="8"/>
  <c r="AY29" i="8"/>
  <c r="K29" i="8"/>
  <c r="E29" i="8"/>
  <c r="AI29" i="8"/>
  <c r="AE29" i="8"/>
  <c r="M37" i="30"/>
  <c r="BC37" i="30"/>
  <c r="BA30" i="28"/>
  <c r="BA29" i="28"/>
  <c r="L48" i="28"/>
  <c r="BC24" i="30"/>
  <c r="M24" i="30"/>
  <c r="BA41" i="28"/>
  <c r="M35" i="30"/>
  <c r="BC35" i="30"/>
  <c r="BB38" i="30"/>
  <c r="O43" i="35"/>
  <c r="BB50" i="29"/>
  <c r="O42" i="35"/>
  <c r="M8" i="29"/>
  <c r="BB61" i="31"/>
  <c r="BB25" i="31"/>
  <c r="O17" i="35"/>
  <c r="BB60" i="30"/>
  <c r="BB24" i="30"/>
  <c r="D14" i="34"/>
  <c r="K16" i="31"/>
  <c r="K16" i="30"/>
  <c r="K16" i="29"/>
  <c r="M16" i="29" s="1"/>
  <c r="J16" i="28"/>
  <c r="L16" i="28" s="1"/>
  <c r="D57" i="39"/>
  <c r="AG9" i="30"/>
  <c r="Y22" i="30"/>
  <c r="J13" i="25"/>
  <c r="J10" i="25"/>
  <c r="J29" i="24"/>
  <c r="R29" i="24" s="1"/>
  <c r="R23" i="13"/>
  <c r="R59" i="13"/>
  <c r="J9" i="25"/>
  <c r="R25" i="13"/>
  <c r="R9" i="21"/>
  <c r="R28" i="17"/>
  <c r="J13" i="34"/>
  <c r="AI15" i="31"/>
  <c r="AK15" i="31" s="1"/>
  <c r="AI15" i="30"/>
  <c r="AK15" i="30" s="1"/>
  <c r="AI15" i="29"/>
  <c r="AK15" i="29" s="1"/>
  <c r="AH15" i="28"/>
  <c r="AJ15" i="28" s="1"/>
  <c r="R51" i="17"/>
  <c r="R38" i="17"/>
  <c r="AG66" i="29"/>
  <c r="J69" i="24"/>
  <c r="R69" i="24" s="1"/>
  <c r="AG53" i="29"/>
  <c r="AG29" i="31"/>
  <c r="R13" i="15"/>
  <c r="R61" i="17"/>
  <c r="AG16" i="29"/>
  <c r="R41" i="15"/>
  <c r="AG63" i="29"/>
  <c r="AG39" i="31"/>
  <c r="I29" i="34"/>
  <c r="AE31" i="31"/>
  <c r="AG31" i="31" s="1"/>
  <c r="AE31" i="30"/>
  <c r="AG31" i="30" s="1"/>
  <c r="AE31" i="29"/>
  <c r="AG31" i="29" s="1"/>
  <c r="AD31" i="28"/>
  <c r="AF31" i="28" s="1"/>
  <c r="I13" i="34"/>
  <c r="AE15" i="31"/>
  <c r="AG15" i="31" s="1"/>
  <c r="AE15" i="30"/>
  <c r="AG15" i="30" s="1"/>
  <c r="AE15" i="29"/>
  <c r="AG15" i="29" s="1"/>
  <c r="AD15" i="28"/>
  <c r="AF15" i="28" s="1"/>
  <c r="Y6" i="31"/>
  <c r="Y65" i="31"/>
  <c r="I19" i="34"/>
  <c r="AE21" i="31"/>
  <c r="AE21" i="30"/>
  <c r="AE21" i="29"/>
  <c r="AD21" i="28"/>
  <c r="AF21" i="28" s="1"/>
  <c r="D14" i="39"/>
  <c r="D49" i="39"/>
  <c r="G13" i="34"/>
  <c r="W15" i="31"/>
  <c r="Y15" i="31" s="1"/>
  <c r="W15" i="30"/>
  <c r="V15" i="28"/>
  <c r="W15" i="29"/>
  <c r="G37" i="34"/>
  <c r="W39" i="31"/>
  <c r="Y39" i="31" s="1"/>
  <c r="W39" i="30"/>
  <c r="W39" i="29"/>
  <c r="Y39" i="29" s="1"/>
  <c r="V39" i="28"/>
  <c r="G18" i="34"/>
  <c r="W20" i="31"/>
  <c r="Y20" i="31" s="1"/>
  <c r="W20" i="30"/>
  <c r="Y20" i="30" s="1"/>
  <c r="V20" i="28"/>
  <c r="X20" i="28" s="1"/>
  <c r="W20" i="29"/>
  <c r="Y20" i="29" s="1"/>
  <c r="G39" i="34"/>
  <c r="W41" i="31"/>
  <c r="Y41" i="31" s="1"/>
  <c r="W41" i="30"/>
  <c r="W41" i="29"/>
  <c r="Y41" i="29" s="1"/>
  <c r="V41" i="28"/>
  <c r="X41" i="28" s="1"/>
  <c r="X52" i="28"/>
  <c r="Y28" i="30"/>
  <c r="Y14" i="29"/>
  <c r="G43" i="34"/>
  <c r="W45" i="31"/>
  <c r="Y45" i="31" s="1"/>
  <c r="W45" i="30"/>
  <c r="W45" i="29"/>
  <c r="Y45" i="29" s="1"/>
  <c r="V45" i="28"/>
  <c r="X45" i="28" s="1"/>
  <c r="E70" i="13"/>
  <c r="F70" i="13" s="1"/>
  <c r="M16" i="31"/>
  <c r="BB54" i="29"/>
  <c r="L42" i="28"/>
  <c r="BB47" i="29"/>
  <c r="BB11" i="29"/>
  <c r="BB52" i="31"/>
  <c r="BH38" i="8"/>
  <c r="AV38" i="8"/>
  <c r="AJ38" i="8"/>
  <c r="X38" i="8"/>
  <c r="L38" i="8"/>
  <c r="BF38" i="8"/>
  <c r="AT38" i="8"/>
  <c r="AH38" i="8"/>
  <c r="V38" i="8"/>
  <c r="J38" i="8"/>
  <c r="BE38" i="8"/>
  <c r="AS38" i="8"/>
  <c r="AG38" i="8"/>
  <c r="U38" i="8"/>
  <c r="I38" i="8"/>
  <c r="BD38" i="8"/>
  <c r="AR38" i="8"/>
  <c r="AF38" i="8"/>
  <c r="T38" i="8"/>
  <c r="H38" i="8"/>
  <c r="BN38" i="8"/>
  <c r="BB38" i="8"/>
  <c r="AP38" i="8"/>
  <c r="AD38" i="8"/>
  <c r="R38" i="8"/>
  <c r="F38" i="8"/>
  <c r="BL38" i="8"/>
  <c r="AQ38" i="8"/>
  <c r="Y38" i="8"/>
  <c r="C38" i="8"/>
  <c r="BJ38" i="8"/>
  <c r="AN38" i="8"/>
  <c r="S38" i="8"/>
  <c r="BI38" i="8"/>
  <c r="AM38" i="8"/>
  <c r="Q38" i="8"/>
  <c r="BG38" i="8"/>
  <c r="AL38" i="8"/>
  <c r="P38" i="8"/>
  <c r="BC38" i="8"/>
  <c r="AK38" i="8"/>
  <c r="O38" i="8"/>
  <c r="AX38" i="8"/>
  <c r="AB38" i="8"/>
  <c r="G38" i="8"/>
  <c r="AC38" i="8"/>
  <c r="AA38" i="8"/>
  <c r="BM38" i="8"/>
  <c r="Z38" i="8"/>
  <c r="BK38" i="8"/>
  <c r="W38" i="8"/>
  <c r="AO38" i="8"/>
  <c r="BA38" i="8"/>
  <c r="N38" i="8"/>
  <c r="AZ38" i="8"/>
  <c r="M38" i="8"/>
  <c r="AW38" i="8"/>
  <c r="AU38" i="8"/>
  <c r="AY38" i="8"/>
  <c r="K38" i="8"/>
  <c r="E38" i="8"/>
  <c r="D38" i="8"/>
  <c r="AI38" i="8"/>
  <c r="AE38" i="8"/>
  <c r="BB58" i="29"/>
  <c r="BB22" i="29"/>
  <c r="BB40" i="29"/>
  <c r="BB33" i="29"/>
  <c r="BB20" i="29"/>
  <c r="BB28" i="31"/>
  <c r="BJ15" i="8"/>
  <c r="AX15" i="8"/>
  <c r="AL15" i="8"/>
  <c r="Z15" i="8"/>
  <c r="N15" i="8"/>
  <c r="BH15" i="8"/>
  <c r="AV15" i="8"/>
  <c r="AJ15" i="8"/>
  <c r="X15" i="8"/>
  <c r="L15" i="8"/>
  <c r="BG15" i="8"/>
  <c r="AU15" i="8"/>
  <c r="AI15" i="8"/>
  <c r="W15" i="8"/>
  <c r="K15" i="8"/>
  <c r="BF15" i="8"/>
  <c r="AT15" i="8"/>
  <c r="AH15" i="8"/>
  <c r="V15" i="8"/>
  <c r="J15" i="8"/>
  <c r="BE15" i="8"/>
  <c r="AS15" i="8"/>
  <c r="AG15" i="8"/>
  <c r="U15" i="8"/>
  <c r="I15" i="8"/>
  <c r="BM15" i="8"/>
  <c r="BA15" i="8"/>
  <c r="AO15" i="8"/>
  <c r="AC15" i="8"/>
  <c r="Q15" i="8"/>
  <c r="E15" i="8"/>
  <c r="BN15" i="8"/>
  <c r="AP15" i="8"/>
  <c r="R15" i="8"/>
  <c r="AY15" i="8"/>
  <c r="BL15" i="8"/>
  <c r="AN15" i="8"/>
  <c r="P15" i="8"/>
  <c r="BK15" i="8"/>
  <c r="AM15" i="8"/>
  <c r="O15" i="8"/>
  <c r="BI15" i="8"/>
  <c r="AK15" i="8"/>
  <c r="M15" i="8"/>
  <c r="D15" i="8"/>
  <c r="Y15" i="8"/>
  <c r="BD15" i="8"/>
  <c r="AF15" i="8"/>
  <c r="H15" i="8"/>
  <c r="AZ15" i="8"/>
  <c r="BC15" i="8"/>
  <c r="AE15" i="8"/>
  <c r="G15" i="8"/>
  <c r="AB15" i="8"/>
  <c r="AA15" i="8"/>
  <c r="BB15" i="8"/>
  <c r="AD15" i="8"/>
  <c r="F15" i="8"/>
  <c r="C15" i="8"/>
  <c r="AW15" i="8"/>
  <c r="AQ15" i="8"/>
  <c r="T15" i="8"/>
  <c r="AR15" i="8"/>
  <c r="S15" i="8"/>
  <c r="BH56" i="8"/>
  <c r="AV56" i="8"/>
  <c r="AJ56" i="8"/>
  <c r="BF56" i="8"/>
  <c r="AT56" i="8"/>
  <c r="AH56" i="8"/>
  <c r="V56" i="8"/>
  <c r="J56" i="8"/>
  <c r="BE56" i="8"/>
  <c r="AS56" i="8"/>
  <c r="AG56" i="8"/>
  <c r="U56" i="8"/>
  <c r="I56" i="8"/>
  <c r="BG56" i="8"/>
  <c r="AP56" i="8"/>
  <c r="AA56" i="8"/>
  <c r="M56" i="8"/>
  <c r="BC56" i="8"/>
  <c r="AN56" i="8"/>
  <c r="Y56" i="8"/>
  <c r="K56" i="8"/>
  <c r="BB56" i="8"/>
  <c r="AM56" i="8"/>
  <c r="X56" i="8"/>
  <c r="H56" i="8"/>
  <c r="BA56" i="8"/>
  <c r="AL56" i="8"/>
  <c r="W56" i="8"/>
  <c r="G56" i="8"/>
  <c r="BN56" i="8"/>
  <c r="AY56" i="8"/>
  <c r="AI56" i="8"/>
  <c r="S56" i="8"/>
  <c r="E56" i="8"/>
  <c r="BK56" i="8"/>
  <c r="AF56" i="8"/>
  <c r="L56" i="8"/>
  <c r="BI56" i="8"/>
  <c r="AD56" i="8"/>
  <c r="D56" i="8"/>
  <c r="BD56" i="8"/>
  <c r="AC56" i="8"/>
  <c r="C56" i="8"/>
  <c r="AZ56" i="8"/>
  <c r="AB56" i="8"/>
  <c r="AX56" i="8"/>
  <c r="Z56" i="8"/>
  <c r="AQ56" i="8"/>
  <c r="P56" i="8"/>
  <c r="AR56" i="8"/>
  <c r="O56" i="8"/>
  <c r="F56" i="8"/>
  <c r="AO56" i="8"/>
  <c r="AK56" i="8"/>
  <c r="AE56" i="8"/>
  <c r="T56" i="8"/>
  <c r="BM56" i="8"/>
  <c r="N56" i="8"/>
  <c r="BJ56" i="8"/>
  <c r="R56" i="8"/>
  <c r="Q56" i="8"/>
  <c r="BL56" i="8"/>
  <c r="AW56" i="8"/>
  <c r="AU56" i="8"/>
  <c r="BD36" i="8"/>
  <c r="AR36" i="8"/>
  <c r="AF36" i="8"/>
  <c r="T36" i="8"/>
  <c r="H36" i="8"/>
  <c r="BN36" i="8"/>
  <c r="BB36" i="8"/>
  <c r="AP36" i="8"/>
  <c r="AD36" i="8"/>
  <c r="R36" i="8"/>
  <c r="F36" i="8"/>
  <c r="BM36" i="8"/>
  <c r="BA36" i="8"/>
  <c r="AO36" i="8"/>
  <c r="AC36" i="8"/>
  <c r="Q36" i="8"/>
  <c r="E36" i="8"/>
  <c r="BL36" i="8"/>
  <c r="AZ36" i="8"/>
  <c r="AN36" i="8"/>
  <c r="AB36" i="8"/>
  <c r="P36" i="8"/>
  <c r="D36" i="8"/>
  <c r="BJ36" i="8"/>
  <c r="AX36" i="8"/>
  <c r="AL36" i="8"/>
  <c r="Z36" i="8"/>
  <c r="N36" i="8"/>
  <c r="AV36" i="8"/>
  <c r="AA36" i="8"/>
  <c r="I36" i="8"/>
  <c r="AT36" i="8"/>
  <c r="X36" i="8"/>
  <c r="C36" i="8"/>
  <c r="BK36" i="8"/>
  <c r="AS36" i="8"/>
  <c r="W36" i="8"/>
  <c r="BI36" i="8"/>
  <c r="AQ36" i="8"/>
  <c r="V36" i="8"/>
  <c r="BH36" i="8"/>
  <c r="AM36" i="8"/>
  <c r="U36" i="8"/>
  <c r="BC36" i="8"/>
  <c r="AH36" i="8"/>
  <c r="L36" i="8"/>
  <c r="AI36" i="8"/>
  <c r="AU36" i="8"/>
  <c r="AG36" i="8"/>
  <c r="J36" i="8"/>
  <c r="AE36" i="8"/>
  <c r="Y36" i="8"/>
  <c r="AY36" i="8"/>
  <c r="BG36" i="8"/>
  <c r="S36" i="8"/>
  <c r="K36" i="8"/>
  <c r="AW36" i="8"/>
  <c r="BF36" i="8"/>
  <c r="O36" i="8"/>
  <c r="G36" i="8"/>
  <c r="BE36" i="8"/>
  <c r="M36" i="8"/>
  <c r="AK36" i="8"/>
  <c r="AJ36" i="8"/>
  <c r="BA8" i="28"/>
  <c r="BB27" i="29"/>
  <c r="L50" i="28"/>
  <c r="BC26" i="30"/>
  <c r="BB55" i="31"/>
  <c r="BB19" i="31"/>
  <c r="BA16" i="28"/>
  <c r="BC61" i="30"/>
  <c r="M61" i="30"/>
  <c r="O35" i="35"/>
  <c r="BB30" i="30"/>
  <c r="BB29" i="29"/>
  <c r="BB41" i="29"/>
  <c r="BB38" i="31"/>
  <c r="M9" i="30"/>
  <c r="BC9" i="30"/>
  <c r="BB50" i="30"/>
  <c r="BC8" i="30"/>
  <c r="BA49" i="28"/>
  <c r="BA13" i="28"/>
  <c r="BB60" i="31"/>
  <c r="BB24" i="31"/>
  <c r="D8" i="34"/>
  <c r="K10" i="31"/>
  <c r="K10" i="30"/>
  <c r="K10" i="29"/>
  <c r="J10" i="28"/>
  <c r="F70" i="1"/>
  <c r="D31" i="39"/>
  <c r="Y61" i="31"/>
  <c r="AG11" i="31"/>
  <c r="AV59" i="28"/>
  <c r="AK46" i="29"/>
  <c r="AV43" i="28"/>
  <c r="AK65" i="31"/>
  <c r="D30" i="39"/>
  <c r="AJ29" i="28"/>
  <c r="AK5" i="31"/>
  <c r="D65" i="39"/>
  <c r="AJ64" i="28"/>
  <c r="AG48" i="31"/>
  <c r="AW15" i="30"/>
  <c r="AG35" i="30"/>
  <c r="AK9" i="29"/>
  <c r="AK56" i="29"/>
  <c r="AK32" i="31"/>
  <c r="AG9" i="31"/>
  <c r="Y22" i="31"/>
  <c r="R11" i="24"/>
  <c r="J22" i="24"/>
  <c r="R22" i="24" s="1"/>
  <c r="R26" i="13"/>
  <c r="R62" i="13"/>
  <c r="J25" i="24"/>
  <c r="R25" i="24" s="1"/>
  <c r="R15" i="13"/>
  <c r="R34" i="17"/>
  <c r="R54" i="17"/>
  <c r="J36" i="34"/>
  <c r="AI38" i="31"/>
  <c r="AI38" i="30"/>
  <c r="AK38" i="30" s="1"/>
  <c r="AI38" i="29"/>
  <c r="AK38" i="29" s="1"/>
  <c r="AH38" i="28"/>
  <c r="AG66" i="30"/>
  <c r="Y21" i="30"/>
  <c r="AG53" i="30"/>
  <c r="R69" i="13"/>
  <c r="Y8" i="29"/>
  <c r="R25" i="17"/>
  <c r="AF40" i="28"/>
  <c r="AG16" i="30"/>
  <c r="R35" i="15"/>
  <c r="AG63" i="30"/>
  <c r="AC67" i="28"/>
  <c r="I32" i="34"/>
  <c r="AE34" i="31"/>
  <c r="AG34" i="31" s="1"/>
  <c r="AE34" i="30"/>
  <c r="AG34" i="30" s="1"/>
  <c r="AE34" i="29"/>
  <c r="AG34" i="29" s="1"/>
  <c r="AD34" i="28"/>
  <c r="R64" i="15"/>
  <c r="X54" i="28"/>
  <c r="D64" i="39"/>
  <c r="D27" i="39"/>
  <c r="R9" i="15"/>
  <c r="AF49" i="28"/>
  <c r="R45" i="11"/>
  <c r="W11" i="31"/>
  <c r="Y11" i="31" s="1"/>
  <c r="G9" i="34"/>
  <c r="W11" i="30"/>
  <c r="Y11" i="30" s="1"/>
  <c r="W11" i="29"/>
  <c r="Y11" i="29" s="1"/>
  <c r="V11" i="28"/>
  <c r="X11" i="28" s="1"/>
  <c r="R26" i="11"/>
  <c r="G42" i="34"/>
  <c r="W44" i="31"/>
  <c r="Y44" i="31" s="1"/>
  <c r="W44" i="30"/>
  <c r="Y44" i="30" s="1"/>
  <c r="W44" i="29"/>
  <c r="Y44" i="29" s="1"/>
  <c r="V44" i="28"/>
  <c r="X44" i="28" s="1"/>
  <c r="Y52" i="29"/>
  <c r="Y28" i="31"/>
  <c r="R8" i="11"/>
  <c r="X15" i="28"/>
  <c r="J30" i="25"/>
  <c r="X38" i="28"/>
  <c r="Y14" i="30"/>
  <c r="J12" i="25"/>
  <c r="J63" i="24"/>
  <c r="R63" i="24" s="1"/>
  <c r="Y13" i="29"/>
  <c r="Y24" i="30"/>
  <c r="M64" i="29"/>
  <c r="M40" i="30"/>
  <c r="BC40" i="30"/>
  <c r="O14" i="35"/>
  <c r="BB54" i="30"/>
  <c r="J66" i="24"/>
  <c r="R66" i="24" s="1"/>
  <c r="M42" i="30"/>
  <c r="BC42" i="30"/>
  <c r="O16" i="35"/>
  <c r="BB47" i="30"/>
  <c r="BB11" i="30"/>
  <c r="BC46" i="30"/>
  <c r="M46" i="30"/>
  <c r="BN14" i="8"/>
  <c r="BB14" i="8"/>
  <c r="AP14" i="8"/>
  <c r="AD14" i="8"/>
  <c r="R14" i="8"/>
  <c r="F14" i="8"/>
  <c r="BL14" i="8"/>
  <c r="AZ14" i="8"/>
  <c r="AN14" i="8"/>
  <c r="AB14" i="8"/>
  <c r="P14" i="8"/>
  <c r="D14" i="8"/>
  <c r="BK14" i="8"/>
  <c r="AY14" i="8"/>
  <c r="AM14" i="8"/>
  <c r="AA14" i="8"/>
  <c r="O14" i="8"/>
  <c r="C14" i="8"/>
  <c r="BJ14" i="8"/>
  <c r="AX14" i="8"/>
  <c r="AL14" i="8"/>
  <c r="Z14" i="8"/>
  <c r="N14" i="8"/>
  <c r="BI14" i="8"/>
  <c r="AW14" i="8"/>
  <c r="AK14" i="8"/>
  <c r="Y14" i="8"/>
  <c r="M14" i="8"/>
  <c r="BE14" i="8"/>
  <c r="AS14" i="8"/>
  <c r="AG14" i="8"/>
  <c r="U14" i="8"/>
  <c r="I14" i="8"/>
  <c r="BF14" i="8"/>
  <c r="AH14" i="8"/>
  <c r="J14" i="8"/>
  <c r="BD14" i="8"/>
  <c r="AF14" i="8"/>
  <c r="H14" i="8"/>
  <c r="AR14" i="8"/>
  <c r="AO14" i="8"/>
  <c r="BC14" i="8"/>
  <c r="AE14" i="8"/>
  <c r="G14" i="8"/>
  <c r="BM14" i="8"/>
  <c r="BA14" i="8"/>
  <c r="AC14" i="8"/>
  <c r="E14" i="8"/>
  <c r="S14" i="8"/>
  <c r="AV14" i="8"/>
  <c r="X14" i="8"/>
  <c r="AQ14" i="8"/>
  <c r="AU14" i="8"/>
  <c r="W14" i="8"/>
  <c r="Q14" i="8"/>
  <c r="AT14" i="8"/>
  <c r="V14" i="8"/>
  <c r="T14" i="8"/>
  <c r="AJ14" i="8"/>
  <c r="AI14" i="8"/>
  <c r="L14" i="8"/>
  <c r="K14" i="8"/>
  <c r="BH14" i="8"/>
  <c r="BG14" i="8"/>
  <c r="O51" i="35"/>
  <c r="M17" i="29"/>
  <c r="BB58" i="30"/>
  <c r="BB22" i="30"/>
  <c r="BB40" i="30"/>
  <c r="BB33" i="30"/>
  <c r="BC27" i="30"/>
  <c r="M27" i="30"/>
  <c r="BA20" i="28"/>
  <c r="L10" i="28"/>
  <c r="BD27" i="8"/>
  <c r="AR27" i="8"/>
  <c r="AF27" i="8"/>
  <c r="T27" i="8"/>
  <c r="H27" i="8"/>
  <c r="BN27" i="8"/>
  <c r="BB27" i="8"/>
  <c r="AP27" i="8"/>
  <c r="AD27" i="8"/>
  <c r="R27" i="8"/>
  <c r="F27" i="8"/>
  <c r="BL27" i="8"/>
  <c r="AZ27" i="8"/>
  <c r="AN27" i="8"/>
  <c r="AB27" i="8"/>
  <c r="P27" i="8"/>
  <c r="D27" i="8"/>
  <c r="BJ27" i="8"/>
  <c r="AX27" i="8"/>
  <c r="AL27" i="8"/>
  <c r="Z27" i="8"/>
  <c r="N27" i="8"/>
  <c r="BF27" i="8"/>
  <c r="AM27" i="8"/>
  <c r="V27" i="8"/>
  <c r="C27" i="8"/>
  <c r="BC27" i="8"/>
  <c r="AJ27" i="8"/>
  <c r="S27" i="8"/>
  <c r="BA27" i="8"/>
  <c r="AI27" i="8"/>
  <c r="Q27" i="8"/>
  <c r="AY27" i="8"/>
  <c r="AH27" i="8"/>
  <c r="O27" i="8"/>
  <c r="AW27" i="8"/>
  <c r="AG27" i="8"/>
  <c r="M27" i="8"/>
  <c r="BI27" i="8"/>
  <c r="AS27" i="8"/>
  <c r="Y27" i="8"/>
  <c r="I27" i="8"/>
  <c r="AT27" i="8"/>
  <c r="J27" i="8"/>
  <c r="AQ27" i="8"/>
  <c r="G27" i="8"/>
  <c r="X27" i="8"/>
  <c r="AO27" i="8"/>
  <c r="E27" i="8"/>
  <c r="AK27" i="8"/>
  <c r="AE27" i="8"/>
  <c r="BH27" i="8"/>
  <c r="BM27" i="8"/>
  <c r="AC27" i="8"/>
  <c r="BG27" i="8"/>
  <c r="BE27" i="8"/>
  <c r="BK27" i="8"/>
  <c r="AA27" i="8"/>
  <c r="W27" i="8"/>
  <c r="U27" i="8"/>
  <c r="L27" i="8"/>
  <c r="AV27" i="8"/>
  <c r="AU27" i="8"/>
  <c r="K27" i="8"/>
  <c r="BL21" i="8"/>
  <c r="AZ21" i="8"/>
  <c r="AN21" i="8"/>
  <c r="AB21" i="8"/>
  <c r="P21" i="8"/>
  <c r="D21" i="8"/>
  <c r="BJ21" i="8"/>
  <c r="AX21" i="8"/>
  <c r="AL21" i="8"/>
  <c r="BF21" i="8"/>
  <c r="AR21" i="8"/>
  <c r="AD21" i="8"/>
  <c r="Q21" i="8"/>
  <c r="C21" i="8"/>
  <c r="BD21" i="8"/>
  <c r="AP21" i="8"/>
  <c r="AA21" i="8"/>
  <c r="N21" i="8"/>
  <c r="BC21" i="8"/>
  <c r="AO21" i="8"/>
  <c r="Z21" i="8"/>
  <c r="M21" i="8"/>
  <c r="BB21" i="8"/>
  <c r="AM21" i="8"/>
  <c r="Y21" i="8"/>
  <c r="L21" i="8"/>
  <c r="BA21" i="8"/>
  <c r="AK21" i="8"/>
  <c r="X21" i="8"/>
  <c r="K21" i="8"/>
  <c r="BI21" i="8"/>
  <c r="AU21" i="8"/>
  <c r="AG21" i="8"/>
  <c r="T21" i="8"/>
  <c r="G21" i="8"/>
  <c r="BK21" i="8"/>
  <c r="AH21" i="8"/>
  <c r="H21" i="8"/>
  <c r="AS21" i="8"/>
  <c r="AQ21" i="8"/>
  <c r="BH21" i="8"/>
  <c r="AF21" i="8"/>
  <c r="F21" i="8"/>
  <c r="S21" i="8"/>
  <c r="BG21" i="8"/>
  <c r="AE21" i="8"/>
  <c r="E21" i="8"/>
  <c r="BE21" i="8"/>
  <c r="AC21" i="8"/>
  <c r="AY21" i="8"/>
  <c r="W21" i="8"/>
  <c r="AW21" i="8"/>
  <c r="V21" i="8"/>
  <c r="AT21" i="8"/>
  <c r="AV21" i="8"/>
  <c r="U21" i="8"/>
  <c r="R21" i="8"/>
  <c r="O21" i="8"/>
  <c r="AJ21" i="8"/>
  <c r="AI21" i="8"/>
  <c r="J21" i="8"/>
  <c r="I21" i="8"/>
  <c r="BN21" i="8"/>
  <c r="BM21" i="8"/>
  <c r="BD48" i="8"/>
  <c r="AR48" i="8"/>
  <c r="AF48" i="8"/>
  <c r="T48" i="8"/>
  <c r="H48" i="8"/>
  <c r="BN48" i="8"/>
  <c r="BB48" i="8"/>
  <c r="AP48" i="8"/>
  <c r="AD48" i="8"/>
  <c r="R48" i="8"/>
  <c r="F48" i="8"/>
  <c r="BM48" i="8"/>
  <c r="BA48" i="8"/>
  <c r="AO48" i="8"/>
  <c r="AC48" i="8"/>
  <c r="Q48" i="8"/>
  <c r="E48" i="8"/>
  <c r="BL48" i="8"/>
  <c r="AZ48" i="8"/>
  <c r="AN48" i="8"/>
  <c r="AB48" i="8"/>
  <c r="P48" i="8"/>
  <c r="D48" i="8"/>
  <c r="BJ48" i="8"/>
  <c r="AX48" i="8"/>
  <c r="AL48" i="8"/>
  <c r="Z48" i="8"/>
  <c r="N48" i="8"/>
  <c r="BI48" i="8"/>
  <c r="AQ48" i="8"/>
  <c r="V48" i="8"/>
  <c r="BG48" i="8"/>
  <c r="AK48" i="8"/>
  <c r="S48" i="8"/>
  <c r="BF48" i="8"/>
  <c r="AJ48" i="8"/>
  <c r="O48" i="8"/>
  <c r="BE48" i="8"/>
  <c r="AI48" i="8"/>
  <c r="M48" i="8"/>
  <c r="BC48" i="8"/>
  <c r="AH48" i="8"/>
  <c r="L48" i="8"/>
  <c r="AU48" i="8"/>
  <c r="Y48" i="8"/>
  <c r="G48" i="8"/>
  <c r="AV48" i="8"/>
  <c r="I48" i="8"/>
  <c r="AT48" i="8"/>
  <c r="C48" i="8"/>
  <c r="U48" i="8"/>
  <c r="AS48" i="8"/>
  <c r="BK48" i="8"/>
  <c r="AM48" i="8"/>
  <c r="AG48" i="8"/>
  <c r="W48" i="8"/>
  <c r="AE48" i="8"/>
  <c r="X48" i="8"/>
  <c r="AA48" i="8"/>
  <c r="BH48" i="8"/>
  <c r="AY48" i="8"/>
  <c r="AW48" i="8"/>
  <c r="K48" i="8"/>
  <c r="J48" i="8"/>
  <c r="M15" i="30"/>
  <c r="BC15" i="30"/>
  <c r="BB8" i="29"/>
  <c r="BB27" i="30"/>
  <c r="M50" i="29"/>
  <c r="M26" i="31"/>
  <c r="BA43" i="28"/>
  <c r="BA7" i="28"/>
  <c r="BB16" i="29"/>
  <c r="M61" i="31"/>
  <c r="BB30" i="29"/>
  <c r="BB29" i="30"/>
  <c r="BC48" i="30"/>
  <c r="M48" i="30"/>
  <c r="O22" i="35"/>
  <c r="BB41" i="30"/>
  <c r="O33" i="35"/>
  <c r="BB50" i="31"/>
  <c r="M32" i="29"/>
  <c r="BB49" i="29"/>
  <c r="BB13" i="29"/>
  <c r="O41" i="35"/>
  <c r="BA48" i="28"/>
  <c r="BA12" i="28"/>
  <c r="D54" i="34"/>
  <c r="K56" i="31"/>
  <c r="M56" i="31" s="1"/>
  <c r="K56" i="30"/>
  <c r="M56" i="30" s="1"/>
  <c r="K56" i="29"/>
  <c r="M56" i="29" s="1"/>
  <c r="J56" i="28"/>
  <c r="L56" i="28" s="1"/>
  <c r="AG46" i="31"/>
  <c r="AW65" i="31"/>
  <c r="AF43" i="28"/>
  <c r="R37" i="24"/>
  <c r="AG35" i="29"/>
  <c r="AX67" i="31"/>
  <c r="D12" i="39"/>
  <c r="D36" i="39"/>
  <c r="AK46" i="30"/>
  <c r="E70" i="25"/>
  <c r="F70" i="25" s="1"/>
  <c r="F6" i="25"/>
  <c r="G6" i="25" s="1"/>
  <c r="AK7" i="31"/>
  <c r="AF34" i="28"/>
  <c r="AK29" i="29"/>
  <c r="AK40" i="31"/>
  <c r="D5" i="39"/>
  <c r="AW15" i="31"/>
  <c r="AG59" i="29"/>
  <c r="AG35" i="31"/>
  <c r="K70" i="15"/>
  <c r="R53" i="24"/>
  <c r="AK56" i="30"/>
  <c r="J64" i="24"/>
  <c r="R64" i="24" s="1"/>
  <c r="J8" i="24"/>
  <c r="R8" i="24" s="1"/>
  <c r="J19" i="24"/>
  <c r="R19" i="24" s="1"/>
  <c r="Y67" i="28"/>
  <c r="R29" i="13"/>
  <c r="R65" i="13"/>
  <c r="R11" i="13"/>
  <c r="R40" i="17"/>
  <c r="J9" i="34"/>
  <c r="AI11" i="31"/>
  <c r="AK11" i="31" s="1"/>
  <c r="AI11" i="30"/>
  <c r="AK11" i="30" s="1"/>
  <c r="AI11" i="29"/>
  <c r="AH11" i="28"/>
  <c r="AJ11" i="28" s="1"/>
  <c r="R57" i="17"/>
  <c r="R44" i="17"/>
  <c r="Y21" i="31"/>
  <c r="R67" i="13"/>
  <c r="X32" i="28"/>
  <c r="Y8" i="30"/>
  <c r="J6" i="34"/>
  <c r="AI8" i="31"/>
  <c r="AK8" i="31" s="1"/>
  <c r="AI8" i="30"/>
  <c r="AK8" i="30" s="1"/>
  <c r="AI8" i="29"/>
  <c r="AK8" i="29" s="1"/>
  <c r="AH8" i="28"/>
  <c r="AJ8" i="28" s="1"/>
  <c r="R29" i="15"/>
  <c r="AG63" i="31"/>
  <c r="AF27" i="28"/>
  <c r="AD67" i="29"/>
  <c r="I35" i="34"/>
  <c r="AE37" i="31"/>
  <c r="AE37" i="30"/>
  <c r="AE37" i="29"/>
  <c r="AD37" i="28"/>
  <c r="AF37" i="28" s="1"/>
  <c r="R60" i="15"/>
  <c r="Y54" i="29"/>
  <c r="Y30" i="31"/>
  <c r="AK26" i="29"/>
  <c r="D38" i="39"/>
  <c r="AG25" i="31"/>
  <c r="R54" i="11"/>
  <c r="W46" i="31"/>
  <c r="Y46" i="31" s="1"/>
  <c r="W46" i="30"/>
  <c r="Y46" i="30" s="1"/>
  <c r="G44" i="34"/>
  <c r="W46" i="29"/>
  <c r="Y46" i="29" s="1"/>
  <c r="V46" i="28"/>
  <c r="X46" i="28" s="1"/>
  <c r="R29" i="11"/>
  <c r="R50" i="11"/>
  <c r="Y52" i="30"/>
  <c r="G70" i="11"/>
  <c r="J6" i="11"/>
  <c r="Y15" i="29"/>
  <c r="J39" i="24"/>
  <c r="R39" i="24" s="1"/>
  <c r="Y38" i="29"/>
  <c r="K19" i="21"/>
  <c r="R19" i="21" s="1"/>
  <c r="K9" i="21"/>
  <c r="K16" i="21"/>
  <c r="R16" i="21" s="1"/>
  <c r="K6" i="21"/>
  <c r="K68" i="21"/>
  <c r="R68" i="21" s="1"/>
  <c r="K65" i="21"/>
  <c r="K62" i="21"/>
  <c r="R62" i="21" s="1"/>
  <c r="K59" i="21"/>
  <c r="R59" i="21" s="1"/>
  <c r="K56" i="21"/>
  <c r="K53" i="21"/>
  <c r="K50" i="21"/>
  <c r="R50" i="21" s="1"/>
  <c r="K47" i="21"/>
  <c r="R47" i="21" s="1"/>
  <c r="K44" i="21"/>
  <c r="R44" i="21" s="1"/>
  <c r="K41" i="21"/>
  <c r="R41" i="21" s="1"/>
  <c r="K38" i="21"/>
  <c r="R38" i="21" s="1"/>
  <c r="K35" i="21"/>
  <c r="R35" i="21" s="1"/>
  <c r="K32" i="21"/>
  <c r="R32" i="21" s="1"/>
  <c r="K29" i="21"/>
  <c r="R29" i="21" s="1"/>
  <c r="K26" i="21"/>
  <c r="K23" i="21"/>
  <c r="R23" i="21" s="1"/>
  <c r="K13" i="21"/>
  <c r="K20" i="21"/>
  <c r="R20" i="21" s="1"/>
  <c r="K10" i="21"/>
  <c r="K17" i="21"/>
  <c r="R17" i="21" s="1"/>
  <c r="K14" i="21"/>
  <c r="R14" i="21" s="1"/>
  <c r="K7" i="21"/>
  <c r="R7" i="21" s="1"/>
  <c r="K69" i="21"/>
  <c r="R69" i="21" s="1"/>
  <c r="K66" i="21"/>
  <c r="R66" i="21" s="1"/>
  <c r="K63" i="21"/>
  <c r="R63" i="21" s="1"/>
  <c r="K60" i="21"/>
  <c r="K57" i="21"/>
  <c r="K54" i="21"/>
  <c r="R54" i="21" s="1"/>
  <c r="K51" i="21"/>
  <c r="R51" i="21" s="1"/>
  <c r="K48" i="21"/>
  <c r="K45" i="21"/>
  <c r="R45" i="21" s="1"/>
  <c r="K42" i="21"/>
  <c r="R42" i="21" s="1"/>
  <c r="K39" i="21"/>
  <c r="R39" i="21" s="1"/>
  <c r="K36" i="21"/>
  <c r="R36" i="21" s="1"/>
  <c r="K33" i="21"/>
  <c r="K30" i="21"/>
  <c r="R30" i="21" s="1"/>
  <c r="K27" i="21"/>
  <c r="R27" i="21" s="1"/>
  <c r="K24" i="21"/>
  <c r="R24" i="21" s="1"/>
  <c r="K21" i="21"/>
  <c r="R21" i="21" s="1"/>
  <c r="K11" i="21"/>
  <c r="R11" i="21" s="1"/>
  <c r="K67" i="21"/>
  <c r="R67" i="21" s="1"/>
  <c r="K31" i="21"/>
  <c r="K18" i="21"/>
  <c r="R18" i="21" s="1"/>
  <c r="K64" i="21"/>
  <c r="R64" i="21" s="1"/>
  <c r="K28" i="21"/>
  <c r="R28" i="21" s="1"/>
  <c r="K8" i="21"/>
  <c r="R8" i="21" s="1"/>
  <c r="K61" i="21"/>
  <c r="R61" i="21" s="1"/>
  <c r="K25" i="21"/>
  <c r="R25" i="21" s="1"/>
  <c r="K58" i="21"/>
  <c r="R58" i="21" s="1"/>
  <c r="K22" i="21"/>
  <c r="R22" i="21" s="1"/>
  <c r="K15" i="21"/>
  <c r="K55" i="21"/>
  <c r="R55" i="21" s="1"/>
  <c r="K12" i="21"/>
  <c r="K52" i="21"/>
  <c r="R52" i="21" s="1"/>
  <c r="K34" i="21"/>
  <c r="R34" i="21" s="1"/>
  <c r="K40" i="21"/>
  <c r="R40" i="21" s="1"/>
  <c r="K37" i="21"/>
  <c r="R37" i="21" s="1"/>
  <c r="K43" i="21"/>
  <c r="R43" i="21" s="1"/>
  <c r="K49" i="21"/>
  <c r="K46" i="21"/>
  <c r="R46" i="21" s="1"/>
  <c r="J47" i="24"/>
  <c r="R47" i="24" s="1"/>
  <c r="X37" i="28"/>
  <c r="Y13" i="30"/>
  <c r="M40" i="31"/>
  <c r="BB54" i="31"/>
  <c r="L6" i="28"/>
  <c r="BB47" i="31"/>
  <c r="BB11" i="31"/>
  <c r="M46" i="31"/>
  <c r="L41" i="28"/>
  <c r="BC17" i="30"/>
  <c r="BB58" i="31"/>
  <c r="BB22" i="31"/>
  <c r="BB40" i="31"/>
  <c r="BB33" i="31"/>
  <c r="O25" i="35"/>
  <c r="BB20" i="30"/>
  <c r="M10" i="29"/>
  <c r="BD39" i="8"/>
  <c r="AR39" i="8"/>
  <c r="AF39" i="8"/>
  <c r="T39" i="8"/>
  <c r="H39" i="8"/>
  <c r="BN39" i="8"/>
  <c r="BB39" i="8"/>
  <c r="AP39" i="8"/>
  <c r="AD39" i="8"/>
  <c r="R39" i="8"/>
  <c r="F39" i="8"/>
  <c r="BM39" i="8"/>
  <c r="BA39" i="8"/>
  <c r="AO39" i="8"/>
  <c r="AC39" i="8"/>
  <c r="Q39" i="8"/>
  <c r="E39" i="8"/>
  <c r="BL39" i="8"/>
  <c r="AZ39" i="8"/>
  <c r="AN39" i="8"/>
  <c r="AB39" i="8"/>
  <c r="P39" i="8"/>
  <c r="D39" i="8"/>
  <c r="BJ39" i="8"/>
  <c r="AX39" i="8"/>
  <c r="AL39" i="8"/>
  <c r="Z39" i="8"/>
  <c r="N39" i="8"/>
  <c r="BI39" i="8"/>
  <c r="AQ39" i="8"/>
  <c r="V39" i="8"/>
  <c r="BG39" i="8"/>
  <c r="AK39" i="8"/>
  <c r="S39" i="8"/>
  <c r="BF39" i="8"/>
  <c r="AJ39" i="8"/>
  <c r="O39" i="8"/>
  <c r="BE39" i="8"/>
  <c r="AI39" i="8"/>
  <c r="M39" i="8"/>
  <c r="BC39" i="8"/>
  <c r="AH39" i="8"/>
  <c r="L39" i="8"/>
  <c r="AU39" i="8"/>
  <c r="Y39" i="8"/>
  <c r="G39" i="8"/>
  <c r="AV39" i="8"/>
  <c r="I39" i="8"/>
  <c r="AT39" i="8"/>
  <c r="C39" i="8"/>
  <c r="X39" i="8"/>
  <c r="BK39" i="8"/>
  <c r="U39" i="8"/>
  <c r="AS39" i="8"/>
  <c r="AM39" i="8"/>
  <c r="W39" i="8"/>
  <c r="AG39" i="8"/>
  <c r="AE39" i="8"/>
  <c r="BH39" i="8"/>
  <c r="AA39" i="8"/>
  <c r="K39" i="8"/>
  <c r="AY39" i="8"/>
  <c r="AW39" i="8"/>
  <c r="J39" i="8"/>
  <c r="BD33" i="8"/>
  <c r="AR33" i="8"/>
  <c r="AF33" i="8"/>
  <c r="T33" i="8"/>
  <c r="H33" i="8"/>
  <c r="BN33" i="8"/>
  <c r="BB33" i="8"/>
  <c r="AP33" i="8"/>
  <c r="AD33" i="8"/>
  <c r="R33" i="8"/>
  <c r="F33" i="8"/>
  <c r="BM33" i="8"/>
  <c r="BA33" i="8"/>
  <c r="AO33" i="8"/>
  <c r="AC33" i="8"/>
  <c r="Q33" i="8"/>
  <c r="E33" i="8"/>
  <c r="BL33" i="8"/>
  <c r="AZ33" i="8"/>
  <c r="AN33" i="8"/>
  <c r="AB33" i="8"/>
  <c r="P33" i="8"/>
  <c r="D33" i="8"/>
  <c r="BJ33" i="8"/>
  <c r="AX33" i="8"/>
  <c r="AL33" i="8"/>
  <c r="Z33" i="8"/>
  <c r="N33" i="8"/>
  <c r="BE33" i="8"/>
  <c r="AI33" i="8"/>
  <c r="M33" i="8"/>
  <c r="AY33" i="8"/>
  <c r="AG33" i="8"/>
  <c r="K33" i="8"/>
  <c r="AW33" i="8"/>
  <c r="AE33" i="8"/>
  <c r="J33" i="8"/>
  <c r="AV33" i="8"/>
  <c r="AA33" i="8"/>
  <c r="I33" i="8"/>
  <c r="AU33" i="8"/>
  <c r="Y33" i="8"/>
  <c r="G33" i="8"/>
  <c r="BH33" i="8"/>
  <c r="AM33" i="8"/>
  <c r="U33" i="8"/>
  <c r="BI33" i="8"/>
  <c r="V33" i="8"/>
  <c r="BG33" i="8"/>
  <c r="S33" i="8"/>
  <c r="BF33" i="8"/>
  <c r="O33" i="8"/>
  <c r="BC33" i="8"/>
  <c r="L33" i="8"/>
  <c r="AH33" i="8"/>
  <c r="AT33" i="8"/>
  <c r="C33" i="8"/>
  <c r="AS33" i="8"/>
  <c r="AK33" i="8"/>
  <c r="AQ33" i="8"/>
  <c r="AJ33" i="8"/>
  <c r="X33" i="8"/>
  <c r="W33" i="8"/>
  <c r="BK33" i="8"/>
  <c r="BD60" i="8"/>
  <c r="AR60" i="8"/>
  <c r="AF60" i="8"/>
  <c r="T60" i="8"/>
  <c r="H60" i="8"/>
  <c r="BN60" i="8"/>
  <c r="BB60" i="8"/>
  <c r="AP60" i="8"/>
  <c r="AD60" i="8"/>
  <c r="R60" i="8"/>
  <c r="F60" i="8"/>
  <c r="BM60" i="8"/>
  <c r="BA60" i="8"/>
  <c r="AO60" i="8"/>
  <c r="AC60" i="8"/>
  <c r="Q60" i="8"/>
  <c r="E60" i="8"/>
  <c r="BL60" i="8"/>
  <c r="AZ60" i="8"/>
  <c r="BH60" i="8"/>
  <c r="AQ60" i="8"/>
  <c r="Z60" i="8"/>
  <c r="K60" i="8"/>
  <c r="BF60" i="8"/>
  <c r="AM60" i="8"/>
  <c r="X60" i="8"/>
  <c r="I60" i="8"/>
  <c r="BE60" i="8"/>
  <c r="AL60" i="8"/>
  <c r="W60" i="8"/>
  <c r="G60" i="8"/>
  <c r="BC60" i="8"/>
  <c r="AK60" i="8"/>
  <c r="V60" i="8"/>
  <c r="D60" i="8"/>
  <c r="AX60" i="8"/>
  <c r="AI60" i="8"/>
  <c r="S60" i="8"/>
  <c r="BK60" i="8"/>
  <c r="AU60" i="8"/>
  <c r="AE60" i="8"/>
  <c r="N60" i="8"/>
  <c r="AW60" i="8"/>
  <c r="P60" i="8"/>
  <c r="AT60" i="8"/>
  <c r="M60" i="8"/>
  <c r="AS60" i="8"/>
  <c r="L60" i="8"/>
  <c r="AN60" i="8"/>
  <c r="J60" i="8"/>
  <c r="AJ60" i="8"/>
  <c r="C60" i="8"/>
  <c r="BI60" i="8"/>
  <c r="AA60" i="8"/>
  <c r="AB60" i="8"/>
  <c r="Y60" i="8"/>
  <c r="U60" i="8"/>
  <c r="AY60" i="8"/>
  <c r="O60" i="8"/>
  <c r="AV60" i="8"/>
  <c r="BJ60" i="8"/>
  <c r="BG60" i="8"/>
  <c r="AH60" i="8"/>
  <c r="AG60" i="8"/>
  <c r="BC63" i="30"/>
  <c r="M63" i="30"/>
  <c r="M15" i="31"/>
  <c r="BB8" i="30"/>
  <c r="BB27" i="31"/>
  <c r="M50" i="30"/>
  <c r="BC50" i="30"/>
  <c r="O24" i="35"/>
  <c r="BB43" i="29"/>
  <c r="BB7" i="29"/>
  <c r="BB16" i="30"/>
  <c r="O59" i="35"/>
  <c r="BB30" i="31"/>
  <c r="BB29" i="31"/>
  <c r="L12" i="28"/>
  <c r="BB41" i="31"/>
  <c r="BB64" i="29"/>
  <c r="M33" i="30"/>
  <c r="BC33" i="30"/>
  <c r="O7" i="35"/>
  <c r="BA26" i="28"/>
  <c r="M32" i="30"/>
  <c r="BC32" i="30"/>
  <c r="O6" i="35"/>
  <c r="BB49" i="30"/>
  <c r="BB13" i="30"/>
  <c r="M31" i="29"/>
  <c r="M7" i="30"/>
  <c r="BC7" i="30"/>
  <c r="BB48" i="29"/>
  <c r="BB12" i="29"/>
  <c r="D29" i="34"/>
  <c r="K31" i="31"/>
  <c r="M31" i="31" s="1"/>
  <c r="K31" i="30"/>
  <c r="K31" i="29"/>
  <c r="J31" i="28"/>
  <c r="L31" i="28" s="1"/>
  <c r="D62" i="34"/>
  <c r="K64" i="31"/>
  <c r="M64" i="31" s="1"/>
  <c r="K64" i="30"/>
  <c r="M64" i="30" s="1"/>
  <c r="K64" i="29"/>
  <c r="J64" i="28"/>
  <c r="L64" i="28" s="1"/>
  <c r="R46" i="17"/>
  <c r="R24" i="17"/>
  <c r="R60" i="17"/>
  <c r="J42" i="34"/>
  <c r="AI44" i="31"/>
  <c r="AI44" i="30"/>
  <c r="AK44" i="30" s="1"/>
  <c r="AI44" i="29"/>
  <c r="AK44" i="29" s="1"/>
  <c r="AH44" i="28"/>
  <c r="AJ44" i="28" s="1"/>
  <c r="Y45" i="30"/>
  <c r="AG17" i="30"/>
  <c r="R33" i="13"/>
  <c r="Y32" i="29"/>
  <c r="Y8" i="31"/>
  <c r="R23" i="15"/>
  <c r="AG27" i="29"/>
  <c r="AD67" i="30"/>
  <c r="I38" i="34"/>
  <c r="AE40" i="31"/>
  <c r="AG40" i="31" s="1"/>
  <c r="AE40" i="30"/>
  <c r="AG40" i="30" s="1"/>
  <c r="AE40" i="29"/>
  <c r="AG40" i="29" s="1"/>
  <c r="AD40" i="28"/>
  <c r="I58" i="34"/>
  <c r="AE60" i="31"/>
  <c r="AG60" i="31" s="1"/>
  <c r="AE60" i="30"/>
  <c r="AG60" i="30" s="1"/>
  <c r="AE60" i="29"/>
  <c r="AG60" i="29" s="1"/>
  <c r="AD60" i="28"/>
  <c r="AF60" i="28" s="1"/>
  <c r="D4" i="39"/>
  <c r="AG67" i="28"/>
  <c r="J41" i="24"/>
  <c r="R41" i="24" s="1"/>
  <c r="D51" i="39"/>
  <c r="AK26" i="30"/>
  <c r="G70" i="19"/>
  <c r="J6" i="19"/>
  <c r="D13" i="39"/>
  <c r="G58" i="34"/>
  <c r="W60" i="31"/>
  <c r="Y60" i="31" s="1"/>
  <c r="W60" i="30"/>
  <c r="Y60" i="30" s="1"/>
  <c r="W60" i="29"/>
  <c r="V60" i="28"/>
  <c r="X60" i="28" s="1"/>
  <c r="W55" i="31"/>
  <c r="Y55" i="31" s="1"/>
  <c r="G53" i="34"/>
  <c r="W55" i="29"/>
  <c r="W55" i="30"/>
  <c r="Y55" i="30" s="1"/>
  <c r="V55" i="28"/>
  <c r="X55" i="28" s="1"/>
  <c r="R32" i="11"/>
  <c r="G48" i="34"/>
  <c r="W50" i="31"/>
  <c r="Y50" i="31" s="1"/>
  <c r="W50" i="30"/>
  <c r="Y50" i="30" s="1"/>
  <c r="W50" i="29"/>
  <c r="Y50" i="29" s="1"/>
  <c r="V50" i="28"/>
  <c r="X50" i="28" s="1"/>
  <c r="J21" i="25"/>
  <c r="Y52" i="31"/>
  <c r="X39" i="28"/>
  <c r="Y15" i="30"/>
  <c r="J36" i="24"/>
  <c r="R36" i="24" s="1"/>
  <c r="X62" i="28"/>
  <c r="Y38" i="30"/>
  <c r="T11" i="5"/>
  <c r="T4" i="5"/>
  <c r="G47" i="34"/>
  <c r="W49" i="31"/>
  <c r="Y49" i="31" s="1"/>
  <c r="W49" i="30"/>
  <c r="W49" i="29"/>
  <c r="V49" i="28"/>
  <c r="X49" i="28" s="1"/>
  <c r="R33" i="21"/>
  <c r="Y37" i="29"/>
  <c r="Y13" i="31"/>
  <c r="BC64" i="30"/>
  <c r="O38" i="35"/>
  <c r="BA42" i="28"/>
  <c r="BC66" i="30"/>
  <c r="M66" i="30"/>
  <c r="O40" i="35"/>
  <c r="BA35" i="28"/>
  <c r="O44" i="35"/>
  <c r="M41" i="29"/>
  <c r="BA46" i="28"/>
  <c r="BA10" i="28"/>
  <c r="BA57" i="28"/>
  <c r="BA21" i="28"/>
  <c r="I67" i="28"/>
  <c r="BB20" i="31"/>
  <c r="BC10" i="30"/>
  <c r="M10" i="30"/>
  <c r="BN51" i="8"/>
  <c r="BB51" i="8"/>
  <c r="BM51" i="8"/>
  <c r="BA51" i="8"/>
  <c r="AO51" i="8"/>
  <c r="BG51" i="8"/>
  <c r="AS51" i="8"/>
  <c r="AF51" i="8"/>
  <c r="T51" i="8"/>
  <c r="H51" i="8"/>
  <c r="BE51" i="8"/>
  <c r="AQ51" i="8"/>
  <c r="AD51" i="8"/>
  <c r="R51" i="8"/>
  <c r="F51" i="8"/>
  <c r="BD51" i="8"/>
  <c r="AP51" i="8"/>
  <c r="AC51" i="8"/>
  <c r="Q51" i="8"/>
  <c r="E51" i="8"/>
  <c r="BC51" i="8"/>
  <c r="AN51" i="8"/>
  <c r="AB51" i="8"/>
  <c r="P51" i="8"/>
  <c r="D51" i="8"/>
  <c r="AY51" i="8"/>
  <c r="AL51" i="8"/>
  <c r="Z51" i="8"/>
  <c r="N51" i="8"/>
  <c r="BH51" i="8"/>
  <c r="AI51" i="8"/>
  <c r="M51" i="8"/>
  <c r="AZ51" i="8"/>
  <c r="AG51" i="8"/>
  <c r="K51" i="8"/>
  <c r="AX51" i="8"/>
  <c r="AE51" i="8"/>
  <c r="J51" i="8"/>
  <c r="AW51" i="8"/>
  <c r="AA51" i="8"/>
  <c r="I51" i="8"/>
  <c r="AV51" i="8"/>
  <c r="Y51" i="8"/>
  <c r="G51" i="8"/>
  <c r="BK51" i="8"/>
  <c r="AM51" i="8"/>
  <c r="U51" i="8"/>
  <c r="BL51" i="8"/>
  <c r="V51" i="8"/>
  <c r="BJ51" i="8"/>
  <c r="S51" i="8"/>
  <c r="BI51" i="8"/>
  <c r="O51" i="8"/>
  <c r="BF51" i="8"/>
  <c r="L51" i="8"/>
  <c r="AU51" i="8"/>
  <c r="C51" i="8"/>
  <c r="AT51" i="8"/>
  <c r="AK51" i="8"/>
  <c r="AJ51" i="8"/>
  <c r="AR51" i="8"/>
  <c r="AH51" i="8"/>
  <c r="W51" i="8"/>
  <c r="X51" i="8"/>
  <c r="BD45" i="8"/>
  <c r="AR45" i="8"/>
  <c r="AF45" i="8"/>
  <c r="T45" i="8"/>
  <c r="H45" i="8"/>
  <c r="BN45" i="8"/>
  <c r="BB45" i="8"/>
  <c r="AP45" i="8"/>
  <c r="AD45" i="8"/>
  <c r="R45" i="8"/>
  <c r="F45" i="8"/>
  <c r="BM45" i="8"/>
  <c r="BA45" i="8"/>
  <c r="AO45" i="8"/>
  <c r="AC45" i="8"/>
  <c r="Q45" i="8"/>
  <c r="E45" i="8"/>
  <c r="BL45" i="8"/>
  <c r="AZ45" i="8"/>
  <c r="AN45" i="8"/>
  <c r="AB45" i="8"/>
  <c r="P45" i="8"/>
  <c r="D45" i="8"/>
  <c r="BJ45" i="8"/>
  <c r="AX45" i="8"/>
  <c r="AL45" i="8"/>
  <c r="Z45" i="8"/>
  <c r="N45" i="8"/>
  <c r="AV45" i="8"/>
  <c r="AA45" i="8"/>
  <c r="I45" i="8"/>
  <c r="AT45" i="8"/>
  <c r="X45" i="8"/>
  <c r="C45" i="8"/>
  <c r="BK45" i="8"/>
  <c r="AS45" i="8"/>
  <c r="W45" i="8"/>
  <c r="BI45" i="8"/>
  <c r="AQ45" i="8"/>
  <c r="V45" i="8"/>
  <c r="BH45" i="8"/>
  <c r="AM45" i="8"/>
  <c r="U45" i="8"/>
  <c r="BC45" i="8"/>
  <c r="AH45" i="8"/>
  <c r="L45" i="8"/>
  <c r="AI45" i="8"/>
  <c r="AU45" i="8"/>
  <c r="AG45" i="8"/>
  <c r="AE45" i="8"/>
  <c r="Y45" i="8"/>
  <c r="J45" i="8"/>
  <c r="BG45" i="8"/>
  <c r="S45" i="8"/>
  <c r="K45" i="8"/>
  <c r="BF45" i="8"/>
  <c r="O45" i="8"/>
  <c r="AY45" i="8"/>
  <c r="BE45" i="8"/>
  <c r="M45" i="8"/>
  <c r="AW45" i="8"/>
  <c r="G45" i="8"/>
  <c r="AK45" i="8"/>
  <c r="AJ45" i="8"/>
  <c r="O13" i="35"/>
  <c r="BB8" i="31"/>
  <c r="M50" i="31"/>
  <c r="BB43" i="30"/>
  <c r="BB7" i="30"/>
  <c r="BB16" i="31"/>
  <c r="M25" i="30"/>
  <c r="BC25" i="30"/>
  <c r="BA18" i="28"/>
  <c r="M34" i="29"/>
  <c r="O46" i="35"/>
  <c r="BB17" i="29"/>
  <c r="BA64" i="28"/>
  <c r="BC22" i="30"/>
  <c r="M22" i="30"/>
  <c r="D41" i="34"/>
  <c r="K43" i="31"/>
  <c r="M43" i="31" s="1"/>
  <c r="K43" i="30"/>
  <c r="M43" i="30" s="1"/>
  <c r="K43" i="29"/>
  <c r="M43" i="29" s="1"/>
  <c r="J43" i="28"/>
  <c r="L43" i="28" s="1"/>
  <c r="M57" i="29"/>
  <c r="BB26" i="29"/>
  <c r="M32" i="31"/>
  <c r="D60" i="34"/>
  <c r="K62" i="31"/>
  <c r="K62" i="30"/>
  <c r="M62" i="30" s="1"/>
  <c r="J62" i="28"/>
  <c r="L62" i="28" s="1"/>
  <c r="K62" i="29"/>
  <c r="M62" i="29" s="1"/>
  <c r="BB49" i="31"/>
  <c r="BB13" i="31"/>
  <c r="M7" i="31"/>
  <c r="BB48" i="30"/>
  <c r="BB12" i="30"/>
  <c r="D18" i="34"/>
  <c r="K20" i="31"/>
  <c r="M20" i="31" s="1"/>
  <c r="K20" i="30"/>
  <c r="M20" i="30" s="1"/>
  <c r="K20" i="29"/>
  <c r="J20" i="28"/>
  <c r="L20" i="28" s="1"/>
  <c r="D51" i="34"/>
  <c r="K53" i="31"/>
  <c r="M53" i="31" s="1"/>
  <c r="K53" i="29"/>
  <c r="K53" i="30"/>
  <c r="J53" i="28"/>
  <c r="L53" i="28" s="1"/>
  <c r="L34" i="34" l="1"/>
  <c r="AQ36" i="31"/>
  <c r="AS36" i="31" s="1"/>
  <c r="AQ36" i="30"/>
  <c r="AS36" i="30" s="1"/>
  <c r="AQ36" i="29"/>
  <c r="AS36" i="29" s="1"/>
  <c r="AP36" i="28"/>
  <c r="AR36" i="28" s="1"/>
  <c r="L39" i="34"/>
  <c r="AQ41" i="31"/>
  <c r="AS41" i="31" s="1"/>
  <c r="AQ41" i="30"/>
  <c r="AS41" i="30" s="1"/>
  <c r="AQ41" i="29"/>
  <c r="AS41" i="29" s="1"/>
  <c r="AP41" i="28"/>
  <c r="AR41" i="28" s="1"/>
  <c r="H15" i="34"/>
  <c r="AA17" i="31"/>
  <c r="AC17" i="31" s="1"/>
  <c r="AA17" i="30"/>
  <c r="AC17" i="30" s="1"/>
  <c r="AA17" i="29"/>
  <c r="AC17" i="29" s="1"/>
  <c r="Z17" i="28"/>
  <c r="AB17" i="28" s="1"/>
  <c r="L22" i="34"/>
  <c r="AQ24" i="31"/>
  <c r="AS24" i="31" s="1"/>
  <c r="AQ24" i="30"/>
  <c r="AS24" i="30" s="1"/>
  <c r="AQ24" i="29"/>
  <c r="AS24" i="29" s="1"/>
  <c r="AP24" i="28"/>
  <c r="AR24" i="28" s="1"/>
  <c r="H43" i="34"/>
  <c r="AA45" i="31"/>
  <c r="AC45" i="31" s="1"/>
  <c r="AA45" i="30"/>
  <c r="AC45" i="30" s="1"/>
  <c r="AA45" i="29"/>
  <c r="AC45" i="29" s="1"/>
  <c r="Z45" i="28"/>
  <c r="AB45" i="28" s="1"/>
  <c r="L20" i="34"/>
  <c r="AQ22" i="31"/>
  <c r="AS22" i="31" s="1"/>
  <c r="AQ22" i="30"/>
  <c r="AS22" i="30" s="1"/>
  <c r="AQ22" i="29"/>
  <c r="AS22" i="29" s="1"/>
  <c r="AP22" i="28"/>
  <c r="AR22" i="28" s="1"/>
  <c r="L29" i="34"/>
  <c r="AQ31" i="31"/>
  <c r="AS31" i="31" s="1"/>
  <c r="AQ31" i="30"/>
  <c r="AS31" i="30" s="1"/>
  <c r="AQ31" i="29"/>
  <c r="AS31" i="29" s="1"/>
  <c r="AP31" i="28"/>
  <c r="AR31" i="28" s="1"/>
  <c r="C9" i="37"/>
  <c r="L41" i="34"/>
  <c r="AQ43" i="31"/>
  <c r="AS43" i="31" s="1"/>
  <c r="AQ43" i="30"/>
  <c r="AS43" i="30" s="1"/>
  <c r="AQ43" i="29"/>
  <c r="AS43" i="29" s="1"/>
  <c r="AP43" i="28"/>
  <c r="AR43" i="28" s="1"/>
  <c r="L61" i="34"/>
  <c r="AQ63" i="31"/>
  <c r="AS63" i="31" s="1"/>
  <c r="AQ63" i="30"/>
  <c r="AS63" i="30" s="1"/>
  <c r="AQ63" i="29"/>
  <c r="AS63" i="29" s="1"/>
  <c r="AP63" i="28"/>
  <c r="AR63" i="28" s="1"/>
  <c r="K70" i="21"/>
  <c r="R6" i="21"/>
  <c r="M64" i="34"/>
  <c r="AU66" i="31"/>
  <c r="AW66" i="31" s="1"/>
  <c r="AU66" i="30"/>
  <c r="AW66" i="30" s="1"/>
  <c r="AU66" i="29"/>
  <c r="AW66" i="29" s="1"/>
  <c r="AT66" i="28"/>
  <c r="AV66" i="28" s="1"/>
  <c r="H34" i="34"/>
  <c r="AA36" i="31"/>
  <c r="AC36" i="31" s="1"/>
  <c r="AA36" i="30"/>
  <c r="AC36" i="30" s="1"/>
  <c r="AA36" i="29"/>
  <c r="AC36" i="29" s="1"/>
  <c r="Z36" i="28"/>
  <c r="AB36" i="28" s="1"/>
  <c r="M52" i="34"/>
  <c r="AU54" i="31"/>
  <c r="AW54" i="31" s="1"/>
  <c r="AU54" i="30"/>
  <c r="AW54" i="30" s="1"/>
  <c r="AU54" i="29"/>
  <c r="AW54" i="29" s="1"/>
  <c r="AT54" i="28"/>
  <c r="AV54" i="28" s="1"/>
  <c r="H23" i="34"/>
  <c r="AA25" i="31"/>
  <c r="AC25" i="31" s="1"/>
  <c r="AA25" i="30"/>
  <c r="AC25" i="30" s="1"/>
  <c r="AA25" i="29"/>
  <c r="AC25" i="29" s="1"/>
  <c r="Z25" i="28"/>
  <c r="AB25" i="28" s="1"/>
  <c r="H32" i="34"/>
  <c r="AA34" i="31"/>
  <c r="AC34" i="31" s="1"/>
  <c r="AA34" i="30"/>
  <c r="AC34" i="30" s="1"/>
  <c r="AA34" i="29"/>
  <c r="AC34" i="29" s="1"/>
  <c r="Z34" i="28"/>
  <c r="AB34" i="28" s="1"/>
  <c r="H46" i="34"/>
  <c r="AA48" i="31"/>
  <c r="AC48" i="31" s="1"/>
  <c r="AA48" i="30"/>
  <c r="AC48" i="30" s="1"/>
  <c r="AA48" i="29"/>
  <c r="AC48" i="29" s="1"/>
  <c r="Z48" i="28"/>
  <c r="AB48" i="28" s="1"/>
  <c r="J19" i="34"/>
  <c r="AI21" i="31"/>
  <c r="AK21" i="31" s="1"/>
  <c r="AI21" i="30"/>
  <c r="AK21" i="30" s="1"/>
  <c r="AI21" i="29"/>
  <c r="AK21" i="29" s="1"/>
  <c r="AH21" i="28"/>
  <c r="L11" i="34"/>
  <c r="AQ13" i="31"/>
  <c r="AS13" i="31" s="1"/>
  <c r="AQ13" i="30"/>
  <c r="AS13" i="30" s="1"/>
  <c r="AQ13" i="29"/>
  <c r="AS13" i="29" s="1"/>
  <c r="AP13" i="28"/>
  <c r="AR13" i="28" s="1"/>
  <c r="L4" i="34"/>
  <c r="AQ6" i="31"/>
  <c r="AS6" i="31" s="1"/>
  <c r="AQ6" i="30"/>
  <c r="AS6" i="30" s="1"/>
  <c r="AQ6" i="29"/>
  <c r="AS6" i="29" s="1"/>
  <c r="AP6" i="28"/>
  <c r="AR6" i="28" s="1"/>
  <c r="H12" i="34"/>
  <c r="AA14" i="31"/>
  <c r="AC14" i="31" s="1"/>
  <c r="AA14" i="30"/>
  <c r="AC14" i="30" s="1"/>
  <c r="AA14" i="29"/>
  <c r="AC14" i="29" s="1"/>
  <c r="Z14" i="28"/>
  <c r="AB14" i="28" s="1"/>
  <c r="C35" i="37"/>
  <c r="J22" i="34"/>
  <c r="AI24" i="31"/>
  <c r="AK24" i="31" s="1"/>
  <c r="AI24" i="30"/>
  <c r="AK24" i="30" s="1"/>
  <c r="AI24" i="29"/>
  <c r="AK24" i="29" s="1"/>
  <c r="AH24" i="28"/>
  <c r="AJ4" i="28"/>
  <c r="R31" i="21"/>
  <c r="J70" i="21"/>
  <c r="H49" i="34"/>
  <c r="AA51" i="31"/>
  <c r="AC51" i="31" s="1"/>
  <c r="AA51" i="30"/>
  <c r="AC51" i="30" s="1"/>
  <c r="Z51" i="28"/>
  <c r="AB51" i="28" s="1"/>
  <c r="AA51" i="29"/>
  <c r="AC51" i="29" s="1"/>
  <c r="L10" i="34"/>
  <c r="AQ12" i="31"/>
  <c r="AS12" i="31" s="1"/>
  <c r="AQ12" i="30"/>
  <c r="AS12" i="30" s="1"/>
  <c r="AQ12" i="29"/>
  <c r="AS12" i="29" s="1"/>
  <c r="AP12" i="28"/>
  <c r="AR12" i="28" s="1"/>
  <c r="M59" i="34"/>
  <c r="AU61" i="31"/>
  <c r="AW61" i="31" s="1"/>
  <c r="AU61" i="30"/>
  <c r="AW61" i="30" s="1"/>
  <c r="AU61" i="29"/>
  <c r="AW61" i="29" s="1"/>
  <c r="AT61" i="28"/>
  <c r="AV61" i="28" s="1"/>
  <c r="H18" i="34"/>
  <c r="AA20" i="31"/>
  <c r="AC20" i="31" s="1"/>
  <c r="AA20" i="30"/>
  <c r="AC20" i="30" s="1"/>
  <c r="Z20" i="28"/>
  <c r="AB20" i="28" s="1"/>
  <c r="AA20" i="29"/>
  <c r="AC20" i="29" s="1"/>
  <c r="C44" i="37"/>
  <c r="L25" i="34"/>
  <c r="AQ27" i="31"/>
  <c r="AS27" i="31" s="1"/>
  <c r="AQ27" i="30"/>
  <c r="AS27" i="30" s="1"/>
  <c r="AQ27" i="29"/>
  <c r="AS27" i="29" s="1"/>
  <c r="AP27" i="28"/>
  <c r="AR27" i="28" s="1"/>
  <c r="L30" i="34"/>
  <c r="AQ32" i="31"/>
  <c r="AS32" i="31" s="1"/>
  <c r="AQ32" i="30"/>
  <c r="AS32" i="30" s="1"/>
  <c r="AQ32" i="29"/>
  <c r="AS32" i="29" s="1"/>
  <c r="AP32" i="28"/>
  <c r="AR32" i="28" s="1"/>
  <c r="J23" i="34"/>
  <c r="AI25" i="31"/>
  <c r="AK25" i="31" s="1"/>
  <c r="AI25" i="30"/>
  <c r="AK25" i="30" s="1"/>
  <c r="AI25" i="29"/>
  <c r="AK25" i="29" s="1"/>
  <c r="AH25" i="28"/>
  <c r="C32" i="37"/>
  <c r="J53" i="34"/>
  <c r="AI55" i="31"/>
  <c r="AK55" i="31" s="1"/>
  <c r="AI55" i="30"/>
  <c r="AK55" i="30" s="1"/>
  <c r="AI55" i="29"/>
  <c r="AK55" i="29" s="1"/>
  <c r="AH55" i="28"/>
  <c r="H33" i="34"/>
  <c r="AA35" i="31"/>
  <c r="AC35" i="31" s="1"/>
  <c r="AA35" i="30"/>
  <c r="AC35" i="30" s="1"/>
  <c r="Z35" i="28"/>
  <c r="AB35" i="28" s="1"/>
  <c r="AA35" i="29"/>
  <c r="AC35" i="29" s="1"/>
  <c r="H3" i="34"/>
  <c r="AA5" i="31"/>
  <c r="AC5" i="31" s="1"/>
  <c r="AA5" i="30"/>
  <c r="AC5" i="30" s="1"/>
  <c r="AA5" i="29"/>
  <c r="AC5" i="29" s="1"/>
  <c r="Z5" i="28"/>
  <c r="AB5" i="28" s="1"/>
  <c r="C45" i="37"/>
  <c r="L56" i="34"/>
  <c r="AQ58" i="31"/>
  <c r="AS58" i="31" s="1"/>
  <c r="AQ58" i="29"/>
  <c r="AS58" i="29" s="1"/>
  <c r="AQ58" i="30"/>
  <c r="AS58" i="30" s="1"/>
  <c r="AP58" i="28"/>
  <c r="AR58" i="28" s="1"/>
  <c r="AQ66" i="31"/>
  <c r="AS66" i="31" s="1"/>
  <c r="L64" i="34"/>
  <c r="AQ66" i="30"/>
  <c r="AS66" i="30" s="1"/>
  <c r="AP66" i="28"/>
  <c r="AR66" i="28" s="1"/>
  <c r="AQ66" i="29"/>
  <c r="AS66" i="29" s="1"/>
  <c r="L33" i="34"/>
  <c r="AQ35" i="31"/>
  <c r="AS35" i="31" s="1"/>
  <c r="AQ35" i="30"/>
  <c r="AS35" i="30" s="1"/>
  <c r="AQ35" i="29"/>
  <c r="AS35" i="29" s="1"/>
  <c r="AP35" i="28"/>
  <c r="AR35" i="28" s="1"/>
  <c r="G27" i="34"/>
  <c r="W29" i="31"/>
  <c r="Y29" i="31" s="1"/>
  <c r="W29" i="30"/>
  <c r="Y29" i="30" s="1"/>
  <c r="W29" i="29"/>
  <c r="Y29" i="29" s="1"/>
  <c r="V29" i="28"/>
  <c r="X29" i="28" s="1"/>
  <c r="J41" i="34"/>
  <c r="AI43" i="31"/>
  <c r="AK43" i="31" s="1"/>
  <c r="AI43" i="30"/>
  <c r="AK43" i="30" s="1"/>
  <c r="AI43" i="29"/>
  <c r="AK43" i="29" s="1"/>
  <c r="AH43" i="28"/>
  <c r="L38" i="34"/>
  <c r="AQ40" i="31"/>
  <c r="AS40" i="31" s="1"/>
  <c r="AQ40" i="30"/>
  <c r="AS40" i="30" s="1"/>
  <c r="AQ40" i="29"/>
  <c r="AS40" i="29" s="1"/>
  <c r="AP40" i="28"/>
  <c r="AR40" i="28" s="1"/>
  <c r="L3" i="34"/>
  <c r="AQ5" i="31"/>
  <c r="AS5" i="31" s="1"/>
  <c r="AQ5" i="30"/>
  <c r="AS5" i="30" s="1"/>
  <c r="AQ5" i="29"/>
  <c r="AS5" i="29" s="1"/>
  <c r="AP5" i="28"/>
  <c r="AR5" i="28" s="1"/>
  <c r="L31" i="34"/>
  <c r="AQ33" i="31"/>
  <c r="AS33" i="31" s="1"/>
  <c r="AQ33" i="30"/>
  <c r="AS33" i="30" s="1"/>
  <c r="AP33" i="28"/>
  <c r="AR33" i="28" s="1"/>
  <c r="AQ33" i="29"/>
  <c r="AS33" i="29" s="1"/>
  <c r="L2" i="34"/>
  <c r="AQ4" i="31"/>
  <c r="AS4" i="31" s="1"/>
  <c r="AQ4" i="30"/>
  <c r="AS4" i="30" s="1"/>
  <c r="AQ4" i="29"/>
  <c r="AS4" i="29" s="1"/>
  <c r="AP4" i="28"/>
  <c r="AR4" i="28" s="1"/>
  <c r="L36" i="34"/>
  <c r="AQ38" i="31"/>
  <c r="AS38" i="31" s="1"/>
  <c r="AQ38" i="30"/>
  <c r="AS38" i="30" s="1"/>
  <c r="AQ38" i="29"/>
  <c r="AS38" i="29" s="1"/>
  <c r="AP38" i="28"/>
  <c r="AR38" i="28" s="1"/>
  <c r="C28" i="37"/>
  <c r="C27" i="37"/>
  <c r="H45" i="34"/>
  <c r="AA47" i="31"/>
  <c r="AC47" i="31" s="1"/>
  <c r="AA47" i="30"/>
  <c r="AC47" i="30" s="1"/>
  <c r="AA47" i="29"/>
  <c r="AC47" i="29" s="1"/>
  <c r="Z47" i="28"/>
  <c r="AB47" i="28" s="1"/>
  <c r="M53" i="34"/>
  <c r="AU55" i="30"/>
  <c r="AW55" i="30" s="1"/>
  <c r="AU55" i="31"/>
  <c r="AW55" i="31" s="1"/>
  <c r="AU55" i="29"/>
  <c r="AW55" i="29" s="1"/>
  <c r="AT55" i="28"/>
  <c r="AV55" i="28" s="1"/>
  <c r="H30" i="34"/>
  <c r="AA32" i="31"/>
  <c r="AC32" i="31" s="1"/>
  <c r="AA32" i="30"/>
  <c r="AC32" i="30" s="1"/>
  <c r="AA32" i="29"/>
  <c r="AC32" i="29" s="1"/>
  <c r="Z32" i="28"/>
  <c r="AB32" i="28" s="1"/>
  <c r="M31" i="34"/>
  <c r="AU33" i="31"/>
  <c r="AW33" i="31" s="1"/>
  <c r="AU33" i="30"/>
  <c r="AW33" i="30" s="1"/>
  <c r="AU33" i="29"/>
  <c r="AW33" i="29" s="1"/>
  <c r="AT33" i="28"/>
  <c r="AV33" i="28" s="1"/>
  <c r="C25" i="37"/>
  <c r="L32" i="34"/>
  <c r="AQ34" i="31"/>
  <c r="AS34" i="31" s="1"/>
  <c r="AQ34" i="30"/>
  <c r="AS34" i="30" s="1"/>
  <c r="AQ34" i="29"/>
  <c r="AS34" i="29" s="1"/>
  <c r="AP34" i="28"/>
  <c r="AR34" i="28" s="1"/>
  <c r="L23" i="34"/>
  <c r="AQ25" i="31"/>
  <c r="AS25" i="31" s="1"/>
  <c r="AQ25" i="30"/>
  <c r="AS25" i="30" s="1"/>
  <c r="AQ25" i="29"/>
  <c r="AS25" i="29" s="1"/>
  <c r="AP25" i="28"/>
  <c r="AR25" i="28" s="1"/>
  <c r="L9" i="34"/>
  <c r="AQ11" i="31"/>
  <c r="AS11" i="31" s="1"/>
  <c r="AQ11" i="30"/>
  <c r="AS11" i="30" s="1"/>
  <c r="AQ11" i="29"/>
  <c r="AS11" i="29" s="1"/>
  <c r="AP11" i="28"/>
  <c r="AR11" i="28" s="1"/>
  <c r="L14" i="34"/>
  <c r="AQ16" i="31"/>
  <c r="AS16" i="31" s="1"/>
  <c r="AQ16" i="30"/>
  <c r="AS16" i="30" s="1"/>
  <c r="AQ16" i="29"/>
  <c r="AS16" i="29" s="1"/>
  <c r="AP16" i="28"/>
  <c r="AR16" i="28" s="1"/>
  <c r="C29" i="37"/>
  <c r="H35" i="34"/>
  <c r="AA37" i="31"/>
  <c r="AC37" i="31" s="1"/>
  <c r="AA37" i="30"/>
  <c r="AC37" i="30" s="1"/>
  <c r="AA37" i="29"/>
  <c r="AC37" i="29" s="1"/>
  <c r="Z37" i="28"/>
  <c r="AB37" i="28" s="1"/>
  <c r="W48" i="31"/>
  <c r="Y48" i="31" s="1"/>
  <c r="G46" i="34"/>
  <c r="W48" i="30"/>
  <c r="Y48" i="30" s="1"/>
  <c r="W48" i="29"/>
  <c r="Y48" i="29" s="1"/>
  <c r="V48" i="28"/>
  <c r="X48" i="28" s="1"/>
  <c r="M60" i="34"/>
  <c r="AU62" i="31"/>
  <c r="AW62" i="31" s="1"/>
  <c r="AU62" i="30"/>
  <c r="AW62" i="30" s="1"/>
  <c r="AU62" i="29"/>
  <c r="AW62" i="29" s="1"/>
  <c r="AT62" i="28"/>
  <c r="AV62" i="28" s="1"/>
  <c r="L35" i="34"/>
  <c r="AQ37" i="31"/>
  <c r="AS37" i="31" s="1"/>
  <c r="AQ37" i="30"/>
  <c r="AS37" i="30" s="1"/>
  <c r="AQ37" i="29"/>
  <c r="AS37" i="29" s="1"/>
  <c r="AP37" i="28"/>
  <c r="AR37" i="28" s="1"/>
  <c r="L59" i="34"/>
  <c r="AQ61" i="31"/>
  <c r="AS61" i="31" s="1"/>
  <c r="AQ61" i="30"/>
  <c r="AS61" i="30" s="1"/>
  <c r="AQ61" i="29"/>
  <c r="AS61" i="29" s="1"/>
  <c r="AP61" i="28"/>
  <c r="AR61" i="28" s="1"/>
  <c r="L37" i="34"/>
  <c r="AQ39" i="31"/>
  <c r="AS39" i="31" s="1"/>
  <c r="AQ39" i="30"/>
  <c r="AS39" i="30" s="1"/>
  <c r="AQ39" i="29"/>
  <c r="AS39" i="29" s="1"/>
  <c r="AP39" i="28"/>
  <c r="AR39" i="28" s="1"/>
  <c r="L42" i="34"/>
  <c r="AQ44" i="31"/>
  <c r="AS44" i="31" s="1"/>
  <c r="AQ44" i="30"/>
  <c r="AS44" i="30" s="1"/>
  <c r="AQ44" i="29"/>
  <c r="AS44" i="29" s="1"/>
  <c r="AP44" i="28"/>
  <c r="AR44" i="28" s="1"/>
  <c r="C46" i="37"/>
  <c r="L44" i="34"/>
  <c r="AQ46" i="31"/>
  <c r="AS46" i="31" s="1"/>
  <c r="AQ46" i="30"/>
  <c r="AS46" i="30" s="1"/>
  <c r="AQ46" i="29"/>
  <c r="AS46" i="29" s="1"/>
  <c r="AP46" i="28"/>
  <c r="AR46" i="28" s="1"/>
  <c r="J70" i="5"/>
  <c r="C3" i="37"/>
  <c r="L21" i="34"/>
  <c r="AQ23" i="31"/>
  <c r="AS23" i="31" s="1"/>
  <c r="AQ23" i="30"/>
  <c r="AS23" i="30" s="1"/>
  <c r="AQ23" i="29"/>
  <c r="AS23" i="29" s="1"/>
  <c r="AP23" i="28"/>
  <c r="AR23" i="28" s="1"/>
  <c r="L28" i="34"/>
  <c r="AQ30" i="31"/>
  <c r="AS30" i="31" s="1"/>
  <c r="AQ30" i="30"/>
  <c r="AS30" i="30" s="1"/>
  <c r="AQ30" i="29"/>
  <c r="AS30" i="29" s="1"/>
  <c r="AP30" i="28"/>
  <c r="AR30" i="28" s="1"/>
  <c r="C65" i="37"/>
  <c r="G40" i="34"/>
  <c r="W42" i="31"/>
  <c r="Y42" i="31" s="1"/>
  <c r="W42" i="30"/>
  <c r="Y42" i="30" s="1"/>
  <c r="W42" i="29"/>
  <c r="Y42" i="29" s="1"/>
  <c r="V42" i="28"/>
  <c r="X42" i="28" s="1"/>
  <c r="L62" i="34"/>
  <c r="AQ64" i="31"/>
  <c r="AS64" i="31" s="1"/>
  <c r="AQ64" i="29"/>
  <c r="AS64" i="29" s="1"/>
  <c r="AQ64" i="30"/>
  <c r="AS64" i="30" s="1"/>
  <c r="AP64" i="28"/>
  <c r="AR64" i="28" s="1"/>
  <c r="L46" i="34"/>
  <c r="AQ48" i="31"/>
  <c r="AS48" i="31" s="1"/>
  <c r="AQ48" i="30"/>
  <c r="AS48" i="30" s="1"/>
  <c r="AQ48" i="29"/>
  <c r="AS48" i="29" s="1"/>
  <c r="AP48" i="28"/>
  <c r="AR48" i="28" s="1"/>
  <c r="M61" i="34"/>
  <c r="AU63" i="31"/>
  <c r="AW63" i="31" s="1"/>
  <c r="AU63" i="30"/>
  <c r="AW63" i="30" s="1"/>
  <c r="AU63" i="29"/>
  <c r="AW63" i="29" s="1"/>
  <c r="AT63" i="28"/>
  <c r="AV63" i="28" s="1"/>
  <c r="AJ38" i="28"/>
  <c r="C7" i="37"/>
  <c r="J56" i="34"/>
  <c r="AI58" i="31"/>
  <c r="AK58" i="31" s="1"/>
  <c r="AI58" i="30"/>
  <c r="AK58" i="30" s="1"/>
  <c r="AI58" i="29"/>
  <c r="AK58" i="29" s="1"/>
  <c r="AH58" i="28"/>
  <c r="C24" i="37"/>
  <c r="C2" i="37"/>
  <c r="BA67" i="28"/>
  <c r="C61" i="37"/>
  <c r="J70" i="17"/>
  <c r="R6" i="17"/>
  <c r="L43" i="34"/>
  <c r="AQ45" i="31"/>
  <c r="AS45" i="31" s="1"/>
  <c r="AQ45" i="30"/>
  <c r="AS45" i="30" s="1"/>
  <c r="AQ45" i="29"/>
  <c r="AS45" i="29" s="1"/>
  <c r="AP45" i="28"/>
  <c r="AR45" i="28" s="1"/>
  <c r="C36" i="37"/>
  <c r="J61" i="34"/>
  <c r="AI63" i="31"/>
  <c r="AK63" i="31" s="1"/>
  <c r="AI63" i="30"/>
  <c r="AK63" i="30" s="1"/>
  <c r="AI63" i="29"/>
  <c r="AK63" i="29" s="1"/>
  <c r="AH63" i="28"/>
  <c r="H27" i="34"/>
  <c r="AA29" i="31"/>
  <c r="AC29" i="31" s="1"/>
  <c r="AA29" i="29"/>
  <c r="AC29" i="29" s="1"/>
  <c r="AA29" i="30"/>
  <c r="AC29" i="30" s="1"/>
  <c r="Z29" i="28"/>
  <c r="AB29" i="28" s="1"/>
  <c r="AJ65" i="28"/>
  <c r="L13" i="34"/>
  <c r="AQ15" i="31"/>
  <c r="AS15" i="31" s="1"/>
  <c r="AQ15" i="30"/>
  <c r="AS15" i="30" s="1"/>
  <c r="AQ15" i="29"/>
  <c r="AS15" i="29" s="1"/>
  <c r="AP15" i="28"/>
  <c r="AR15" i="28" s="1"/>
  <c r="C26" i="37"/>
  <c r="AQ57" i="31"/>
  <c r="AS57" i="31" s="1"/>
  <c r="L55" i="34"/>
  <c r="AQ57" i="30"/>
  <c r="AS57" i="30" s="1"/>
  <c r="AQ57" i="29"/>
  <c r="AS57" i="29" s="1"/>
  <c r="AP57" i="28"/>
  <c r="AR57" i="28" s="1"/>
  <c r="J11" i="34"/>
  <c r="AI13" i="31"/>
  <c r="AK13" i="31" s="1"/>
  <c r="AI13" i="30"/>
  <c r="AK13" i="30" s="1"/>
  <c r="AI13" i="29"/>
  <c r="AK13" i="29" s="1"/>
  <c r="AH13" i="28"/>
  <c r="L15" i="34"/>
  <c r="AQ17" i="31"/>
  <c r="AS17" i="31" s="1"/>
  <c r="AQ17" i="30"/>
  <c r="AS17" i="30" s="1"/>
  <c r="AQ17" i="29"/>
  <c r="AS17" i="29" s="1"/>
  <c r="AP17" i="28"/>
  <c r="AR17" i="28" s="1"/>
  <c r="M20" i="34"/>
  <c r="AU22" i="31"/>
  <c r="AW22" i="31" s="1"/>
  <c r="AU22" i="30"/>
  <c r="AW22" i="30" s="1"/>
  <c r="AU22" i="29"/>
  <c r="AW22" i="29" s="1"/>
  <c r="AT22" i="28"/>
  <c r="AV22" i="28" s="1"/>
  <c r="L8" i="34"/>
  <c r="AQ10" i="31"/>
  <c r="AS10" i="31" s="1"/>
  <c r="AQ10" i="30"/>
  <c r="AS10" i="30" s="1"/>
  <c r="AQ10" i="29"/>
  <c r="AS10" i="29" s="1"/>
  <c r="AP10" i="28"/>
  <c r="AR10" i="28" s="1"/>
  <c r="L49" i="34"/>
  <c r="AQ51" i="31"/>
  <c r="AS51" i="31" s="1"/>
  <c r="AQ51" i="30"/>
  <c r="AS51" i="30" s="1"/>
  <c r="AQ51" i="29"/>
  <c r="AS51" i="29" s="1"/>
  <c r="AP51" i="28"/>
  <c r="AR51" i="28" s="1"/>
  <c r="C42" i="37"/>
  <c r="M24" i="34"/>
  <c r="AU26" i="30"/>
  <c r="AW26" i="30" s="1"/>
  <c r="AU26" i="31"/>
  <c r="AW26" i="31" s="1"/>
  <c r="AU26" i="29"/>
  <c r="AW26" i="29" s="1"/>
  <c r="AT26" i="28"/>
  <c r="AV26" i="28" s="1"/>
  <c r="AJ18" i="28"/>
  <c r="BJ3" i="8"/>
  <c r="AX3" i="8"/>
  <c r="AL3" i="8"/>
  <c r="Z3" i="8"/>
  <c r="N3" i="8"/>
  <c r="C3" i="8"/>
  <c r="BH3" i="8"/>
  <c r="AV3" i="8"/>
  <c r="AJ3" i="8"/>
  <c r="X3" i="8"/>
  <c r="L3" i="8"/>
  <c r="BG3" i="8"/>
  <c r="AU3" i="8"/>
  <c r="AI3" i="8"/>
  <c r="W3" i="8"/>
  <c r="K3" i="8"/>
  <c r="BF3" i="8"/>
  <c r="AT3" i="8"/>
  <c r="AH3" i="8"/>
  <c r="V3" i="8"/>
  <c r="J3" i="8"/>
  <c r="BE3" i="8"/>
  <c r="AS3" i="8"/>
  <c r="AG3" i="8"/>
  <c r="U3" i="8"/>
  <c r="I3" i="8"/>
  <c r="BM3" i="8"/>
  <c r="BA3" i="8"/>
  <c r="AO3" i="8"/>
  <c r="AC3" i="8"/>
  <c r="Q3" i="8"/>
  <c r="E3" i="8"/>
  <c r="AZ3" i="8"/>
  <c r="AB3" i="8"/>
  <c r="D3" i="8"/>
  <c r="AM3" i="8"/>
  <c r="BD3" i="8"/>
  <c r="AY3" i="8"/>
  <c r="AA3" i="8"/>
  <c r="H3" i="8"/>
  <c r="AW3" i="8"/>
  <c r="Y3" i="8"/>
  <c r="M3" i="8"/>
  <c r="AR3" i="8"/>
  <c r="T3" i="8"/>
  <c r="O3" i="8"/>
  <c r="AQ3" i="8"/>
  <c r="S3" i="8"/>
  <c r="BI3" i="8"/>
  <c r="AK3" i="8"/>
  <c r="BN3" i="8"/>
  <c r="AP3" i="8"/>
  <c r="R3" i="8"/>
  <c r="BK3" i="8"/>
  <c r="AF3" i="8"/>
  <c r="BL3" i="8"/>
  <c r="AN3" i="8"/>
  <c r="P3" i="8"/>
  <c r="BC3" i="8"/>
  <c r="BB3" i="8"/>
  <c r="AE3" i="8"/>
  <c r="F3" i="8"/>
  <c r="AD3" i="8"/>
  <c r="G3" i="8"/>
  <c r="C33" i="37"/>
  <c r="J25" i="34"/>
  <c r="AI27" i="31"/>
  <c r="AK27" i="31" s="1"/>
  <c r="AI27" i="30"/>
  <c r="AK27" i="30" s="1"/>
  <c r="AI27" i="29"/>
  <c r="AK27" i="29" s="1"/>
  <c r="AH27" i="28"/>
  <c r="L51" i="34"/>
  <c r="AQ53" i="31"/>
  <c r="AS53" i="31" s="1"/>
  <c r="AQ53" i="30"/>
  <c r="AS53" i="30" s="1"/>
  <c r="AQ53" i="29"/>
  <c r="AS53" i="29" s="1"/>
  <c r="AP53" i="28"/>
  <c r="AR53" i="28" s="1"/>
  <c r="H29" i="34"/>
  <c r="AA31" i="31"/>
  <c r="AC31" i="31" s="1"/>
  <c r="AA31" i="29"/>
  <c r="AC31" i="29" s="1"/>
  <c r="AA31" i="30"/>
  <c r="AC31" i="30" s="1"/>
  <c r="Z31" i="28"/>
  <c r="AB31" i="28" s="1"/>
  <c r="AA46" i="31"/>
  <c r="AC46" i="31" s="1"/>
  <c r="H44" i="34"/>
  <c r="AA46" i="30"/>
  <c r="AC46" i="30" s="1"/>
  <c r="AA46" i="29"/>
  <c r="AC46" i="29" s="1"/>
  <c r="Z46" i="28"/>
  <c r="AB46" i="28" s="1"/>
  <c r="H4" i="34"/>
  <c r="AA6" i="30"/>
  <c r="AC6" i="30" s="1"/>
  <c r="AA6" i="31"/>
  <c r="AC6" i="31" s="1"/>
  <c r="AA6" i="29"/>
  <c r="AC6" i="29" s="1"/>
  <c r="Z6" i="28"/>
  <c r="AB6" i="28" s="1"/>
  <c r="L5" i="34"/>
  <c r="AQ7" i="31"/>
  <c r="AS7" i="31" s="1"/>
  <c r="AQ7" i="30"/>
  <c r="AS7" i="30" s="1"/>
  <c r="AQ7" i="29"/>
  <c r="AS7" i="29" s="1"/>
  <c r="AP7" i="28"/>
  <c r="AR7" i="28" s="1"/>
  <c r="L7" i="34"/>
  <c r="AQ9" i="31"/>
  <c r="AS9" i="31" s="1"/>
  <c r="AQ9" i="30"/>
  <c r="AS9" i="30" s="1"/>
  <c r="AQ9" i="29"/>
  <c r="AS9" i="29" s="1"/>
  <c r="AP9" i="28"/>
  <c r="AR9" i="28" s="1"/>
  <c r="AA50" i="31"/>
  <c r="AC50" i="31" s="1"/>
  <c r="H48" i="34"/>
  <c r="AA50" i="30"/>
  <c r="AC50" i="30" s="1"/>
  <c r="AA50" i="29"/>
  <c r="AC50" i="29" s="1"/>
  <c r="Z50" i="28"/>
  <c r="AB50" i="28" s="1"/>
  <c r="AJ5" i="28"/>
  <c r="L18" i="34"/>
  <c r="AQ20" i="31"/>
  <c r="AS20" i="31" s="1"/>
  <c r="AQ20" i="30"/>
  <c r="AS20" i="30" s="1"/>
  <c r="AQ20" i="29"/>
  <c r="AS20" i="29" s="1"/>
  <c r="AP20" i="28"/>
  <c r="AR20" i="28" s="1"/>
  <c r="H24" i="34"/>
  <c r="AA26" i="31"/>
  <c r="AC26" i="31" s="1"/>
  <c r="AA26" i="30"/>
  <c r="AC26" i="30" s="1"/>
  <c r="AA26" i="29"/>
  <c r="AC26" i="29" s="1"/>
  <c r="Z26" i="28"/>
  <c r="AB26" i="28" s="1"/>
  <c r="M17" i="34"/>
  <c r="AU19" i="31"/>
  <c r="AW19" i="31" s="1"/>
  <c r="AU19" i="30"/>
  <c r="AW19" i="30" s="1"/>
  <c r="AU19" i="29"/>
  <c r="AW19" i="29" s="1"/>
  <c r="AT19" i="28"/>
  <c r="AV19" i="28" s="1"/>
  <c r="AJ62" i="28"/>
  <c r="L60" i="34"/>
  <c r="AQ62" i="31"/>
  <c r="AS62" i="31" s="1"/>
  <c r="AQ62" i="30"/>
  <c r="AS62" i="30" s="1"/>
  <c r="AQ62" i="29"/>
  <c r="AS62" i="29" s="1"/>
  <c r="AP62" i="28"/>
  <c r="AR62" i="28" s="1"/>
  <c r="C38" i="37"/>
  <c r="M19" i="34"/>
  <c r="AU21" i="31"/>
  <c r="AW21" i="31" s="1"/>
  <c r="AU21" i="30"/>
  <c r="AW21" i="30" s="1"/>
  <c r="AU21" i="29"/>
  <c r="AW21" i="29" s="1"/>
  <c r="AT21" i="28"/>
  <c r="AV21" i="28" s="1"/>
  <c r="M43" i="34"/>
  <c r="AU45" i="31"/>
  <c r="AW45" i="31" s="1"/>
  <c r="AU45" i="30"/>
  <c r="AW45" i="30" s="1"/>
  <c r="AU45" i="29"/>
  <c r="AW45" i="29" s="1"/>
  <c r="AT45" i="28"/>
  <c r="AV45" i="28" s="1"/>
  <c r="C30" i="37"/>
  <c r="L52" i="34"/>
  <c r="AQ54" i="31"/>
  <c r="AS54" i="31" s="1"/>
  <c r="AQ54" i="30"/>
  <c r="AS54" i="30" s="1"/>
  <c r="AQ54" i="29"/>
  <c r="AS54" i="29" s="1"/>
  <c r="AP54" i="28"/>
  <c r="AR54" i="28" s="1"/>
  <c r="H63" i="34"/>
  <c r="AA65" i="31"/>
  <c r="AC65" i="31" s="1"/>
  <c r="AA65" i="30"/>
  <c r="AC65" i="30" s="1"/>
  <c r="AA65" i="29"/>
  <c r="AC65" i="29" s="1"/>
  <c r="Z65" i="28"/>
  <c r="AB65" i="28" s="1"/>
  <c r="AA19" i="31"/>
  <c r="AC19" i="31" s="1"/>
  <c r="H17" i="34"/>
  <c r="AA19" i="30"/>
  <c r="AC19" i="30" s="1"/>
  <c r="AA19" i="29"/>
  <c r="AC19" i="29" s="1"/>
  <c r="Z19" i="28"/>
  <c r="AB19" i="28" s="1"/>
  <c r="H37" i="34"/>
  <c r="AA39" i="31"/>
  <c r="AC39" i="31" s="1"/>
  <c r="AA39" i="30"/>
  <c r="AC39" i="30" s="1"/>
  <c r="AA39" i="29"/>
  <c r="AC39" i="29" s="1"/>
  <c r="Z39" i="28"/>
  <c r="AB39" i="28" s="1"/>
  <c r="L45" i="34"/>
  <c r="AQ47" i="31"/>
  <c r="AS47" i="31" s="1"/>
  <c r="AQ47" i="30"/>
  <c r="AS47" i="30" s="1"/>
  <c r="AQ47" i="29"/>
  <c r="AS47" i="29" s="1"/>
  <c r="AP47" i="28"/>
  <c r="AR47" i="28" s="1"/>
  <c r="H22" i="34"/>
  <c r="AA24" i="31"/>
  <c r="AC24" i="31" s="1"/>
  <c r="AA24" i="30"/>
  <c r="AC24" i="30" s="1"/>
  <c r="AA24" i="29"/>
  <c r="AC24" i="29" s="1"/>
  <c r="Z24" i="28"/>
  <c r="AB24" i="28" s="1"/>
  <c r="C16" i="37"/>
  <c r="L47" i="34"/>
  <c r="AQ49" i="31"/>
  <c r="AS49" i="31" s="1"/>
  <c r="AQ49" i="30"/>
  <c r="AS49" i="30" s="1"/>
  <c r="AQ49" i="29"/>
  <c r="AS49" i="29" s="1"/>
  <c r="AP49" i="28"/>
  <c r="AR49" i="28" s="1"/>
  <c r="L6" i="34"/>
  <c r="AQ8" i="31"/>
  <c r="AS8" i="31" s="1"/>
  <c r="AQ8" i="30"/>
  <c r="AS8" i="30" s="1"/>
  <c r="AQ8" i="29"/>
  <c r="AS8" i="29" s="1"/>
  <c r="AP8" i="28"/>
  <c r="AR8" i="28" s="1"/>
  <c r="L54" i="34"/>
  <c r="AQ56" i="31"/>
  <c r="AS56" i="31" s="1"/>
  <c r="AQ56" i="30"/>
  <c r="AS56" i="30" s="1"/>
  <c r="AQ56" i="29"/>
  <c r="AS56" i="29" s="1"/>
  <c r="AP56" i="28"/>
  <c r="AR56" i="28" s="1"/>
  <c r="I55" i="34"/>
  <c r="AE57" i="31"/>
  <c r="AG57" i="31" s="1"/>
  <c r="AE57" i="30"/>
  <c r="AG57" i="30" s="1"/>
  <c r="AE57" i="29"/>
  <c r="AG57" i="29" s="1"/>
  <c r="AD57" i="28"/>
  <c r="AF57" i="28" s="1"/>
  <c r="M32" i="34"/>
  <c r="AU34" i="31"/>
  <c r="AW34" i="31" s="1"/>
  <c r="AU34" i="29"/>
  <c r="AW34" i="29" s="1"/>
  <c r="AU34" i="30"/>
  <c r="AW34" i="30" s="1"/>
  <c r="AT34" i="28"/>
  <c r="AV34" i="28" s="1"/>
  <c r="I18" i="34"/>
  <c r="AE20" i="31"/>
  <c r="AG20" i="31" s="1"/>
  <c r="AE20" i="30"/>
  <c r="AG20" i="30" s="1"/>
  <c r="AE20" i="29"/>
  <c r="AG20" i="29" s="1"/>
  <c r="AD20" i="28"/>
  <c r="AF20" i="28" s="1"/>
  <c r="L16" i="34"/>
  <c r="AQ18" i="31"/>
  <c r="AS18" i="31" s="1"/>
  <c r="AQ18" i="30"/>
  <c r="AS18" i="30" s="1"/>
  <c r="AQ18" i="29"/>
  <c r="AS18" i="29" s="1"/>
  <c r="AP18" i="28"/>
  <c r="AR18" i="28" s="1"/>
  <c r="L57" i="34"/>
  <c r="AQ59" i="31"/>
  <c r="AS59" i="31" s="1"/>
  <c r="AQ59" i="30"/>
  <c r="AS59" i="30" s="1"/>
  <c r="AQ59" i="29"/>
  <c r="AS59" i="29" s="1"/>
  <c r="AP59" i="28"/>
  <c r="AR59" i="28" s="1"/>
  <c r="C11" i="37"/>
  <c r="L17" i="34"/>
  <c r="AQ19" i="31"/>
  <c r="AS19" i="31" s="1"/>
  <c r="AQ19" i="30"/>
  <c r="AS19" i="30" s="1"/>
  <c r="AQ19" i="29"/>
  <c r="AS19" i="29" s="1"/>
  <c r="AP19" i="28"/>
  <c r="AR19" i="28" s="1"/>
  <c r="M48" i="34"/>
  <c r="AU50" i="31"/>
  <c r="AW50" i="31" s="1"/>
  <c r="AU50" i="30"/>
  <c r="AW50" i="30" s="1"/>
  <c r="AU50" i="29"/>
  <c r="AW50" i="29" s="1"/>
  <c r="AT50" i="28"/>
  <c r="AV50" i="28" s="1"/>
  <c r="G70" i="25"/>
  <c r="J6" i="25"/>
  <c r="C47" i="37"/>
  <c r="C15" i="37"/>
  <c r="C53" i="37"/>
  <c r="C54" i="37"/>
  <c r="C55" i="37"/>
  <c r="AJ23" i="28"/>
  <c r="M37" i="34"/>
  <c r="AU39" i="31"/>
  <c r="AW39" i="31" s="1"/>
  <c r="AU39" i="30"/>
  <c r="AW39" i="30" s="1"/>
  <c r="AT39" i="28"/>
  <c r="AV39" i="28" s="1"/>
  <c r="AU39" i="29"/>
  <c r="AW39" i="29" s="1"/>
  <c r="J14" i="34"/>
  <c r="AI16" i="30"/>
  <c r="AK16" i="30" s="1"/>
  <c r="AI16" i="31"/>
  <c r="AK16" i="31" s="1"/>
  <c r="AI16" i="29"/>
  <c r="AK16" i="29" s="1"/>
  <c r="AH16" i="28"/>
  <c r="M23" i="34"/>
  <c r="AU25" i="31"/>
  <c r="AW25" i="31" s="1"/>
  <c r="AU25" i="30"/>
  <c r="AW25" i="30" s="1"/>
  <c r="AU25" i="29"/>
  <c r="AW25" i="29" s="1"/>
  <c r="AT25" i="28"/>
  <c r="AV25" i="28" s="1"/>
  <c r="L40" i="34"/>
  <c r="AQ42" i="31"/>
  <c r="AS42" i="31" s="1"/>
  <c r="AQ42" i="30"/>
  <c r="AS42" i="30" s="1"/>
  <c r="AQ42" i="29"/>
  <c r="AS42" i="29" s="1"/>
  <c r="AP42" i="28"/>
  <c r="AR42" i="28" s="1"/>
  <c r="M38" i="34"/>
  <c r="AU40" i="31"/>
  <c r="AW40" i="31" s="1"/>
  <c r="AU40" i="30"/>
  <c r="AW40" i="30" s="1"/>
  <c r="AU40" i="29"/>
  <c r="AW40" i="29" s="1"/>
  <c r="AT40" i="28"/>
  <c r="AV40" i="28" s="1"/>
  <c r="BB67" i="29"/>
  <c r="C14" i="37"/>
  <c r="C41" i="37"/>
  <c r="M42" i="34"/>
  <c r="AU44" i="31"/>
  <c r="AW44" i="31" s="1"/>
  <c r="AU44" i="30"/>
  <c r="AW44" i="30" s="1"/>
  <c r="AU44" i="29"/>
  <c r="AW44" i="29" s="1"/>
  <c r="AT44" i="28"/>
  <c r="AV44" i="28" s="1"/>
  <c r="L53" i="34"/>
  <c r="AQ55" i="31"/>
  <c r="AS55" i="31" s="1"/>
  <c r="AQ55" i="30"/>
  <c r="AS55" i="30" s="1"/>
  <c r="AQ55" i="29"/>
  <c r="AS55" i="29" s="1"/>
  <c r="AP55" i="28"/>
  <c r="AR55" i="28" s="1"/>
  <c r="L58" i="34"/>
  <c r="AQ60" i="31"/>
  <c r="AS60" i="31" s="1"/>
  <c r="AQ60" i="30"/>
  <c r="AS60" i="30" s="1"/>
  <c r="AQ60" i="29"/>
  <c r="AS60" i="29" s="1"/>
  <c r="AP60" i="28"/>
  <c r="AR60" i="28" s="1"/>
  <c r="L27" i="34"/>
  <c r="AQ29" i="31"/>
  <c r="AS29" i="31" s="1"/>
  <c r="AQ29" i="30"/>
  <c r="AS29" i="30" s="1"/>
  <c r="AQ29" i="29"/>
  <c r="AS29" i="29" s="1"/>
  <c r="AP29" i="28"/>
  <c r="AR29" i="28" s="1"/>
  <c r="L63" i="34"/>
  <c r="AQ65" i="31"/>
  <c r="AS65" i="31" s="1"/>
  <c r="AQ65" i="30"/>
  <c r="AS65" i="30" s="1"/>
  <c r="AQ65" i="29"/>
  <c r="AS65" i="29" s="1"/>
  <c r="AP65" i="28"/>
  <c r="AR65" i="28" s="1"/>
  <c r="AU52" i="31"/>
  <c r="AW52" i="31" s="1"/>
  <c r="M50" i="34"/>
  <c r="AU52" i="30"/>
  <c r="AW52" i="30" s="1"/>
  <c r="AU52" i="29"/>
  <c r="AW52" i="29" s="1"/>
  <c r="AT52" i="28"/>
  <c r="AV52" i="28" s="1"/>
  <c r="H50" i="34"/>
  <c r="AA52" i="31"/>
  <c r="AC52" i="31" s="1"/>
  <c r="AA52" i="30"/>
  <c r="AC52" i="30" s="1"/>
  <c r="AA52" i="29"/>
  <c r="AC52" i="29" s="1"/>
  <c r="Z52" i="28"/>
  <c r="AB52" i="28" s="1"/>
  <c r="H9" i="34"/>
  <c r="AA11" i="31"/>
  <c r="AC11" i="31" s="1"/>
  <c r="AA11" i="30"/>
  <c r="AC11" i="30" s="1"/>
  <c r="AA11" i="29"/>
  <c r="AC11" i="29" s="1"/>
  <c r="Z11" i="28"/>
  <c r="AB11" i="28" s="1"/>
  <c r="H53" i="34"/>
  <c r="AA55" i="31"/>
  <c r="AC55" i="31" s="1"/>
  <c r="AA55" i="30"/>
  <c r="AC55" i="30" s="1"/>
  <c r="AA55" i="29"/>
  <c r="AC55" i="29" s="1"/>
  <c r="Z55" i="28"/>
  <c r="AB55" i="28" s="1"/>
  <c r="H13" i="34"/>
  <c r="AA15" i="31"/>
  <c r="AC15" i="31" s="1"/>
  <c r="AA15" i="29"/>
  <c r="AC15" i="29" s="1"/>
  <c r="AA15" i="30"/>
  <c r="AC15" i="30" s="1"/>
  <c r="Z15" i="28"/>
  <c r="AB15" i="28" s="1"/>
  <c r="J45" i="34"/>
  <c r="AI47" i="31"/>
  <c r="AK47" i="31" s="1"/>
  <c r="AI47" i="30"/>
  <c r="AK47" i="30" s="1"/>
  <c r="AI47" i="29"/>
  <c r="AK47" i="29" s="1"/>
  <c r="AH47" i="28"/>
  <c r="J70" i="24"/>
  <c r="R6" i="24"/>
  <c r="K68" i="25"/>
  <c r="R68" i="25" s="1"/>
  <c r="K65" i="25"/>
  <c r="R65" i="25" s="1"/>
  <c r="K62" i="25"/>
  <c r="R62" i="25" s="1"/>
  <c r="K59" i="25"/>
  <c r="R59" i="25" s="1"/>
  <c r="K56" i="25"/>
  <c r="R56" i="25" s="1"/>
  <c r="K53" i="25"/>
  <c r="R53" i="25" s="1"/>
  <c r="K50" i="25"/>
  <c r="R50" i="25" s="1"/>
  <c r="K47" i="25"/>
  <c r="R47" i="25" s="1"/>
  <c r="K44" i="25"/>
  <c r="R44" i="25" s="1"/>
  <c r="K41" i="25"/>
  <c r="R41" i="25" s="1"/>
  <c r="K38" i="25"/>
  <c r="R38" i="25" s="1"/>
  <c r="K35" i="25"/>
  <c r="R35" i="25" s="1"/>
  <c r="K32" i="25"/>
  <c r="R32" i="25" s="1"/>
  <c r="K29" i="25"/>
  <c r="R29" i="25" s="1"/>
  <c r="K26" i="25"/>
  <c r="R26" i="25" s="1"/>
  <c r="K23" i="25"/>
  <c r="R23" i="25" s="1"/>
  <c r="K20" i="25"/>
  <c r="R20" i="25" s="1"/>
  <c r="K17" i="25"/>
  <c r="R17" i="25" s="1"/>
  <c r="K14" i="25"/>
  <c r="R14" i="25" s="1"/>
  <c r="K7" i="25"/>
  <c r="R7" i="25" s="1"/>
  <c r="K69" i="25"/>
  <c r="R69" i="25" s="1"/>
  <c r="K66" i="25"/>
  <c r="R66" i="25" s="1"/>
  <c r="K63" i="25"/>
  <c r="R63" i="25" s="1"/>
  <c r="K60" i="25"/>
  <c r="R60" i="25" s="1"/>
  <c r="K57" i="25"/>
  <c r="R57" i="25" s="1"/>
  <c r="K54" i="25"/>
  <c r="R54" i="25" s="1"/>
  <c r="K51" i="25"/>
  <c r="R51" i="25" s="1"/>
  <c r="K48" i="25"/>
  <c r="R48" i="25" s="1"/>
  <c r="K45" i="25"/>
  <c r="R45" i="25" s="1"/>
  <c r="K42" i="25"/>
  <c r="R42" i="25" s="1"/>
  <c r="K39" i="25"/>
  <c r="R39" i="25" s="1"/>
  <c r="K36" i="25"/>
  <c r="R36" i="25" s="1"/>
  <c r="K33" i="25"/>
  <c r="R33" i="25" s="1"/>
  <c r="K30" i="25"/>
  <c r="R30" i="25" s="1"/>
  <c r="K27" i="25"/>
  <c r="K24" i="25"/>
  <c r="R24" i="25" s="1"/>
  <c r="K21" i="25"/>
  <c r="K18" i="25"/>
  <c r="R18" i="25" s="1"/>
  <c r="K15" i="25"/>
  <c r="R15" i="25" s="1"/>
  <c r="K8" i="25"/>
  <c r="R8" i="25" s="1"/>
  <c r="K12" i="25"/>
  <c r="K52" i="25"/>
  <c r="R52" i="25" s="1"/>
  <c r="K40" i="25"/>
  <c r="R40" i="25" s="1"/>
  <c r="K31" i="25"/>
  <c r="R31" i="25" s="1"/>
  <c r="K22" i="25"/>
  <c r="R22" i="25" s="1"/>
  <c r="K49" i="25"/>
  <c r="R49" i="25" s="1"/>
  <c r="K13" i="25"/>
  <c r="K11" i="25"/>
  <c r="R11" i="25" s="1"/>
  <c r="K67" i="25"/>
  <c r="R67" i="25" s="1"/>
  <c r="K64" i="25"/>
  <c r="R64" i="25" s="1"/>
  <c r="K46" i="25"/>
  <c r="R46" i="25" s="1"/>
  <c r="K37" i="25"/>
  <c r="R37" i="25" s="1"/>
  <c r="K28" i="25"/>
  <c r="R28" i="25" s="1"/>
  <c r="K19" i="25"/>
  <c r="R19" i="25" s="1"/>
  <c r="K9" i="25"/>
  <c r="K61" i="25"/>
  <c r="R61" i="25" s="1"/>
  <c r="K6" i="25"/>
  <c r="K34" i="25"/>
  <c r="R34" i="25" s="1"/>
  <c r="K16" i="25"/>
  <c r="R16" i="25" s="1"/>
  <c r="K55" i="25"/>
  <c r="R55" i="25" s="1"/>
  <c r="K58" i="25"/>
  <c r="R58" i="25" s="1"/>
  <c r="K25" i="25"/>
  <c r="R25" i="25" s="1"/>
  <c r="K10" i="25"/>
  <c r="R10" i="25" s="1"/>
  <c r="K43" i="25"/>
  <c r="R43" i="25" s="1"/>
  <c r="H41" i="34"/>
  <c r="AA43" i="31"/>
  <c r="AC43" i="31" s="1"/>
  <c r="AA43" i="30"/>
  <c r="AC43" i="30" s="1"/>
  <c r="AA43" i="29"/>
  <c r="AC43" i="29" s="1"/>
  <c r="Z43" i="28"/>
  <c r="AB43" i="28" s="1"/>
  <c r="H7" i="34"/>
  <c r="AA9" i="30"/>
  <c r="AC9" i="30" s="1"/>
  <c r="AA9" i="31"/>
  <c r="AC9" i="31" s="1"/>
  <c r="AA9" i="29"/>
  <c r="AC9" i="29" s="1"/>
  <c r="Z9" i="28"/>
  <c r="AB9" i="28" s="1"/>
  <c r="AQ50" i="31"/>
  <c r="AS50" i="31" s="1"/>
  <c r="L48" i="34"/>
  <c r="AQ50" i="30"/>
  <c r="AS50" i="30" s="1"/>
  <c r="AQ50" i="29"/>
  <c r="AS50" i="29" s="1"/>
  <c r="AP50" i="28"/>
  <c r="AR50" i="28" s="1"/>
  <c r="J70" i="19"/>
  <c r="AI57" i="31"/>
  <c r="AK57" i="31" s="1"/>
  <c r="J55" i="34"/>
  <c r="AI57" i="30"/>
  <c r="AK57" i="30" s="1"/>
  <c r="AI57" i="29"/>
  <c r="AK57" i="29" s="1"/>
  <c r="AH57" i="28"/>
  <c r="J70" i="11"/>
  <c r="R6" i="11"/>
  <c r="G49" i="34"/>
  <c r="W51" i="31"/>
  <c r="Y51" i="31" s="1"/>
  <c r="W51" i="30"/>
  <c r="Y51" i="30" s="1"/>
  <c r="W51" i="29"/>
  <c r="Y51" i="29" s="1"/>
  <c r="V51" i="28"/>
  <c r="X51" i="28" s="1"/>
  <c r="J35" i="34"/>
  <c r="AI37" i="31"/>
  <c r="AK37" i="31" s="1"/>
  <c r="AI37" i="30"/>
  <c r="AK37" i="30" s="1"/>
  <c r="AI37" i="29"/>
  <c r="AK37" i="29" s="1"/>
  <c r="AH37" i="28"/>
  <c r="J20" i="34"/>
  <c r="AI22" i="31"/>
  <c r="AK22" i="31" s="1"/>
  <c r="AI22" i="30"/>
  <c r="AK22" i="30" s="1"/>
  <c r="AI22" i="29"/>
  <c r="AK22" i="29" s="1"/>
  <c r="AH22" i="28"/>
  <c r="H10" i="34"/>
  <c r="AA12" i="31"/>
  <c r="AC12" i="31" s="1"/>
  <c r="AA12" i="30"/>
  <c r="AC12" i="30" s="1"/>
  <c r="AA12" i="29"/>
  <c r="AC12" i="29" s="1"/>
  <c r="Z12" i="28"/>
  <c r="AB12" i="28" s="1"/>
  <c r="I36" i="34"/>
  <c r="AE38" i="31"/>
  <c r="AG38" i="31" s="1"/>
  <c r="AE38" i="30"/>
  <c r="AG38" i="30" s="1"/>
  <c r="AE38" i="29"/>
  <c r="AG38" i="29" s="1"/>
  <c r="AD38" i="28"/>
  <c r="AF38" i="28" s="1"/>
  <c r="C49" i="37"/>
  <c r="C18" i="37"/>
  <c r="R7" i="13"/>
  <c r="J70" i="13"/>
  <c r="K18" i="19"/>
  <c r="R18" i="19" s="1"/>
  <c r="K15" i="19"/>
  <c r="R15" i="19" s="1"/>
  <c r="K8" i="19"/>
  <c r="R8" i="19" s="1"/>
  <c r="K67" i="19"/>
  <c r="R67" i="19" s="1"/>
  <c r="K64" i="19"/>
  <c r="R64" i="19" s="1"/>
  <c r="K61" i="19"/>
  <c r="R61" i="19" s="1"/>
  <c r="K58" i="19"/>
  <c r="R58" i="19" s="1"/>
  <c r="K55" i="19"/>
  <c r="R55" i="19" s="1"/>
  <c r="K52" i="19"/>
  <c r="R52" i="19" s="1"/>
  <c r="K49" i="19"/>
  <c r="R49" i="19" s="1"/>
  <c r="K46" i="19"/>
  <c r="R46" i="19" s="1"/>
  <c r="K43" i="19"/>
  <c r="R43" i="19" s="1"/>
  <c r="K40" i="19"/>
  <c r="R40" i="19" s="1"/>
  <c r="K37" i="19"/>
  <c r="R37" i="19" s="1"/>
  <c r="K34" i="19"/>
  <c r="R34" i="19" s="1"/>
  <c r="K31" i="19"/>
  <c r="R31" i="19" s="1"/>
  <c r="K28" i="19"/>
  <c r="R28" i="19" s="1"/>
  <c r="K25" i="19"/>
  <c r="R25" i="19" s="1"/>
  <c r="K22" i="19"/>
  <c r="R22" i="19" s="1"/>
  <c r="K12" i="19"/>
  <c r="R12" i="19" s="1"/>
  <c r="K16" i="19"/>
  <c r="R16" i="19" s="1"/>
  <c r="K6" i="19"/>
  <c r="K68" i="19"/>
  <c r="R68" i="19" s="1"/>
  <c r="K65" i="19"/>
  <c r="R65" i="19" s="1"/>
  <c r="K62" i="19"/>
  <c r="R62" i="19" s="1"/>
  <c r="K59" i="19"/>
  <c r="R59" i="19" s="1"/>
  <c r="K56" i="19"/>
  <c r="R56" i="19" s="1"/>
  <c r="K53" i="19"/>
  <c r="R53" i="19" s="1"/>
  <c r="K50" i="19"/>
  <c r="R50" i="19" s="1"/>
  <c r="K47" i="19"/>
  <c r="R47" i="19" s="1"/>
  <c r="K44" i="19"/>
  <c r="R44" i="19" s="1"/>
  <c r="K41" i="19"/>
  <c r="R41" i="19" s="1"/>
  <c r="K38" i="19"/>
  <c r="R38" i="19" s="1"/>
  <c r="K35" i="19"/>
  <c r="R35" i="19" s="1"/>
  <c r="K32" i="19"/>
  <c r="R32" i="19" s="1"/>
  <c r="K29" i="19"/>
  <c r="R29" i="19" s="1"/>
  <c r="K26" i="19"/>
  <c r="R26" i="19" s="1"/>
  <c r="K23" i="19"/>
  <c r="R23" i="19" s="1"/>
  <c r="K13" i="19"/>
  <c r="R13" i="19" s="1"/>
  <c r="K20" i="19"/>
  <c r="R20" i="19" s="1"/>
  <c r="K10" i="19"/>
  <c r="R10" i="19" s="1"/>
  <c r="K63" i="19"/>
  <c r="R63" i="19" s="1"/>
  <c r="K54" i="19"/>
  <c r="R54" i="19" s="1"/>
  <c r="K45" i="19"/>
  <c r="R45" i="19" s="1"/>
  <c r="K36" i="19"/>
  <c r="R36" i="19" s="1"/>
  <c r="K27" i="19"/>
  <c r="R27" i="19" s="1"/>
  <c r="K7" i="19"/>
  <c r="R7" i="19" s="1"/>
  <c r="K11" i="19"/>
  <c r="R11" i="19" s="1"/>
  <c r="K9" i="19"/>
  <c r="R9" i="19" s="1"/>
  <c r="K60" i="19"/>
  <c r="R60" i="19" s="1"/>
  <c r="K57" i="19"/>
  <c r="R57" i="19" s="1"/>
  <c r="K24" i="19"/>
  <c r="R24" i="19" s="1"/>
  <c r="K21" i="19"/>
  <c r="R21" i="19" s="1"/>
  <c r="K51" i="19"/>
  <c r="R51" i="19" s="1"/>
  <c r="K48" i="19"/>
  <c r="R48" i="19" s="1"/>
  <c r="K17" i="19"/>
  <c r="R17" i="19" s="1"/>
  <c r="K14" i="19"/>
  <c r="R14" i="19" s="1"/>
  <c r="K42" i="19"/>
  <c r="R42" i="19" s="1"/>
  <c r="K39" i="19"/>
  <c r="R39" i="19" s="1"/>
  <c r="K19" i="19"/>
  <c r="R19" i="19" s="1"/>
  <c r="K30" i="19"/>
  <c r="R30" i="19" s="1"/>
  <c r="K33" i="19"/>
  <c r="R33" i="19" s="1"/>
  <c r="K69" i="19"/>
  <c r="R69" i="19" s="1"/>
  <c r="K66" i="19"/>
  <c r="R66" i="19" s="1"/>
  <c r="G70" i="7"/>
  <c r="J6" i="7"/>
  <c r="C58" i="37"/>
  <c r="C13" i="37"/>
  <c r="C62" i="37"/>
  <c r="J58" i="34"/>
  <c r="AI60" i="31"/>
  <c r="AK60" i="31" s="1"/>
  <c r="AI60" i="30"/>
  <c r="AK60" i="30" s="1"/>
  <c r="AI60" i="29"/>
  <c r="AK60" i="29" s="1"/>
  <c r="AH60" i="28"/>
  <c r="H14" i="34"/>
  <c r="AA16" i="31"/>
  <c r="AC16" i="31" s="1"/>
  <c r="AA16" i="29"/>
  <c r="AC16" i="29" s="1"/>
  <c r="Z16" i="28"/>
  <c r="AB16" i="28" s="1"/>
  <c r="AA16" i="30"/>
  <c r="AC16" i="30" s="1"/>
  <c r="K70" i="13"/>
  <c r="R6" i="13"/>
  <c r="H40" i="34"/>
  <c r="AA42" i="31"/>
  <c r="AC42" i="31" s="1"/>
  <c r="AA42" i="30"/>
  <c r="AC42" i="30" s="1"/>
  <c r="AA42" i="29"/>
  <c r="AC42" i="29" s="1"/>
  <c r="Z42" i="28"/>
  <c r="AB42" i="28" s="1"/>
  <c r="BF15" i="27"/>
  <c r="T4" i="1"/>
  <c r="C23" i="37"/>
  <c r="M8" i="34"/>
  <c r="AU10" i="31"/>
  <c r="AW10" i="31" s="1"/>
  <c r="AU10" i="30"/>
  <c r="AW10" i="30" s="1"/>
  <c r="AU10" i="29"/>
  <c r="AW10" i="29" s="1"/>
  <c r="AT10" i="28"/>
  <c r="AV10" i="28" s="1"/>
  <c r="J12" i="34"/>
  <c r="AI14" i="31"/>
  <c r="AK14" i="31" s="1"/>
  <c r="AI14" i="30"/>
  <c r="AK14" i="30" s="1"/>
  <c r="AI14" i="29"/>
  <c r="AK14" i="29" s="1"/>
  <c r="AH14" i="28"/>
  <c r="M27" i="34"/>
  <c r="AU29" i="31"/>
  <c r="AW29" i="31" s="1"/>
  <c r="AU29" i="30"/>
  <c r="AW29" i="30" s="1"/>
  <c r="AU29" i="29"/>
  <c r="AW29" i="29" s="1"/>
  <c r="AT29" i="28"/>
  <c r="AV29" i="28" s="1"/>
  <c r="G70" i="3"/>
  <c r="J6" i="3"/>
  <c r="BC67" i="30"/>
  <c r="J47" i="34"/>
  <c r="AI49" i="31"/>
  <c r="AK49" i="31" s="1"/>
  <c r="AI49" i="30"/>
  <c r="AK49" i="30" s="1"/>
  <c r="AI49" i="29"/>
  <c r="AK49" i="29" s="1"/>
  <c r="AH49" i="28"/>
  <c r="AA58" i="31"/>
  <c r="AC58" i="31" s="1"/>
  <c r="H56" i="34"/>
  <c r="AA58" i="30"/>
  <c r="AC58" i="30" s="1"/>
  <c r="AA58" i="29"/>
  <c r="AC58" i="29" s="1"/>
  <c r="Z58" i="28"/>
  <c r="AB58" i="28" s="1"/>
  <c r="C19" i="37"/>
  <c r="BB67" i="31"/>
  <c r="C12" i="37"/>
  <c r="H20" i="34"/>
  <c r="AA22" i="31"/>
  <c r="AC22" i="31" s="1"/>
  <c r="AA22" i="30"/>
  <c r="AC22" i="30" s="1"/>
  <c r="AA22" i="29"/>
  <c r="AC22" i="29" s="1"/>
  <c r="Z22" i="28"/>
  <c r="AB22" i="28" s="1"/>
  <c r="H5" i="34"/>
  <c r="AA7" i="31"/>
  <c r="AC7" i="31" s="1"/>
  <c r="AA7" i="30"/>
  <c r="AC7" i="30" s="1"/>
  <c r="AA7" i="29"/>
  <c r="AC7" i="29" s="1"/>
  <c r="Z7" i="28"/>
  <c r="AB7" i="28" s="1"/>
  <c r="AU64" i="31"/>
  <c r="AW64" i="31" s="1"/>
  <c r="M62" i="34"/>
  <c r="AU64" i="30"/>
  <c r="AW64" i="30" s="1"/>
  <c r="AU64" i="29"/>
  <c r="AW64" i="29" s="1"/>
  <c r="AT64" i="28"/>
  <c r="AV64" i="28" s="1"/>
  <c r="M5" i="34"/>
  <c r="AU7" i="31"/>
  <c r="AW7" i="31" s="1"/>
  <c r="AU7" i="30"/>
  <c r="AW7" i="30" s="1"/>
  <c r="AU7" i="29"/>
  <c r="AW7" i="29" s="1"/>
  <c r="AT7" i="28"/>
  <c r="AV7" i="28" s="1"/>
  <c r="I62" i="34"/>
  <c r="AE64" i="31"/>
  <c r="AG64" i="31" s="1"/>
  <c r="AE64" i="30"/>
  <c r="AG64" i="30" s="1"/>
  <c r="AE64" i="29"/>
  <c r="AG64" i="29" s="1"/>
  <c r="AD64" i="28"/>
  <c r="AF64" i="28" s="1"/>
  <c r="R27" i="25"/>
  <c r="C60" i="37"/>
  <c r="C31" i="37"/>
  <c r="J70" i="15"/>
  <c r="H39" i="34"/>
  <c r="AA41" i="31"/>
  <c r="AC41" i="31" s="1"/>
  <c r="AA41" i="30"/>
  <c r="AC41" i="30" s="1"/>
  <c r="AA41" i="29"/>
  <c r="AC41" i="29" s="1"/>
  <c r="Z41" i="28"/>
  <c r="AB41" i="28" s="1"/>
  <c r="H59" i="34"/>
  <c r="AA61" i="31"/>
  <c r="AC61" i="31" s="1"/>
  <c r="AA61" i="30"/>
  <c r="AC61" i="30" s="1"/>
  <c r="AA61" i="29"/>
  <c r="AC61" i="29" s="1"/>
  <c r="Z61" i="28"/>
  <c r="AB61" i="28" s="1"/>
  <c r="H16" i="34"/>
  <c r="AA18" i="31"/>
  <c r="AC18" i="31" s="1"/>
  <c r="AA18" i="30"/>
  <c r="AC18" i="30" s="1"/>
  <c r="AA18" i="29"/>
  <c r="AC18" i="29" s="1"/>
  <c r="Z18" i="28"/>
  <c r="AB18" i="28" s="1"/>
  <c r="H52" i="34"/>
  <c r="AA54" i="31"/>
  <c r="AC54" i="31" s="1"/>
  <c r="AA54" i="30"/>
  <c r="AC54" i="30" s="1"/>
  <c r="AA54" i="29"/>
  <c r="AC54" i="29" s="1"/>
  <c r="Z54" i="28"/>
  <c r="AB54" i="28" s="1"/>
  <c r="L12" i="34"/>
  <c r="AQ14" i="31"/>
  <c r="AS14" i="31" s="1"/>
  <c r="AQ14" i="30"/>
  <c r="AS14" i="30" s="1"/>
  <c r="AQ14" i="29"/>
  <c r="AS14" i="29" s="1"/>
  <c r="AP14" i="28"/>
  <c r="AR14" i="28" s="1"/>
  <c r="H6" i="34"/>
  <c r="AA8" i="31"/>
  <c r="AC8" i="31" s="1"/>
  <c r="AA8" i="29"/>
  <c r="AC8" i="29" s="1"/>
  <c r="AA8" i="30"/>
  <c r="AC8" i="30" s="1"/>
  <c r="Z8" i="28"/>
  <c r="AB8" i="28" s="1"/>
  <c r="H64" i="34"/>
  <c r="AA66" i="31"/>
  <c r="AC66" i="31" s="1"/>
  <c r="AA66" i="30"/>
  <c r="AC66" i="30" s="1"/>
  <c r="AA66" i="29"/>
  <c r="AC66" i="29" s="1"/>
  <c r="Z66" i="28"/>
  <c r="AB66" i="28" s="1"/>
  <c r="I24" i="34"/>
  <c r="AE26" i="31"/>
  <c r="AG26" i="31" s="1"/>
  <c r="AE26" i="30"/>
  <c r="AG26" i="30" s="1"/>
  <c r="AE26" i="29"/>
  <c r="AG26" i="29" s="1"/>
  <c r="AD26" i="28"/>
  <c r="AF26" i="28" s="1"/>
  <c r="J39" i="34"/>
  <c r="AI41" i="31"/>
  <c r="AK41" i="31" s="1"/>
  <c r="AI41" i="30"/>
  <c r="AK41" i="30" s="1"/>
  <c r="AI41" i="29"/>
  <c r="AK41" i="29" s="1"/>
  <c r="AH41" i="28"/>
  <c r="G21" i="34"/>
  <c r="W23" i="31"/>
  <c r="Y23" i="31" s="1"/>
  <c r="W23" i="30"/>
  <c r="Y23" i="30" s="1"/>
  <c r="W23" i="29"/>
  <c r="Y23" i="29" s="1"/>
  <c r="V23" i="28"/>
  <c r="X23" i="28" s="1"/>
  <c r="I4" i="34"/>
  <c r="AE6" i="31"/>
  <c r="AG6" i="31" s="1"/>
  <c r="AE6" i="30"/>
  <c r="AG6" i="30" s="1"/>
  <c r="AE6" i="29"/>
  <c r="AG6" i="29" s="1"/>
  <c r="AD6" i="28"/>
  <c r="AF6" i="28" s="1"/>
  <c r="H57" i="34"/>
  <c r="AA59" i="31"/>
  <c r="AC59" i="31" s="1"/>
  <c r="AA59" i="30"/>
  <c r="AC59" i="30" s="1"/>
  <c r="AA59" i="29"/>
  <c r="AC59" i="29" s="1"/>
  <c r="Z59" i="28"/>
  <c r="AB59" i="28" s="1"/>
  <c r="C21" i="37"/>
  <c r="M47" i="34"/>
  <c r="AU49" i="31"/>
  <c r="AW49" i="31" s="1"/>
  <c r="AU49" i="30"/>
  <c r="AW49" i="30" s="1"/>
  <c r="AT49" i="28"/>
  <c r="AV49" i="28" s="1"/>
  <c r="AU49" i="29"/>
  <c r="AW49" i="29" s="1"/>
  <c r="M10" i="34"/>
  <c r="AU12" i="31"/>
  <c r="AW12" i="31" s="1"/>
  <c r="AU12" i="30"/>
  <c r="AW12" i="30" s="1"/>
  <c r="AU12" i="29"/>
  <c r="AW12" i="29" s="1"/>
  <c r="AT12" i="28"/>
  <c r="AV12" i="28" s="1"/>
  <c r="J43" i="34"/>
  <c r="AI45" i="31"/>
  <c r="AK45" i="31" s="1"/>
  <c r="AI45" i="30"/>
  <c r="AK45" i="30" s="1"/>
  <c r="AI45" i="29"/>
  <c r="AK45" i="29" s="1"/>
  <c r="AH45" i="28"/>
  <c r="C37" i="37"/>
  <c r="C59" i="37"/>
  <c r="C51" i="37"/>
  <c r="M9" i="34"/>
  <c r="AU11" i="31"/>
  <c r="AW11" i="31" s="1"/>
  <c r="AU11" i="29"/>
  <c r="AW11" i="29" s="1"/>
  <c r="AU11" i="30"/>
  <c r="AW11" i="30" s="1"/>
  <c r="AT11" i="28"/>
  <c r="AV11" i="28" s="1"/>
  <c r="M33" i="34"/>
  <c r="AU35" i="31"/>
  <c r="AW35" i="31" s="1"/>
  <c r="AU35" i="30"/>
  <c r="AW35" i="30" s="1"/>
  <c r="AU35" i="29"/>
  <c r="AW35" i="29" s="1"/>
  <c r="AT35" i="28"/>
  <c r="AV35" i="28" s="1"/>
  <c r="I1" i="34"/>
  <c r="AE3" i="31"/>
  <c r="AE3" i="29"/>
  <c r="AE3" i="30"/>
  <c r="AD3" i="28"/>
  <c r="R70" i="15"/>
  <c r="H36" i="34"/>
  <c r="AA38" i="31"/>
  <c r="AC38" i="31" s="1"/>
  <c r="AA38" i="30"/>
  <c r="AC38" i="30" s="1"/>
  <c r="AA38" i="29"/>
  <c r="AC38" i="29" s="1"/>
  <c r="Z38" i="28"/>
  <c r="AB38" i="28" s="1"/>
  <c r="H47" i="34"/>
  <c r="AA49" i="31"/>
  <c r="AC49" i="31" s="1"/>
  <c r="AA49" i="30"/>
  <c r="AC49" i="30" s="1"/>
  <c r="AA49" i="29"/>
  <c r="AC49" i="29" s="1"/>
  <c r="Z49" i="28"/>
  <c r="AB49" i="28" s="1"/>
  <c r="H8" i="34"/>
  <c r="AA10" i="31"/>
  <c r="AC10" i="31" s="1"/>
  <c r="AA10" i="30"/>
  <c r="AC10" i="30" s="1"/>
  <c r="AA10" i="29"/>
  <c r="AC10" i="29" s="1"/>
  <c r="Z10" i="28"/>
  <c r="AB10" i="28" s="1"/>
  <c r="H19" i="34"/>
  <c r="AA21" i="31"/>
  <c r="AC21" i="31" s="1"/>
  <c r="AA21" i="30"/>
  <c r="AC21" i="30" s="1"/>
  <c r="AA21" i="29"/>
  <c r="AC21" i="29" s="1"/>
  <c r="Z21" i="28"/>
  <c r="AB21" i="28" s="1"/>
  <c r="AA57" i="31"/>
  <c r="AC57" i="31" s="1"/>
  <c r="H55" i="34"/>
  <c r="AA57" i="30"/>
  <c r="AC57" i="30" s="1"/>
  <c r="AA57" i="29"/>
  <c r="AC57" i="29" s="1"/>
  <c r="Z57" i="28"/>
  <c r="AB57" i="28" s="1"/>
  <c r="C17" i="37"/>
  <c r="M6" i="34"/>
  <c r="AU8" i="31"/>
  <c r="AW8" i="31" s="1"/>
  <c r="AU8" i="30"/>
  <c r="AW8" i="30" s="1"/>
  <c r="AU8" i="29"/>
  <c r="AW8" i="29" s="1"/>
  <c r="AT8" i="28"/>
  <c r="AV8" i="28" s="1"/>
  <c r="H62" i="34"/>
  <c r="AA64" i="31"/>
  <c r="AC64" i="31" s="1"/>
  <c r="AA64" i="30"/>
  <c r="AC64" i="30" s="1"/>
  <c r="AA64" i="29"/>
  <c r="AC64" i="29" s="1"/>
  <c r="Z64" i="28"/>
  <c r="AB64" i="28" s="1"/>
  <c r="C20" i="37"/>
  <c r="G45" i="34"/>
  <c r="W47" i="31"/>
  <c r="Y47" i="31" s="1"/>
  <c r="W47" i="30"/>
  <c r="Y47" i="30" s="1"/>
  <c r="W47" i="29"/>
  <c r="Y47" i="29" s="1"/>
  <c r="V47" i="28"/>
  <c r="X47" i="28" s="1"/>
  <c r="R21" i="25"/>
  <c r="G24" i="34"/>
  <c r="W26" i="31"/>
  <c r="Y26" i="31" s="1"/>
  <c r="W26" i="30"/>
  <c r="Y26" i="30" s="1"/>
  <c r="W26" i="29"/>
  <c r="Y26" i="29" s="1"/>
  <c r="V26" i="28"/>
  <c r="X26" i="28" s="1"/>
  <c r="J52" i="34"/>
  <c r="AI54" i="31"/>
  <c r="AK54" i="31" s="1"/>
  <c r="AI54" i="30"/>
  <c r="AK54" i="30" s="1"/>
  <c r="AI54" i="29"/>
  <c r="AK54" i="29" s="1"/>
  <c r="AH54" i="28"/>
  <c r="I59" i="34"/>
  <c r="AE61" i="31"/>
  <c r="AG61" i="31" s="1"/>
  <c r="AE61" i="30"/>
  <c r="AG61" i="30" s="1"/>
  <c r="AE61" i="29"/>
  <c r="AG61" i="29" s="1"/>
  <c r="AD61" i="28"/>
  <c r="AF61" i="28" s="1"/>
  <c r="H21" i="34"/>
  <c r="AA23" i="31"/>
  <c r="AC23" i="31" s="1"/>
  <c r="AA23" i="30"/>
  <c r="AC23" i="30" s="1"/>
  <c r="AA23" i="29"/>
  <c r="AC23" i="29" s="1"/>
  <c r="Z23" i="28"/>
  <c r="AB23" i="28" s="1"/>
  <c r="C48" i="37"/>
  <c r="J33" i="34"/>
  <c r="AI35" i="31"/>
  <c r="AK35" i="31" s="1"/>
  <c r="AI35" i="30"/>
  <c r="AK35" i="30" s="1"/>
  <c r="AI35" i="29"/>
  <c r="AK35" i="29" s="1"/>
  <c r="AH35" i="28"/>
  <c r="C40" i="37"/>
  <c r="M44" i="34"/>
  <c r="AU46" i="31"/>
  <c r="AW46" i="31" s="1"/>
  <c r="AU46" i="30"/>
  <c r="AW46" i="30" s="1"/>
  <c r="AU46" i="29"/>
  <c r="AW46" i="29" s="1"/>
  <c r="AT46" i="28"/>
  <c r="AV46" i="28" s="1"/>
  <c r="M54" i="34"/>
  <c r="AU56" i="31"/>
  <c r="AW56" i="31" s="1"/>
  <c r="AU56" i="30"/>
  <c r="AW56" i="30" s="1"/>
  <c r="AU56" i="29"/>
  <c r="AW56" i="29" s="1"/>
  <c r="AT56" i="28"/>
  <c r="AV56" i="28" s="1"/>
  <c r="I42" i="34"/>
  <c r="AE44" i="31"/>
  <c r="AG44" i="31" s="1"/>
  <c r="AE44" i="30"/>
  <c r="AG44" i="30" s="1"/>
  <c r="AE44" i="29"/>
  <c r="AG44" i="29" s="1"/>
  <c r="AD44" i="28"/>
  <c r="AF44" i="28" s="1"/>
  <c r="J10" i="34"/>
  <c r="AI12" i="31"/>
  <c r="AK12" i="31" s="1"/>
  <c r="AI12" i="30"/>
  <c r="AK12" i="30" s="1"/>
  <c r="AI12" i="29"/>
  <c r="AK12" i="29" s="1"/>
  <c r="AH12" i="28"/>
  <c r="M51" i="34"/>
  <c r="AU53" i="31"/>
  <c r="AW53" i="31" s="1"/>
  <c r="AU53" i="30"/>
  <c r="AW53" i="30" s="1"/>
  <c r="AU53" i="29"/>
  <c r="AW53" i="29" s="1"/>
  <c r="AT53" i="28"/>
  <c r="AV53" i="28" s="1"/>
  <c r="I60" i="34"/>
  <c r="AE62" i="31"/>
  <c r="AG62" i="31" s="1"/>
  <c r="AE62" i="30"/>
  <c r="AG62" i="30" s="1"/>
  <c r="AE62" i="29"/>
  <c r="AG62" i="29" s="1"/>
  <c r="AD62" i="28"/>
  <c r="AF62" i="28" s="1"/>
  <c r="C4" i="37"/>
  <c r="C5" i="37"/>
  <c r="M55" i="34"/>
  <c r="AU57" i="31"/>
  <c r="AW57" i="31" s="1"/>
  <c r="AU57" i="30"/>
  <c r="AW57" i="30" s="1"/>
  <c r="AU57" i="29"/>
  <c r="AW57" i="29" s="1"/>
  <c r="AT57" i="28"/>
  <c r="AV57" i="28" s="1"/>
  <c r="J51" i="34"/>
  <c r="AI53" i="31"/>
  <c r="AK53" i="31" s="1"/>
  <c r="AI53" i="30"/>
  <c r="AK53" i="30" s="1"/>
  <c r="AI53" i="29"/>
  <c r="AK53" i="29" s="1"/>
  <c r="AH53" i="28"/>
  <c r="D12" i="34"/>
  <c r="K14" i="31"/>
  <c r="M14" i="31" s="1"/>
  <c r="K14" i="30"/>
  <c r="M14" i="30" s="1"/>
  <c r="K14" i="29"/>
  <c r="M14" i="29" s="1"/>
  <c r="J14" i="28"/>
  <c r="L14" i="28" s="1"/>
  <c r="C43" i="37"/>
  <c r="H11" i="34"/>
  <c r="AA13" i="31"/>
  <c r="AC13" i="31" s="1"/>
  <c r="AA13" i="30"/>
  <c r="AC13" i="30" s="1"/>
  <c r="AA13" i="29"/>
  <c r="AC13" i="29" s="1"/>
  <c r="Z13" i="28"/>
  <c r="AB13" i="28" s="1"/>
  <c r="H58" i="34"/>
  <c r="AA60" i="31"/>
  <c r="AC60" i="31" s="1"/>
  <c r="AA60" i="30"/>
  <c r="AC60" i="30" s="1"/>
  <c r="AA60" i="29"/>
  <c r="AC60" i="29" s="1"/>
  <c r="Z60" i="28"/>
  <c r="AB60" i="28" s="1"/>
  <c r="M14" i="34"/>
  <c r="AU16" i="31"/>
  <c r="AW16" i="31" s="1"/>
  <c r="AU16" i="30"/>
  <c r="AW16" i="30" s="1"/>
  <c r="AU16" i="29"/>
  <c r="AW16" i="29" s="1"/>
  <c r="AT16" i="28"/>
  <c r="AV16" i="28" s="1"/>
  <c r="M34" i="34"/>
  <c r="AU36" i="31"/>
  <c r="AW36" i="31" s="1"/>
  <c r="AU36" i="30"/>
  <c r="AW36" i="30" s="1"/>
  <c r="AU36" i="29"/>
  <c r="AW36" i="29" s="1"/>
  <c r="AT36" i="28"/>
  <c r="AV36" i="28" s="1"/>
  <c r="M58" i="34"/>
  <c r="AU60" i="31"/>
  <c r="AW60" i="31" s="1"/>
  <c r="AU60" i="30"/>
  <c r="AW60" i="30" s="1"/>
  <c r="AU60" i="29"/>
  <c r="AW60" i="29" s="1"/>
  <c r="AT60" i="28"/>
  <c r="AV60" i="28" s="1"/>
  <c r="G3" i="34"/>
  <c r="W5" i="31"/>
  <c r="Y5" i="31" s="1"/>
  <c r="W5" i="30"/>
  <c r="Y5" i="30" s="1"/>
  <c r="W5" i="29"/>
  <c r="Y5" i="29" s="1"/>
  <c r="V5" i="28"/>
  <c r="X5" i="28" s="1"/>
  <c r="J49" i="34"/>
  <c r="AI51" i="31"/>
  <c r="AK51" i="31" s="1"/>
  <c r="AI51" i="30"/>
  <c r="AK51" i="30" s="1"/>
  <c r="AI51" i="29"/>
  <c r="AK51" i="29" s="1"/>
  <c r="AH51" i="28"/>
  <c r="I8" i="34"/>
  <c r="AE10" i="31"/>
  <c r="AG10" i="31" s="1"/>
  <c r="AE10" i="30"/>
  <c r="AG10" i="30" s="1"/>
  <c r="AE10" i="29"/>
  <c r="AG10" i="29" s="1"/>
  <c r="AD10" i="28"/>
  <c r="AF10" i="28" s="1"/>
  <c r="J46" i="34"/>
  <c r="AI48" i="31"/>
  <c r="AK48" i="31" s="1"/>
  <c r="AI48" i="30"/>
  <c r="AK48" i="30" s="1"/>
  <c r="AI48" i="29"/>
  <c r="AK48" i="29" s="1"/>
  <c r="AH48" i="28"/>
  <c r="R9" i="25"/>
  <c r="C57" i="37"/>
  <c r="J17" i="34"/>
  <c r="AI19" i="31"/>
  <c r="AK19" i="31" s="1"/>
  <c r="AI19" i="30"/>
  <c r="AK19" i="30" s="1"/>
  <c r="AI19" i="29"/>
  <c r="AK19" i="29" s="1"/>
  <c r="AH19" i="28"/>
  <c r="BB67" i="30"/>
  <c r="G41" i="34"/>
  <c r="W43" i="31"/>
  <c r="Y43" i="31" s="1"/>
  <c r="W43" i="30"/>
  <c r="Y43" i="30" s="1"/>
  <c r="W43" i="29"/>
  <c r="Y43" i="29" s="1"/>
  <c r="V43" i="28"/>
  <c r="X43" i="28" s="1"/>
  <c r="M16" i="34"/>
  <c r="AU18" i="31"/>
  <c r="AW18" i="31" s="1"/>
  <c r="AU18" i="30"/>
  <c r="AW18" i="30" s="1"/>
  <c r="AU18" i="29"/>
  <c r="AW18" i="29" s="1"/>
  <c r="AT18" i="28"/>
  <c r="AV18" i="28" s="1"/>
  <c r="J34" i="34"/>
  <c r="AI36" i="31"/>
  <c r="AK36" i="31" s="1"/>
  <c r="AI36" i="30"/>
  <c r="AK36" i="30" s="1"/>
  <c r="AI36" i="29"/>
  <c r="AK36" i="29" s="1"/>
  <c r="AH36" i="28"/>
  <c r="M15" i="34"/>
  <c r="AU17" i="31"/>
  <c r="AW17" i="31" s="1"/>
  <c r="AU17" i="30"/>
  <c r="AW17" i="30" s="1"/>
  <c r="AU17" i="29"/>
  <c r="AW17" i="29" s="1"/>
  <c r="AT17" i="28"/>
  <c r="AV17" i="28" s="1"/>
  <c r="J64" i="34"/>
  <c r="AI66" i="31"/>
  <c r="AK66" i="31" s="1"/>
  <c r="AI66" i="30"/>
  <c r="AK66" i="30" s="1"/>
  <c r="AI66" i="29"/>
  <c r="AK66" i="29" s="1"/>
  <c r="AH66" i="28"/>
  <c r="M2" i="34"/>
  <c r="AU4" i="31"/>
  <c r="AW4" i="31" s="1"/>
  <c r="AU4" i="30"/>
  <c r="AW4" i="30" s="1"/>
  <c r="AU4" i="29"/>
  <c r="AW4" i="29" s="1"/>
  <c r="AT4" i="28"/>
  <c r="AV4" i="28" s="1"/>
  <c r="C52" i="37"/>
  <c r="M18" i="34"/>
  <c r="AU20" i="31"/>
  <c r="AW20" i="31" s="1"/>
  <c r="AU20" i="30"/>
  <c r="AW20" i="30" s="1"/>
  <c r="AU20" i="29"/>
  <c r="AW20" i="29" s="1"/>
  <c r="AT20" i="28"/>
  <c r="AV20" i="28" s="1"/>
  <c r="I48" i="34"/>
  <c r="AE50" i="31"/>
  <c r="AG50" i="31" s="1"/>
  <c r="AE50" i="30"/>
  <c r="AG50" i="30" s="1"/>
  <c r="AE50" i="29"/>
  <c r="AG50" i="29" s="1"/>
  <c r="AD50" i="28"/>
  <c r="AF50" i="28" s="1"/>
  <c r="H26" i="34"/>
  <c r="AA28" i="31"/>
  <c r="AC28" i="31" s="1"/>
  <c r="AA28" i="30"/>
  <c r="AC28" i="30" s="1"/>
  <c r="AA28" i="29"/>
  <c r="AC28" i="29" s="1"/>
  <c r="Z28" i="28"/>
  <c r="AB28" i="28" s="1"/>
  <c r="H25" i="34"/>
  <c r="AA27" i="31"/>
  <c r="AC27" i="31" s="1"/>
  <c r="AA27" i="30"/>
  <c r="AC27" i="30" s="1"/>
  <c r="AA27" i="29"/>
  <c r="AC27" i="29" s="1"/>
  <c r="Z27" i="28"/>
  <c r="AB27" i="28" s="1"/>
  <c r="H61" i="34"/>
  <c r="AA63" i="31"/>
  <c r="AC63" i="31" s="1"/>
  <c r="AA63" i="30"/>
  <c r="AC63" i="30" s="1"/>
  <c r="AA63" i="29"/>
  <c r="AC63" i="29" s="1"/>
  <c r="Z63" i="28"/>
  <c r="AB63" i="28" s="1"/>
  <c r="AJ33" i="28"/>
  <c r="H51" i="34"/>
  <c r="AA53" i="31"/>
  <c r="AC53" i="31" s="1"/>
  <c r="AA53" i="30"/>
  <c r="AC53" i="30" s="1"/>
  <c r="AA53" i="29"/>
  <c r="AC53" i="29" s="1"/>
  <c r="Z53" i="28"/>
  <c r="AB53" i="28" s="1"/>
  <c r="C56" i="37"/>
  <c r="M3" i="34"/>
  <c r="AU5" i="31"/>
  <c r="AW5" i="31" s="1"/>
  <c r="AU5" i="30"/>
  <c r="AW5" i="30" s="1"/>
  <c r="AU5" i="29"/>
  <c r="AW5" i="29" s="1"/>
  <c r="AT5" i="28"/>
  <c r="AV5" i="28" s="1"/>
  <c r="R12" i="25"/>
  <c r="J29" i="34"/>
  <c r="AI31" i="31"/>
  <c r="AK31" i="31" s="1"/>
  <c r="AI31" i="30"/>
  <c r="AK31" i="30" s="1"/>
  <c r="AI31" i="29"/>
  <c r="AK31" i="29" s="1"/>
  <c r="AH31" i="28"/>
  <c r="R13" i="25"/>
  <c r="C10" i="37"/>
  <c r="G55" i="34"/>
  <c r="W57" i="31"/>
  <c r="Y57" i="31" s="1"/>
  <c r="W57" i="30"/>
  <c r="Y57" i="30" s="1"/>
  <c r="W57" i="29"/>
  <c r="Y57" i="29" s="1"/>
  <c r="V57" i="28"/>
  <c r="X57" i="28" s="1"/>
  <c r="C8" i="37"/>
  <c r="M21" i="34"/>
  <c r="AU23" i="31"/>
  <c r="AW23" i="31" s="1"/>
  <c r="AU23" i="30"/>
  <c r="AW23" i="30" s="1"/>
  <c r="AU23" i="29"/>
  <c r="AW23" i="29" s="1"/>
  <c r="AT23" i="28"/>
  <c r="AV23" i="28" s="1"/>
  <c r="I11" i="34"/>
  <c r="AE13" i="31"/>
  <c r="AG13" i="31" s="1"/>
  <c r="AE13" i="30"/>
  <c r="AG13" i="30" s="1"/>
  <c r="AE13" i="29"/>
  <c r="AG13" i="29" s="1"/>
  <c r="AD13" i="28"/>
  <c r="AF13" i="28" s="1"/>
  <c r="J28" i="34"/>
  <c r="AI30" i="31"/>
  <c r="AK30" i="31" s="1"/>
  <c r="AI30" i="30"/>
  <c r="AK30" i="30" s="1"/>
  <c r="AI30" i="29"/>
  <c r="AK30" i="29" s="1"/>
  <c r="AH30" i="28"/>
  <c r="M22" i="34"/>
  <c r="AU24" i="31"/>
  <c r="AW24" i="31" s="1"/>
  <c r="AU24" i="30"/>
  <c r="AW24" i="30" s="1"/>
  <c r="AU24" i="29"/>
  <c r="AW24" i="29" s="1"/>
  <c r="AT24" i="28"/>
  <c r="AV24" i="28" s="1"/>
  <c r="H38" i="34"/>
  <c r="AA40" i="31"/>
  <c r="AC40" i="31" s="1"/>
  <c r="AA40" i="30"/>
  <c r="AC40" i="30" s="1"/>
  <c r="AA40" i="29"/>
  <c r="AC40" i="29" s="1"/>
  <c r="Z40" i="28"/>
  <c r="AB40" i="28" s="1"/>
  <c r="AJ9" i="28"/>
  <c r="C39" i="37"/>
  <c r="K68" i="5"/>
  <c r="R68" i="5" s="1"/>
  <c r="K65" i="5"/>
  <c r="R65" i="5" s="1"/>
  <c r="K62" i="5"/>
  <c r="R62" i="5" s="1"/>
  <c r="K59" i="5"/>
  <c r="R59" i="5" s="1"/>
  <c r="K56" i="5"/>
  <c r="R56" i="5" s="1"/>
  <c r="K53" i="5"/>
  <c r="R53" i="5" s="1"/>
  <c r="K50" i="5"/>
  <c r="R50" i="5" s="1"/>
  <c r="K47" i="5"/>
  <c r="R47" i="5" s="1"/>
  <c r="K44" i="5"/>
  <c r="R44" i="5" s="1"/>
  <c r="K41" i="5"/>
  <c r="R41" i="5" s="1"/>
  <c r="K38" i="5"/>
  <c r="R38" i="5" s="1"/>
  <c r="K35" i="5"/>
  <c r="R35" i="5" s="1"/>
  <c r="K32" i="5"/>
  <c r="R32" i="5" s="1"/>
  <c r="K29" i="5"/>
  <c r="R29" i="5" s="1"/>
  <c r="K26" i="5"/>
  <c r="R26" i="5" s="1"/>
  <c r="K23" i="5"/>
  <c r="R23" i="5" s="1"/>
  <c r="K20" i="5"/>
  <c r="R20" i="5" s="1"/>
  <c r="K69" i="5"/>
  <c r="R69" i="5" s="1"/>
  <c r="K66" i="5"/>
  <c r="R66" i="5" s="1"/>
  <c r="K63" i="5"/>
  <c r="R63" i="5" s="1"/>
  <c r="K60" i="5"/>
  <c r="R60" i="5" s="1"/>
  <c r="K57" i="5"/>
  <c r="R57" i="5" s="1"/>
  <c r="K54" i="5"/>
  <c r="R54" i="5" s="1"/>
  <c r="K51" i="5"/>
  <c r="R51" i="5" s="1"/>
  <c r="K48" i="5"/>
  <c r="R48" i="5" s="1"/>
  <c r="K46" i="5"/>
  <c r="R46" i="5" s="1"/>
  <c r="K39" i="5"/>
  <c r="R39" i="5" s="1"/>
  <c r="K21" i="5"/>
  <c r="R21" i="5" s="1"/>
  <c r="K15" i="5"/>
  <c r="R15" i="5" s="1"/>
  <c r="K12" i="5"/>
  <c r="R12" i="5" s="1"/>
  <c r="K6" i="5"/>
  <c r="K14" i="5"/>
  <c r="R14" i="5" s="1"/>
  <c r="K34" i="5"/>
  <c r="R34" i="5" s="1"/>
  <c r="K9" i="5"/>
  <c r="R9" i="5" s="1"/>
  <c r="K42" i="5"/>
  <c r="R42" i="5" s="1"/>
  <c r="K24" i="5"/>
  <c r="R24" i="5" s="1"/>
  <c r="K19" i="5"/>
  <c r="R19" i="5" s="1"/>
  <c r="K37" i="5"/>
  <c r="R37" i="5" s="1"/>
  <c r="K17" i="5"/>
  <c r="R17" i="5" s="1"/>
  <c r="K27" i="5"/>
  <c r="R27" i="5" s="1"/>
  <c r="K16" i="5"/>
  <c r="R16" i="5" s="1"/>
  <c r="K13" i="5"/>
  <c r="R13" i="5" s="1"/>
  <c r="K7" i="5"/>
  <c r="R7" i="5" s="1"/>
  <c r="K67" i="5"/>
  <c r="R67" i="5" s="1"/>
  <c r="K61" i="5"/>
  <c r="R61" i="5" s="1"/>
  <c r="K55" i="5"/>
  <c r="R55" i="5" s="1"/>
  <c r="K49" i="5"/>
  <c r="R49" i="5" s="1"/>
  <c r="K40" i="5"/>
  <c r="R40" i="5" s="1"/>
  <c r="K22" i="5"/>
  <c r="R22" i="5" s="1"/>
  <c r="K10" i="5"/>
  <c r="R10" i="5" s="1"/>
  <c r="K33" i="5"/>
  <c r="R33" i="5" s="1"/>
  <c r="K45" i="5"/>
  <c r="R45" i="5" s="1"/>
  <c r="K30" i="5"/>
  <c r="R30" i="5" s="1"/>
  <c r="K25" i="5"/>
  <c r="R25" i="5" s="1"/>
  <c r="K43" i="5"/>
  <c r="R43" i="5" s="1"/>
  <c r="K52" i="5"/>
  <c r="R52" i="5" s="1"/>
  <c r="K31" i="5"/>
  <c r="R31" i="5" s="1"/>
  <c r="K8" i="5"/>
  <c r="R8" i="5" s="1"/>
  <c r="K11" i="5"/>
  <c r="R11" i="5" s="1"/>
  <c r="K58" i="5"/>
  <c r="R58" i="5" s="1"/>
  <c r="K64" i="5"/>
  <c r="R64" i="5" s="1"/>
  <c r="K36" i="5"/>
  <c r="R36" i="5" s="1"/>
  <c r="K18" i="5"/>
  <c r="R18" i="5" s="1"/>
  <c r="K28" i="5"/>
  <c r="R28" i="5" s="1"/>
  <c r="L50" i="34"/>
  <c r="AQ52" i="31"/>
  <c r="AS52" i="31" s="1"/>
  <c r="AQ52" i="30"/>
  <c r="AS52" i="30" s="1"/>
  <c r="AQ52" i="29"/>
  <c r="AS52" i="29" s="1"/>
  <c r="AP52" i="28"/>
  <c r="AR52" i="28" s="1"/>
  <c r="C63" i="37"/>
  <c r="C34" i="37"/>
  <c r="M36" i="34"/>
  <c r="AU38" i="31"/>
  <c r="AW38" i="31" s="1"/>
  <c r="AU38" i="30"/>
  <c r="AW38" i="30" s="1"/>
  <c r="AU38" i="29"/>
  <c r="AW38" i="29" s="1"/>
  <c r="AT38" i="28"/>
  <c r="AV38" i="28" s="1"/>
  <c r="H28" i="34"/>
  <c r="AA30" i="31"/>
  <c r="AC30" i="31" s="1"/>
  <c r="AA30" i="30"/>
  <c r="AC30" i="30" s="1"/>
  <c r="AA30" i="29"/>
  <c r="AC30" i="29" s="1"/>
  <c r="Z30" i="28"/>
  <c r="AB30" i="28" s="1"/>
  <c r="L19" i="34"/>
  <c r="AQ21" i="31"/>
  <c r="AS21" i="31" s="1"/>
  <c r="AQ21" i="30"/>
  <c r="AS21" i="30" s="1"/>
  <c r="AQ21" i="29"/>
  <c r="AS21" i="29" s="1"/>
  <c r="AP21" i="28"/>
  <c r="AR21" i="28" s="1"/>
  <c r="L24" i="34"/>
  <c r="AQ26" i="31"/>
  <c r="AS26" i="31" s="1"/>
  <c r="AQ26" i="30"/>
  <c r="AS26" i="30" s="1"/>
  <c r="AQ26" i="29"/>
  <c r="AS26" i="29" s="1"/>
  <c r="AP26" i="28"/>
  <c r="AR26" i="28" s="1"/>
  <c r="H60" i="34"/>
  <c r="AA62" i="31"/>
  <c r="AC62" i="31" s="1"/>
  <c r="AA62" i="30"/>
  <c r="AC62" i="30" s="1"/>
  <c r="AA62" i="29"/>
  <c r="AC62" i="29" s="1"/>
  <c r="Z62" i="28"/>
  <c r="AB62" i="28" s="1"/>
  <c r="C6" i="37"/>
  <c r="I30" i="34"/>
  <c r="AE32" i="30"/>
  <c r="AG32" i="30" s="1"/>
  <c r="AE32" i="29"/>
  <c r="AG32" i="29" s="1"/>
  <c r="AD32" i="28"/>
  <c r="AF32" i="28" s="1"/>
  <c r="AE32" i="31"/>
  <c r="AG32" i="31" s="1"/>
  <c r="H54" i="34"/>
  <c r="AA56" i="31"/>
  <c r="AC56" i="31" s="1"/>
  <c r="AA56" i="30"/>
  <c r="AC56" i="30" s="1"/>
  <c r="AA56" i="29"/>
  <c r="AC56" i="29" s="1"/>
  <c r="Z56" i="28"/>
  <c r="AB56" i="28" s="1"/>
  <c r="G5" i="34"/>
  <c r="W7" i="31"/>
  <c r="Y7" i="31" s="1"/>
  <c r="W7" i="30"/>
  <c r="Y7" i="30" s="1"/>
  <c r="W7" i="29"/>
  <c r="Y7" i="29" s="1"/>
  <c r="V7" i="28"/>
  <c r="X7" i="28" s="1"/>
  <c r="M39" i="34"/>
  <c r="AU41" i="31"/>
  <c r="AW41" i="31" s="1"/>
  <c r="AU41" i="30"/>
  <c r="AW41" i="30" s="1"/>
  <c r="AU41" i="29"/>
  <c r="AW41" i="29" s="1"/>
  <c r="AT41" i="28"/>
  <c r="AV41" i="28" s="1"/>
  <c r="G29" i="34"/>
  <c r="W31" i="31"/>
  <c r="Y31" i="31" s="1"/>
  <c r="W31" i="30"/>
  <c r="Y31" i="30" s="1"/>
  <c r="W31" i="29"/>
  <c r="Y31" i="29" s="1"/>
  <c r="V31" i="28"/>
  <c r="X31" i="28" s="1"/>
  <c r="J37" i="34"/>
  <c r="AI39" i="31"/>
  <c r="AK39" i="31" s="1"/>
  <c r="AI39" i="30"/>
  <c r="AK39" i="30" s="1"/>
  <c r="AI39" i="29"/>
  <c r="AK39" i="29" s="1"/>
  <c r="AH39" i="28"/>
  <c r="H42" i="34"/>
  <c r="AA44" i="31"/>
  <c r="AC44" i="31" s="1"/>
  <c r="AA44" i="30"/>
  <c r="AC44" i="30" s="1"/>
  <c r="AA44" i="29"/>
  <c r="AC44" i="29" s="1"/>
  <c r="Z44" i="28"/>
  <c r="AB44" i="28" s="1"/>
  <c r="C64" i="37"/>
  <c r="C22" i="37"/>
  <c r="C50" i="37"/>
  <c r="J59" i="34"/>
  <c r="AI61" i="31"/>
  <c r="AK61" i="31" s="1"/>
  <c r="AI61" i="30"/>
  <c r="AK61" i="30" s="1"/>
  <c r="AI61" i="29"/>
  <c r="AK61" i="29" s="1"/>
  <c r="AH61" i="28"/>
  <c r="M12" i="34"/>
  <c r="AU14" i="31"/>
  <c r="AW14" i="31" s="1"/>
  <c r="AU14" i="30"/>
  <c r="AW14" i="30" s="1"/>
  <c r="AU14" i="29"/>
  <c r="AW14" i="29" s="1"/>
  <c r="AT14" i="28"/>
  <c r="AV14" i="28" s="1"/>
  <c r="H31" i="34"/>
  <c r="AA33" i="31"/>
  <c r="AC33" i="31" s="1"/>
  <c r="AA33" i="30"/>
  <c r="AC33" i="30" s="1"/>
  <c r="AA33" i="29"/>
  <c r="AC33" i="29" s="1"/>
  <c r="Z33" i="28"/>
  <c r="AB33" i="28" s="1"/>
  <c r="K17" i="7"/>
  <c r="R17" i="7" s="1"/>
  <c r="K14" i="7"/>
  <c r="R14" i="7" s="1"/>
  <c r="K69" i="7"/>
  <c r="R69" i="7" s="1"/>
  <c r="K66" i="7"/>
  <c r="R66" i="7" s="1"/>
  <c r="K63" i="7"/>
  <c r="R63" i="7" s="1"/>
  <c r="K60" i="7"/>
  <c r="R60" i="7" s="1"/>
  <c r="K57" i="7"/>
  <c r="R57" i="7" s="1"/>
  <c r="K54" i="7"/>
  <c r="R54" i="7" s="1"/>
  <c r="K51" i="7"/>
  <c r="R51" i="7" s="1"/>
  <c r="K48" i="7"/>
  <c r="R48" i="7" s="1"/>
  <c r="K45" i="7"/>
  <c r="R45" i="7" s="1"/>
  <c r="K42" i="7"/>
  <c r="R42" i="7" s="1"/>
  <c r="K39" i="7"/>
  <c r="R39" i="7" s="1"/>
  <c r="K36" i="7"/>
  <c r="R36" i="7" s="1"/>
  <c r="K33" i="7"/>
  <c r="R33" i="7" s="1"/>
  <c r="K30" i="7"/>
  <c r="R30" i="7" s="1"/>
  <c r="K27" i="7"/>
  <c r="R27" i="7" s="1"/>
  <c r="K24" i="7"/>
  <c r="R24" i="7" s="1"/>
  <c r="K21" i="7"/>
  <c r="R21" i="7" s="1"/>
  <c r="K18" i="7"/>
  <c r="R18" i="7" s="1"/>
  <c r="K8" i="7"/>
  <c r="R8" i="7" s="1"/>
  <c r="K15" i="7"/>
  <c r="R15" i="7" s="1"/>
  <c r="K12" i="7"/>
  <c r="R12" i="7" s="1"/>
  <c r="K10" i="7"/>
  <c r="R10" i="7" s="1"/>
  <c r="K68" i="7"/>
  <c r="R68" i="7" s="1"/>
  <c r="K59" i="7"/>
  <c r="R59" i="7" s="1"/>
  <c r="K50" i="7"/>
  <c r="R50" i="7" s="1"/>
  <c r="K41" i="7"/>
  <c r="R41" i="7" s="1"/>
  <c r="K32" i="7"/>
  <c r="R32" i="7" s="1"/>
  <c r="K23" i="7"/>
  <c r="R23" i="7" s="1"/>
  <c r="K6" i="7"/>
  <c r="K9" i="7"/>
  <c r="R9" i="7" s="1"/>
  <c r="K58" i="7"/>
  <c r="R58" i="7" s="1"/>
  <c r="K22" i="7"/>
  <c r="R22" i="7" s="1"/>
  <c r="K64" i="7"/>
  <c r="R64" i="7" s="1"/>
  <c r="K55" i="7"/>
  <c r="R55" i="7" s="1"/>
  <c r="K46" i="7"/>
  <c r="R46" i="7" s="1"/>
  <c r="K37" i="7"/>
  <c r="R37" i="7" s="1"/>
  <c r="K28" i="7"/>
  <c r="R28" i="7" s="1"/>
  <c r="K19" i="7"/>
  <c r="R19" i="7" s="1"/>
  <c r="K31" i="7"/>
  <c r="R31" i="7" s="1"/>
  <c r="K62" i="7"/>
  <c r="R62" i="7" s="1"/>
  <c r="K53" i="7"/>
  <c r="R53" i="7" s="1"/>
  <c r="K44" i="7"/>
  <c r="R44" i="7" s="1"/>
  <c r="K35" i="7"/>
  <c r="R35" i="7" s="1"/>
  <c r="K26" i="7"/>
  <c r="R26" i="7" s="1"/>
  <c r="K13" i="7"/>
  <c r="R13" i="7" s="1"/>
  <c r="K67" i="7"/>
  <c r="R67" i="7" s="1"/>
  <c r="K49" i="7"/>
  <c r="R49" i="7" s="1"/>
  <c r="K40" i="7"/>
  <c r="R40" i="7" s="1"/>
  <c r="K11" i="7"/>
  <c r="R11" i="7" s="1"/>
  <c r="K56" i="7"/>
  <c r="R56" i="7" s="1"/>
  <c r="K16" i="7"/>
  <c r="R16" i="7" s="1"/>
  <c r="K47" i="7"/>
  <c r="R47" i="7" s="1"/>
  <c r="K52" i="7"/>
  <c r="R52" i="7" s="1"/>
  <c r="K38" i="7"/>
  <c r="R38" i="7" s="1"/>
  <c r="K65" i="7"/>
  <c r="R65" i="7" s="1"/>
  <c r="K34" i="7"/>
  <c r="R34" i="7" s="1"/>
  <c r="K7" i="7"/>
  <c r="R7" i="7" s="1"/>
  <c r="K61" i="7"/>
  <c r="R61" i="7" s="1"/>
  <c r="K20" i="7"/>
  <c r="R20" i="7" s="1"/>
  <c r="K43" i="7"/>
  <c r="R43" i="7" s="1"/>
  <c r="K29" i="7"/>
  <c r="R29" i="7" s="1"/>
  <c r="K25" i="7"/>
  <c r="R25" i="7" s="1"/>
  <c r="N43" i="34" l="1"/>
  <c r="AY45" i="31"/>
  <c r="BA45" i="31" s="1"/>
  <c r="AY45" i="30"/>
  <c r="BA45" i="30" s="1"/>
  <c r="AY45" i="29"/>
  <c r="BA45" i="29" s="1"/>
  <c r="AX45" i="28"/>
  <c r="AZ45" i="28" s="1"/>
  <c r="N3" i="34"/>
  <c r="AY5" i="31"/>
  <c r="BA5" i="31" s="1"/>
  <c r="AY5" i="30"/>
  <c r="BA5" i="30" s="1"/>
  <c r="AY5" i="29"/>
  <c r="BA5" i="29" s="1"/>
  <c r="AX5" i="28"/>
  <c r="AZ5" i="28" s="1"/>
  <c r="N25" i="34"/>
  <c r="AY27" i="31"/>
  <c r="BA27" i="31" s="1"/>
  <c r="AY27" i="30"/>
  <c r="BA27" i="30" s="1"/>
  <c r="AY27" i="29"/>
  <c r="BA27" i="29" s="1"/>
  <c r="AX27" i="28"/>
  <c r="AZ27" i="28" s="1"/>
  <c r="N5" i="34"/>
  <c r="AY7" i="31"/>
  <c r="BA7" i="31" s="1"/>
  <c r="AY7" i="30"/>
  <c r="BA7" i="30" s="1"/>
  <c r="AY7" i="29"/>
  <c r="BA7" i="29" s="1"/>
  <c r="AX7" i="28"/>
  <c r="AZ7" i="28" s="1"/>
  <c r="O49" i="31"/>
  <c r="Q49" i="31" s="1"/>
  <c r="E47" i="34"/>
  <c r="O49" i="30"/>
  <c r="Q49" i="30" s="1"/>
  <c r="O49" i="29"/>
  <c r="Q49" i="29" s="1"/>
  <c r="N49" i="28"/>
  <c r="P49" i="28" s="1"/>
  <c r="AY66" i="31"/>
  <c r="BA66" i="31" s="1"/>
  <c r="N64" i="34"/>
  <c r="AY66" i="30"/>
  <c r="BA66" i="30" s="1"/>
  <c r="AY66" i="29"/>
  <c r="BA66" i="29" s="1"/>
  <c r="AX66" i="28"/>
  <c r="AZ66" i="28" s="1"/>
  <c r="F34" i="34"/>
  <c r="S36" i="31"/>
  <c r="U36" i="31" s="1"/>
  <c r="S36" i="30"/>
  <c r="U36" i="30" s="1"/>
  <c r="S36" i="29"/>
  <c r="U36" i="29" s="1"/>
  <c r="R36" i="28"/>
  <c r="T36" i="28" s="1"/>
  <c r="E45" i="34"/>
  <c r="O47" i="31"/>
  <c r="Q47" i="31" s="1"/>
  <c r="O47" i="30"/>
  <c r="Q47" i="30" s="1"/>
  <c r="O47" i="29"/>
  <c r="Q47" i="29" s="1"/>
  <c r="N47" i="28"/>
  <c r="P47" i="28" s="1"/>
  <c r="N16" i="34"/>
  <c r="AY18" i="31"/>
  <c r="BA18" i="31" s="1"/>
  <c r="AY18" i="30"/>
  <c r="BA18" i="30" s="1"/>
  <c r="AY18" i="29"/>
  <c r="BA18" i="29" s="1"/>
  <c r="AX18" i="28"/>
  <c r="AZ18" i="28" s="1"/>
  <c r="AJ14" i="28"/>
  <c r="H1" i="34"/>
  <c r="AA3" i="31"/>
  <c r="AA3" i="29"/>
  <c r="Z3" i="28"/>
  <c r="AA3" i="30"/>
  <c r="R70" i="13"/>
  <c r="K16" i="34"/>
  <c r="AM18" i="31"/>
  <c r="AO18" i="31" s="1"/>
  <c r="AM18" i="30"/>
  <c r="AO18" i="30" s="1"/>
  <c r="AM18" i="29"/>
  <c r="AO18" i="29" s="1"/>
  <c r="AL18" i="28"/>
  <c r="K5" i="34"/>
  <c r="AM7" i="31"/>
  <c r="AO7" i="31" s="1"/>
  <c r="AM7" i="30"/>
  <c r="AO7" i="30" s="1"/>
  <c r="AM7" i="29"/>
  <c r="AO7" i="29" s="1"/>
  <c r="AL7" i="28"/>
  <c r="K45" i="34"/>
  <c r="AM47" i="31"/>
  <c r="AO47" i="31" s="1"/>
  <c r="AM47" i="30"/>
  <c r="AO47" i="30" s="1"/>
  <c r="AM47" i="29"/>
  <c r="AO47" i="29" s="1"/>
  <c r="AL47" i="28"/>
  <c r="AN47" i="28" s="1"/>
  <c r="K23" i="34"/>
  <c r="AM25" i="31"/>
  <c r="AO25" i="31" s="1"/>
  <c r="AM25" i="30"/>
  <c r="AO25" i="30" s="1"/>
  <c r="AM25" i="29"/>
  <c r="AO25" i="29" s="1"/>
  <c r="AL25" i="28"/>
  <c r="AN25" i="28" s="1"/>
  <c r="K59" i="34"/>
  <c r="AM61" i="31"/>
  <c r="AO61" i="31" s="1"/>
  <c r="AM61" i="30"/>
  <c r="AO61" i="30" s="1"/>
  <c r="AM61" i="29"/>
  <c r="AO61" i="29" s="1"/>
  <c r="AL61" i="28"/>
  <c r="AN61" i="28" s="1"/>
  <c r="AJ37" i="28"/>
  <c r="N56" i="34"/>
  <c r="AY58" i="31"/>
  <c r="BA58" i="31" s="1"/>
  <c r="AY58" i="30"/>
  <c r="BA58" i="30" s="1"/>
  <c r="AY58" i="29"/>
  <c r="BA58" i="29" s="1"/>
  <c r="AX58" i="28"/>
  <c r="AZ58" i="28" s="1"/>
  <c r="N26" i="34"/>
  <c r="AY28" i="31"/>
  <c r="BA28" i="31" s="1"/>
  <c r="AY28" i="30"/>
  <c r="BA28" i="30" s="1"/>
  <c r="AY28" i="29"/>
  <c r="BA28" i="29" s="1"/>
  <c r="AX28" i="28"/>
  <c r="AZ28" i="28" s="1"/>
  <c r="N31" i="34"/>
  <c r="AY33" i="31"/>
  <c r="BA33" i="31" s="1"/>
  <c r="AY33" i="30"/>
  <c r="BA33" i="30" s="1"/>
  <c r="AY33" i="29"/>
  <c r="BA33" i="29" s="1"/>
  <c r="AX33" i="28"/>
  <c r="AZ33" i="28" s="1"/>
  <c r="N2" i="34"/>
  <c r="AY4" i="31"/>
  <c r="BA4" i="31" s="1"/>
  <c r="AY4" i="30"/>
  <c r="BA4" i="30" s="1"/>
  <c r="AY4" i="29"/>
  <c r="BA4" i="29" s="1"/>
  <c r="AX4" i="28"/>
  <c r="AZ4" i="28" s="1"/>
  <c r="N42" i="34"/>
  <c r="AY44" i="31"/>
  <c r="BA44" i="31" s="1"/>
  <c r="AY44" i="30"/>
  <c r="BA44" i="30" s="1"/>
  <c r="AY44" i="29"/>
  <c r="BA44" i="29" s="1"/>
  <c r="AX44" i="28"/>
  <c r="AZ44" i="28" s="1"/>
  <c r="F56" i="34"/>
  <c r="S58" i="31"/>
  <c r="U58" i="31" s="1"/>
  <c r="S58" i="30"/>
  <c r="U58" i="30" s="1"/>
  <c r="S58" i="29"/>
  <c r="U58" i="29" s="1"/>
  <c r="R58" i="28"/>
  <c r="T58" i="28" s="1"/>
  <c r="F62" i="34"/>
  <c r="S64" i="31"/>
  <c r="U64" i="31" s="1"/>
  <c r="S64" i="30"/>
  <c r="U64" i="30" s="1"/>
  <c r="S64" i="29"/>
  <c r="U64" i="29" s="1"/>
  <c r="R64" i="28"/>
  <c r="T64" i="28" s="1"/>
  <c r="F50" i="34"/>
  <c r="S52" i="31"/>
  <c r="U52" i="31" s="1"/>
  <c r="S52" i="30"/>
  <c r="U52" i="30" s="1"/>
  <c r="S52" i="29"/>
  <c r="U52" i="29" s="1"/>
  <c r="R52" i="28"/>
  <c r="T52" i="28" s="1"/>
  <c r="F5" i="34"/>
  <c r="S7" i="31"/>
  <c r="U7" i="31" s="1"/>
  <c r="S7" i="30"/>
  <c r="U7" i="30" s="1"/>
  <c r="S7" i="29"/>
  <c r="U7" i="29" s="1"/>
  <c r="R7" i="28"/>
  <c r="T7" i="28" s="1"/>
  <c r="F37" i="34"/>
  <c r="S39" i="31"/>
  <c r="U39" i="31" s="1"/>
  <c r="S39" i="30"/>
  <c r="U39" i="30" s="1"/>
  <c r="S39" i="29"/>
  <c r="U39" i="29" s="1"/>
  <c r="R39" i="28"/>
  <c r="T39" i="28" s="1"/>
  <c r="E20" i="34"/>
  <c r="O22" i="31"/>
  <c r="Q22" i="31" s="1"/>
  <c r="O22" i="30"/>
  <c r="Q22" i="30" s="1"/>
  <c r="O22" i="29"/>
  <c r="Q22" i="29" s="1"/>
  <c r="N22" i="28"/>
  <c r="P22" i="28" s="1"/>
  <c r="E8" i="34"/>
  <c r="O10" i="31"/>
  <c r="Q10" i="31" s="1"/>
  <c r="O10" i="30"/>
  <c r="Q10" i="30" s="1"/>
  <c r="O10" i="29"/>
  <c r="Q10" i="29" s="1"/>
  <c r="N10" i="28"/>
  <c r="P10" i="28" s="1"/>
  <c r="E7" i="34"/>
  <c r="O9" i="31"/>
  <c r="Q9" i="31" s="1"/>
  <c r="O9" i="30"/>
  <c r="Q9" i="30" s="1"/>
  <c r="O9" i="29"/>
  <c r="Q9" i="29" s="1"/>
  <c r="N9" i="28"/>
  <c r="P9" i="28" s="1"/>
  <c r="E64" i="34"/>
  <c r="O66" i="31"/>
  <c r="Q66" i="31" s="1"/>
  <c r="O66" i="30"/>
  <c r="Q66" i="30" s="1"/>
  <c r="N66" i="28"/>
  <c r="P66" i="28" s="1"/>
  <c r="O66" i="29"/>
  <c r="Q66" i="29" s="1"/>
  <c r="E48" i="34"/>
  <c r="O50" i="31"/>
  <c r="Q50" i="31" s="1"/>
  <c r="O50" i="30"/>
  <c r="Q50" i="30" s="1"/>
  <c r="O50" i="29"/>
  <c r="Q50" i="29" s="1"/>
  <c r="N50" i="28"/>
  <c r="P50" i="28" s="1"/>
  <c r="AM63" i="31"/>
  <c r="AO63" i="31" s="1"/>
  <c r="K61" i="34"/>
  <c r="AM63" i="30"/>
  <c r="AO63" i="30" s="1"/>
  <c r="AM63" i="29"/>
  <c r="AO63" i="29" s="1"/>
  <c r="AL63" i="28"/>
  <c r="AN63" i="28" s="1"/>
  <c r="K19" i="34"/>
  <c r="AM21" i="31"/>
  <c r="AO21" i="31" s="1"/>
  <c r="AM21" i="29"/>
  <c r="AO21" i="29" s="1"/>
  <c r="AM21" i="30"/>
  <c r="AO21" i="30" s="1"/>
  <c r="AL21" i="28"/>
  <c r="AN21" i="28" s="1"/>
  <c r="K15" i="34"/>
  <c r="AM17" i="31"/>
  <c r="AO17" i="31" s="1"/>
  <c r="AM17" i="30"/>
  <c r="AO17" i="30" s="1"/>
  <c r="AM17" i="29"/>
  <c r="AO17" i="29" s="1"/>
  <c r="AL17" i="28"/>
  <c r="K48" i="34"/>
  <c r="AM50" i="30"/>
  <c r="AO50" i="30" s="1"/>
  <c r="AM50" i="31"/>
  <c r="AO50" i="31" s="1"/>
  <c r="AM50" i="29"/>
  <c r="AO50" i="29" s="1"/>
  <c r="AL50" i="28"/>
  <c r="K26" i="34"/>
  <c r="AM28" i="31"/>
  <c r="AO28" i="31" s="1"/>
  <c r="AM28" i="30"/>
  <c r="AO28" i="30" s="1"/>
  <c r="AM28" i="29"/>
  <c r="AO28" i="29" s="1"/>
  <c r="AL28" i="28"/>
  <c r="K62" i="34"/>
  <c r="AM64" i="31"/>
  <c r="AO64" i="31" s="1"/>
  <c r="AM64" i="30"/>
  <c r="AO64" i="30" s="1"/>
  <c r="AM64" i="29"/>
  <c r="AO64" i="29" s="1"/>
  <c r="AL64" i="28"/>
  <c r="N35" i="34"/>
  <c r="AY37" i="31"/>
  <c r="BA37" i="31" s="1"/>
  <c r="AY37" i="30"/>
  <c r="BA37" i="30" s="1"/>
  <c r="AY37" i="29"/>
  <c r="BA37" i="29" s="1"/>
  <c r="AX37" i="28"/>
  <c r="AZ37" i="28" s="1"/>
  <c r="N34" i="34"/>
  <c r="AY36" i="31"/>
  <c r="BA36" i="31" s="1"/>
  <c r="AY36" i="30"/>
  <c r="BA36" i="30" s="1"/>
  <c r="AY36" i="29"/>
  <c r="BA36" i="29" s="1"/>
  <c r="AX36" i="28"/>
  <c r="AZ36" i="28" s="1"/>
  <c r="N9" i="34"/>
  <c r="AY11" i="31"/>
  <c r="BA11" i="31" s="1"/>
  <c r="AY11" i="30"/>
  <c r="BA11" i="30" s="1"/>
  <c r="AY11" i="29"/>
  <c r="BA11" i="29" s="1"/>
  <c r="AX11" i="28"/>
  <c r="AZ11" i="28" s="1"/>
  <c r="N45" i="34"/>
  <c r="AY47" i="31"/>
  <c r="BA47" i="31" s="1"/>
  <c r="AY47" i="30"/>
  <c r="BA47" i="30" s="1"/>
  <c r="AY47" i="29"/>
  <c r="BA47" i="29" s="1"/>
  <c r="AX47" i="28"/>
  <c r="AZ47" i="28" s="1"/>
  <c r="AJ63" i="28"/>
  <c r="AJ58" i="28"/>
  <c r="F54" i="34"/>
  <c r="S56" i="31"/>
  <c r="U56" i="31" s="1"/>
  <c r="S56" i="30"/>
  <c r="U56" i="30" s="1"/>
  <c r="S56" i="29"/>
  <c r="U56" i="29" s="1"/>
  <c r="R56" i="28"/>
  <c r="T56" i="28" s="1"/>
  <c r="N28" i="34"/>
  <c r="AY30" i="31"/>
  <c r="BA30" i="31" s="1"/>
  <c r="AY30" i="30"/>
  <c r="BA30" i="30" s="1"/>
  <c r="AY30" i="29"/>
  <c r="BA30" i="29" s="1"/>
  <c r="AX30" i="28"/>
  <c r="AZ30" i="28" s="1"/>
  <c r="F63" i="34"/>
  <c r="S65" i="31"/>
  <c r="U65" i="31" s="1"/>
  <c r="S65" i="30"/>
  <c r="U65" i="30" s="1"/>
  <c r="S65" i="29"/>
  <c r="U65" i="29" s="1"/>
  <c r="R65" i="28"/>
  <c r="T65" i="28" s="1"/>
  <c r="K70" i="5"/>
  <c r="F8" i="34"/>
  <c r="S10" i="31"/>
  <c r="U10" i="31" s="1"/>
  <c r="S10" i="30"/>
  <c r="U10" i="30" s="1"/>
  <c r="S10" i="29"/>
  <c r="U10" i="29" s="1"/>
  <c r="R10" i="28"/>
  <c r="T10" i="28" s="1"/>
  <c r="AD67" i="28"/>
  <c r="AF3" i="28"/>
  <c r="AF67" i="28" s="1"/>
  <c r="K8" i="34"/>
  <c r="AM10" i="31"/>
  <c r="AO10" i="31" s="1"/>
  <c r="AM10" i="30"/>
  <c r="AO10" i="30" s="1"/>
  <c r="AL10" i="28"/>
  <c r="AM10" i="29"/>
  <c r="AO10" i="29" s="1"/>
  <c r="N37" i="34"/>
  <c r="AY39" i="31"/>
  <c r="BA39" i="31" s="1"/>
  <c r="AY39" i="30"/>
  <c r="BA39" i="30" s="1"/>
  <c r="AY39" i="29"/>
  <c r="BA39" i="29" s="1"/>
  <c r="AX39" i="28"/>
  <c r="AZ39" i="28" s="1"/>
  <c r="L26" i="34"/>
  <c r="AQ28" i="31"/>
  <c r="AS28" i="31" s="1"/>
  <c r="AQ28" i="30"/>
  <c r="AS28" i="30" s="1"/>
  <c r="AQ28" i="29"/>
  <c r="AS28" i="29" s="1"/>
  <c r="AP28" i="28"/>
  <c r="AR28" i="28" s="1"/>
  <c r="F29" i="34"/>
  <c r="S31" i="31"/>
  <c r="U31" i="31" s="1"/>
  <c r="S31" i="30"/>
  <c r="U31" i="30" s="1"/>
  <c r="S31" i="29"/>
  <c r="U31" i="29" s="1"/>
  <c r="R31" i="28"/>
  <c r="T31" i="28" s="1"/>
  <c r="F21" i="34"/>
  <c r="S23" i="31"/>
  <c r="U23" i="31" s="1"/>
  <c r="S23" i="30"/>
  <c r="U23" i="30" s="1"/>
  <c r="S23" i="29"/>
  <c r="U23" i="29" s="1"/>
  <c r="R23" i="28"/>
  <c r="T23" i="28" s="1"/>
  <c r="F17" i="34"/>
  <c r="S19" i="31"/>
  <c r="U19" i="31" s="1"/>
  <c r="S19" i="30"/>
  <c r="U19" i="30" s="1"/>
  <c r="R19" i="28"/>
  <c r="T19" i="28" s="1"/>
  <c r="S19" i="29"/>
  <c r="U19" i="29" s="1"/>
  <c r="F10" i="34"/>
  <c r="S12" i="31"/>
  <c r="U12" i="31" s="1"/>
  <c r="S12" i="30"/>
  <c r="U12" i="30" s="1"/>
  <c r="S12" i="29"/>
  <c r="U12" i="29" s="1"/>
  <c r="R12" i="28"/>
  <c r="T12" i="28" s="1"/>
  <c r="F43" i="34"/>
  <c r="S45" i="31"/>
  <c r="U45" i="31" s="1"/>
  <c r="S45" i="30"/>
  <c r="U45" i="30" s="1"/>
  <c r="S45" i="29"/>
  <c r="U45" i="29" s="1"/>
  <c r="R45" i="28"/>
  <c r="T45" i="28" s="1"/>
  <c r="E23" i="34"/>
  <c r="O25" i="31"/>
  <c r="Q25" i="31" s="1"/>
  <c r="O25" i="30"/>
  <c r="Q25" i="30" s="1"/>
  <c r="O25" i="29"/>
  <c r="Q25" i="29" s="1"/>
  <c r="N25" i="28"/>
  <c r="P25" i="28" s="1"/>
  <c r="E40" i="34"/>
  <c r="O42" i="31"/>
  <c r="Q42" i="31" s="1"/>
  <c r="O42" i="30"/>
  <c r="Q42" i="30" s="1"/>
  <c r="O42" i="29"/>
  <c r="Q42" i="29" s="1"/>
  <c r="N42" i="28"/>
  <c r="P42" i="28" s="1"/>
  <c r="E22" i="34"/>
  <c r="O24" i="31"/>
  <c r="Q24" i="31" s="1"/>
  <c r="O24" i="30"/>
  <c r="Q24" i="30" s="1"/>
  <c r="O24" i="29"/>
  <c r="Q24" i="29" s="1"/>
  <c r="N24" i="28"/>
  <c r="P24" i="28" s="1"/>
  <c r="E16" i="34"/>
  <c r="O18" i="31"/>
  <c r="Q18" i="31" s="1"/>
  <c r="O18" i="30"/>
  <c r="Q18" i="30" s="1"/>
  <c r="O18" i="29"/>
  <c r="Q18" i="29" s="1"/>
  <c r="N18" i="28"/>
  <c r="P18" i="28" s="1"/>
  <c r="E18" i="34"/>
  <c r="O20" i="31"/>
  <c r="Q20" i="31" s="1"/>
  <c r="O20" i="30"/>
  <c r="Q20" i="30" s="1"/>
  <c r="O20" i="29"/>
  <c r="Q20" i="29" s="1"/>
  <c r="N20" i="28"/>
  <c r="P20" i="28" s="1"/>
  <c r="E54" i="34"/>
  <c r="O56" i="31"/>
  <c r="Q56" i="31" s="1"/>
  <c r="O56" i="30"/>
  <c r="Q56" i="30" s="1"/>
  <c r="N56" i="28"/>
  <c r="P56" i="28" s="1"/>
  <c r="O56" i="29"/>
  <c r="Q56" i="29" s="1"/>
  <c r="AE67" i="30"/>
  <c r="AG3" i="30"/>
  <c r="AG67" i="30" s="1"/>
  <c r="AJ49" i="28"/>
  <c r="K28" i="34"/>
  <c r="AM30" i="31"/>
  <c r="AO30" i="31" s="1"/>
  <c r="AM30" i="29"/>
  <c r="AO30" i="29" s="1"/>
  <c r="AM30" i="30"/>
  <c r="AO30" i="30" s="1"/>
  <c r="AL30" i="28"/>
  <c r="AN30" i="28" s="1"/>
  <c r="K55" i="34"/>
  <c r="AM57" i="31"/>
  <c r="AO57" i="31" s="1"/>
  <c r="AM57" i="30"/>
  <c r="AO57" i="30" s="1"/>
  <c r="AL57" i="28"/>
  <c r="AN57" i="28" s="1"/>
  <c r="AM57" i="29"/>
  <c r="AO57" i="29" s="1"/>
  <c r="K18" i="34"/>
  <c r="AM20" i="31"/>
  <c r="AO20" i="31" s="1"/>
  <c r="AM20" i="30"/>
  <c r="AO20" i="30" s="1"/>
  <c r="AM20" i="29"/>
  <c r="AO20" i="29" s="1"/>
  <c r="AL20" i="28"/>
  <c r="K54" i="34"/>
  <c r="AM56" i="31"/>
  <c r="AO56" i="31" s="1"/>
  <c r="AM56" i="30"/>
  <c r="AO56" i="30" s="1"/>
  <c r="AM56" i="29"/>
  <c r="AO56" i="29" s="1"/>
  <c r="AL56" i="28"/>
  <c r="K32" i="34"/>
  <c r="AM34" i="31"/>
  <c r="AO34" i="31" s="1"/>
  <c r="AM34" i="30"/>
  <c r="AO34" i="30" s="1"/>
  <c r="AM34" i="29"/>
  <c r="AO34" i="29" s="1"/>
  <c r="AL34" i="28"/>
  <c r="K10" i="34"/>
  <c r="AM12" i="31"/>
  <c r="AO12" i="31" s="1"/>
  <c r="AM12" i="30"/>
  <c r="AO12" i="30" s="1"/>
  <c r="AM12" i="29"/>
  <c r="AO12" i="29" s="1"/>
  <c r="AL12" i="28"/>
  <c r="AN12" i="28" s="1"/>
  <c r="N23" i="34"/>
  <c r="AY25" i="31"/>
  <c r="BA25" i="31" s="1"/>
  <c r="AY25" i="30"/>
  <c r="BA25" i="30" s="1"/>
  <c r="AY25" i="29"/>
  <c r="BA25" i="29" s="1"/>
  <c r="AX25" i="28"/>
  <c r="AZ25" i="28" s="1"/>
  <c r="N40" i="34"/>
  <c r="AY42" i="31"/>
  <c r="BA42" i="31" s="1"/>
  <c r="AY42" i="30"/>
  <c r="BA42" i="30" s="1"/>
  <c r="AY42" i="29"/>
  <c r="BA42" i="29" s="1"/>
  <c r="AX42" i="28"/>
  <c r="AZ42" i="28" s="1"/>
  <c r="N15" i="34"/>
  <c r="AY17" i="31"/>
  <c r="BA17" i="31" s="1"/>
  <c r="AY17" i="30"/>
  <c r="BA17" i="30" s="1"/>
  <c r="AY17" i="29"/>
  <c r="BA17" i="29" s="1"/>
  <c r="AX17" i="28"/>
  <c r="AZ17" i="28" s="1"/>
  <c r="N51" i="34"/>
  <c r="AY53" i="31"/>
  <c r="BA53" i="31" s="1"/>
  <c r="AY53" i="30"/>
  <c r="BA53" i="30" s="1"/>
  <c r="AY53" i="29"/>
  <c r="BA53" i="29" s="1"/>
  <c r="AX53" i="28"/>
  <c r="AZ53" i="28" s="1"/>
  <c r="F38" i="34"/>
  <c r="S40" i="31"/>
  <c r="U40" i="31" s="1"/>
  <c r="S40" i="30"/>
  <c r="U40" i="30" s="1"/>
  <c r="S40" i="29"/>
  <c r="U40" i="29" s="1"/>
  <c r="R40" i="28"/>
  <c r="T40" i="28" s="1"/>
  <c r="E61" i="34"/>
  <c r="O63" i="31"/>
  <c r="Q63" i="31" s="1"/>
  <c r="O63" i="30"/>
  <c r="Q63" i="30" s="1"/>
  <c r="O63" i="29"/>
  <c r="Q63" i="29" s="1"/>
  <c r="N63" i="28"/>
  <c r="P63" i="28" s="1"/>
  <c r="F59" i="34"/>
  <c r="S61" i="31"/>
  <c r="U61" i="31" s="1"/>
  <c r="S61" i="30"/>
  <c r="U61" i="30" s="1"/>
  <c r="S61" i="29"/>
  <c r="U61" i="29" s="1"/>
  <c r="R61" i="28"/>
  <c r="T61" i="28" s="1"/>
  <c r="E11" i="34"/>
  <c r="O13" i="31"/>
  <c r="Q13" i="31" s="1"/>
  <c r="O13" i="30"/>
  <c r="Q13" i="30" s="1"/>
  <c r="O13" i="29"/>
  <c r="Q13" i="29" s="1"/>
  <c r="N13" i="28"/>
  <c r="P13" i="28" s="1"/>
  <c r="AJ45" i="28"/>
  <c r="K51" i="34"/>
  <c r="AM53" i="31"/>
  <c r="AO53" i="31" s="1"/>
  <c r="AM53" i="30"/>
  <c r="AO53" i="30" s="1"/>
  <c r="AM53" i="29"/>
  <c r="AO53" i="29" s="1"/>
  <c r="AL53" i="28"/>
  <c r="AN53" i="28" s="1"/>
  <c r="N48" i="34"/>
  <c r="AY50" i="31"/>
  <c r="BA50" i="31" s="1"/>
  <c r="AY50" i="30"/>
  <c r="BA50" i="30" s="1"/>
  <c r="AY50" i="29"/>
  <c r="BA50" i="29" s="1"/>
  <c r="AX50" i="28"/>
  <c r="AZ50" i="28" s="1"/>
  <c r="F3" i="34"/>
  <c r="S5" i="31"/>
  <c r="U5" i="31" s="1"/>
  <c r="S5" i="30"/>
  <c r="U5" i="30" s="1"/>
  <c r="S5" i="29"/>
  <c r="U5" i="29" s="1"/>
  <c r="R5" i="28"/>
  <c r="T5" i="28" s="1"/>
  <c r="E34" i="34"/>
  <c r="O36" i="31"/>
  <c r="Q36" i="31" s="1"/>
  <c r="O36" i="30"/>
  <c r="Q36" i="30" s="1"/>
  <c r="O36" i="29"/>
  <c r="Q36" i="29" s="1"/>
  <c r="N36" i="28"/>
  <c r="P36" i="28" s="1"/>
  <c r="N32" i="34"/>
  <c r="AY34" i="31"/>
  <c r="BA34" i="31" s="1"/>
  <c r="AY34" i="30"/>
  <c r="BA34" i="30" s="1"/>
  <c r="AY34" i="29"/>
  <c r="BA34" i="29" s="1"/>
  <c r="AX34" i="28"/>
  <c r="AZ34" i="28" s="1"/>
  <c r="F4" i="34"/>
  <c r="S6" i="31"/>
  <c r="U6" i="31" s="1"/>
  <c r="S6" i="30"/>
  <c r="U6" i="30" s="1"/>
  <c r="S6" i="29"/>
  <c r="U6" i="29" s="1"/>
  <c r="R6" i="28"/>
  <c r="T6" i="28" s="1"/>
  <c r="E31" i="34"/>
  <c r="O33" i="31"/>
  <c r="Q33" i="31" s="1"/>
  <c r="O33" i="30"/>
  <c r="Q33" i="30" s="1"/>
  <c r="O33" i="29"/>
  <c r="Q33" i="29" s="1"/>
  <c r="N33" i="28"/>
  <c r="P33" i="28" s="1"/>
  <c r="E24" i="34"/>
  <c r="O26" i="31"/>
  <c r="Q26" i="31" s="1"/>
  <c r="O26" i="30"/>
  <c r="Q26" i="30" s="1"/>
  <c r="O26" i="29"/>
  <c r="Q26" i="29" s="1"/>
  <c r="N26" i="28"/>
  <c r="P26" i="28" s="1"/>
  <c r="N8" i="34"/>
  <c r="AY10" i="31"/>
  <c r="BA10" i="31" s="1"/>
  <c r="AY10" i="30"/>
  <c r="BA10" i="30" s="1"/>
  <c r="AY10" i="29"/>
  <c r="BA10" i="29" s="1"/>
  <c r="AX10" i="28"/>
  <c r="AZ10" i="28" s="1"/>
  <c r="AE67" i="31"/>
  <c r="AG3" i="31"/>
  <c r="AG67" i="31" s="1"/>
  <c r="N22" i="34"/>
  <c r="AY24" i="31"/>
  <c r="BA24" i="31" s="1"/>
  <c r="AY24" i="30"/>
  <c r="BA24" i="30" s="1"/>
  <c r="AY24" i="29"/>
  <c r="BA24" i="29" s="1"/>
  <c r="AX24" i="28"/>
  <c r="AZ24" i="28" s="1"/>
  <c r="K17" i="1"/>
  <c r="R17" i="1" s="1"/>
  <c r="K7" i="1"/>
  <c r="R7" i="1" s="1"/>
  <c r="K64" i="1"/>
  <c r="R64" i="1" s="1"/>
  <c r="K55" i="1"/>
  <c r="R55" i="1" s="1"/>
  <c r="K19" i="1"/>
  <c r="R19" i="1" s="1"/>
  <c r="K18" i="1"/>
  <c r="R18" i="1" s="1"/>
  <c r="K6" i="1"/>
  <c r="K69" i="1"/>
  <c r="R69" i="1" s="1"/>
  <c r="K66" i="1"/>
  <c r="R66" i="1" s="1"/>
  <c r="K63" i="1"/>
  <c r="R63" i="1" s="1"/>
  <c r="K60" i="1"/>
  <c r="R60" i="1" s="1"/>
  <c r="K57" i="1"/>
  <c r="R57" i="1" s="1"/>
  <c r="K54" i="1"/>
  <c r="R54" i="1" s="1"/>
  <c r="K51" i="1"/>
  <c r="R51" i="1" s="1"/>
  <c r="K48" i="1"/>
  <c r="R48" i="1" s="1"/>
  <c r="K45" i="1"/>
  <c r="R45" i="1" s="1"/>
  <c r="K42" i="1"/>
  <c r="R42" i="1" s="1"/>
  <c r="K39" i="1"/>
  <c r="R39" i="1" s="1"/>
  <c r="K36" i="1"/>
  <c r="R36" i="1" s="1"/>
  <c r="K33" i="1"/>
  <c r="R33" i="1" s="1"/>
  <c r="K30" i="1"/>
  <c r="R30" i="1" s="1"/>
  <c r="K27" i="1"/>
  <c r="R27" i="1" s="1"/>
  <c r="K24" i="1"/>
  <c r="R24" i="1" s="1"/>
  <c r="K21" i="1"/>
  <c r="R21" i="1" s="1"/>
  <c r="K14" i="1"/>
  <c r="R14" i="1" s="1"/>
  <c r="K11" i="1"/>
  <c r="R11" i="1" s="1"/>
  <c r="K46" i="1"/>
  <c r="R46" i="1" s="1"/>
  <c r="K67" i="1"/>
  <c r="R67" i="1" s="1"/>
  <c r="K40" i="1"/>
  <c r="R40" i="1" s="1"/>
  <c r="K31" i="1"/>
  <c r="R31" i="1" s="1"/>
  <c r="K8" i="1"/>
  <c r="R8" i="1" s="1"/>
  <c r="K58" i="1"/>
  <c r="R58" i="1" s="1"/>
  <c r="K43" i="1"/>
  <c r="R43" i="1" s="1"/>
  <c r="K12" i="1"/>
  <c r="R12" i="1" s="1"/>
  <c r="K15" i="1"/>
  <c r="R15" i="1" s="1"/>
  <c r="K61" i="1"/>
  <c r="R61" i="1" s="1"/>
  <c r="K52" i="1"/>
  <c r="R52" i="1" s="1"/>
  <c r="K49" i="1"/>
  <c r="R49" i="1" s="1"/>
  <c r="K34" i="1"/>
  <c r="R34" i="1" s="1"/>
  <c r="K28" i="1"/>
  <c r="R28" i="1" s="1"/>
  <c r="K22" i="1"/>
  <c r="R22" i="1" s="1"/>
  <c r="K9" i="1"/>
  <c r="R9" i="1" s="1"/>
  <c r="K37" i="1"/>
  <c r="R37" i="1" s="1"/>
  <c r="K25" i="1"/>
  <c r="R25" i="1" s="1"/>
  <c r="K44" i="1"/>
  <c r="R44" i="1" s="1"/>
  <c r="K41" i="1"/>
  <c r="R41" i="1" s="1"/>
  <c r="K16" i="1"/>
  <c r="R16" i="1" s="1"/>
  <c r="K13" i="1"/>
  <c r="R13" i="1" s="1"/>
  <c r="K62" i="1"/>
  <c r="R62" i="1" s="1"/>
  <c r="K59" i="1"/>
  <c r="R59" i="1" s="1"/>
  <c r="K26" i="1"/>
  <c r="R26" i="1" s="1"/>
  <c r="K23" i="1"/>
  <c r="R23" i="1" s="1"/>
  <c r="K38" i="1"/>
  <c r="R38" i="1" s="1"/>
  <c r="K10" i="1"/>
  <c r="R10" i="1" s="1"/>
  <c r="K35" i="1"/>
  <c r="R35" i="1" s="1"/>
  <c r="K68" i="1"/>
  <c r="R68" i="1" s="1"/>
  <c r="K32" i="1"/>
  <c r="R32" i="1" s="1"/>
  <c r="K20" i="1"/>
  <c r="R20" i="1" s="1"/>
  <c r="K65" i="1"/>
  <c r="R65" i="1" s="1"/>
  <c r="K29" i="1"/>
  <c r="R29" i="1" s="1"/>
  <c r="K56" i="1"/>
  <c r="R56" i="1" s="1"/>
  <c r="K53" i="1"/>
  <c r="R53" i="1" s="1"/>
  <c r="K50" i="1"/>
  <c r="R50" i="1" s="1"/>
  <c r="K47" i="1"/>
  <c r="R47" i="1" s="1"/>
  <c r="K14" i="34"/>
  <c r="AM16" i="31"/>
  <c r="AO16" i="31" s="1"/>
  <c r="AM16" i="30"/>
  <c r="AO16" i="30" s="1"/>
  <c r="AM16" i="29"/>
  <c r="AO16" i="29" s="1"/>
  <c r="AL16" i="28"/>
  <c r="AN16" i="28" s="1"/>
  <c r="K6" i="34"/>
  <c r="AM8" i="31"/>
  <c r="AO8" i="31" s="1"/>
  <c r="AM8" i="30"/>
  <c r="AO8" i="30" s="1"/>
  <c r="AM8" i="29"/>
  <c r="AO8" i="29" s="1"/>
  <c r="AL8" i="28"/>
  <c r="K24" i="34"/>
  <c r="AM26" i="31"/>
  <c r="AO26" i="31" s="1"/>
  <c r="AM26" i="30"/>
  <c r="AO26" i="30" s="1"/>
  <c r="AM26" i="29"/>
  <c r="AO26" i="29" s="1"/>
  <c r="AL26" i="28"/>
  <c r="K60" i="34"/>
  <c r="AM62" i="31"/>
  <c r="AO62" i="31" s="1"/>
  <c r="AM62" i="30"/>
  <c r="AO62" i="30" s="1"/>
  <c r="AL62" i="28"/>
  <c r="AM62" i="29"/>
  <c r="AO62" i="29" s="1"/>
  <c r="K38" i="34"/>
  <c r="AM40" i="31"/>
  <c r="AO40" i="31" s="1"/>
  <c r="AM40" i="30"/>
  <c r="AO40" i="30" s="1"/>
  <c r="AL40" i="28"/>
  <c r="AM40" i="29"/>
  <c r="AO40" i="29" s="1"/>
  <c r="N41" i="34"/>
  <c r="AY43" i="31"/>
  <c r="BA43" i="31" s="1"/>
  <c r="AY43" i="30"/>
  <c r="BA43" i="30" s="1"/>
  <c r="AY43" i="29"/>
  <c r="BA43" i="29" s="1"/>
  <c r="AX43" i="28"/>
  <c r="AZ43" i="28" s="1"/>
  <c r="N10" i="34"/>
  <c r="AY12" i="31"/>
  <c r="BA12" i="31" s="1"/>
  <c r="AY12" i="30"/>
  <c r="BA12" i="30" s="1"/>
  <c r="AY12" i="29"/>
  <c r="BA12" i="29" s="1"/>
  <c r="AX12" i="28"/>
  <c r="AZ12" i="28" s="1"/>
  <c r="N46" i="34"/>
  <c r="AY48" i="31"/>
  <c r="BA48" i="31" s="1"/>
  <c r="AY48" i="30"/>
  <c r="BA48" i="30" s="1"/>
  <c r="AY48" i="29"/>
  <c r="BA48" i="29" s="1"/>
  <c r="AX48" i="28"/>
  <c r="AZ48" i="28" s="1"/>
  <c r="N21" i="34"/>
  <c r="AY23" i="31"/>
  <c r="BA23" i="31" s="1"/>
  <c r="AY23" i="30"/>
  <c r="BA23" i="30" s="1"/>
  <c r="AY23" i="29"/>
  <c r="BA23" i="29" s="1"/>
  <c r="AX23" i="28"/>
  <c r="AZ23" i="28" s="1"/>
  <c r="N57" i="34"/>
  <c r="AY59" i="31"/>
  <c r="BA59" i="31" s="1"/>
  <c r="AY59" i="30"/>
  <c r="BA59" i="30" s="1"/>
  <c r="AY59" i="29"/>
  <c r="BA59" i="29" s="1"/>
  <c r="AX59" i="28"/>
  <c r="AZ59" i="28" s="1"/>
  <c r="AJ24" i="28"/>
  <c r="F9" i="34"/>
  <c r="S11" i="31"/>
  <c r="U11" i="31" s="1"/>
  <c r="S11" i="30"/>
  <c r="U11" i="30" s="1"/>
  <c r="S11" i="29"/>
  <c r="U11" i="29" s="1"/>
  <c r="R11" i="28"/>
  <c r="T11" i="28" s="1"/>
  <c r="E58" i="34"/>
  <c r="O60" i="30"/>
  <c r="Q60" i="30" s="1"/>
  <c r="O60" i="31"/>
  <c r="Q60" i="31" s="1"/>
  <c r="O60" i="29"/>
  <c r="Q60" i="29" s="1"/>
  <c r="N60" i="28"/>
  <c r="P60" i="28" s="1"/>
  <c r="K42" i="34"/>
  <c r="AM44" i="31"/>
  <c r="AO44" i="31" s="1"/>
  <c r="AM44" i="30"/>
  <c r="AO44" i="30" s="1"/>
  <c r="AM44" i="29"/>
  <c r="AO44" i="29" s="1"/>
  <c r="AL44" i="28"/>
  <c r="N17" i="34"/>
  <c r="AY19" i="31"/>
  <c r="BA19" i="31" s="1"/>
  <c r="AY19" i="30"/>
  <c r="BA19" i="30" s="1"/>
  <c r="AY19" i="29"/>
  <c r="BA19" i="29" s="1"/>
  <c r="AX19" i="28"/>
  <c r="AZ19" i="28" s="1"/>
  <c r="AJ13" i="28"/>
  <c r="F41" i="34"/>
  <c r="S43" i="31"/>
  <c r="U43" i="31" s="1"/>
  <c r="S43" i="30"/>
  <c r="U43" i="30" s="1"/>
  <c r="S43" i="29"/>
  <c r="U43" i="29" s="1"/>
  <c r="R43" i="28"/>
  <c r="T43" i="28" s="1"/>
  <c r="E38" i="34"/>
  <c r="O40" i="31"/>
  <c r="Q40" i="31" s="1"/>
  <c r="O40" i="30"/>
  <c r="Q40" i="30" s="1"/>
  <c r="O40" i="29"/>
  <c r="Q40" i="29" s="1"/>
  <c r="N40" i="28"/>
  <c r="P40" i="28" s="1"/>
  <c r="E15" i="34"/>
  <c r="O17" i="31"/>
  <c r="Q17" i="31" s="1"/>
  <c r="O17" i="30"/>
  <c r="Q17" i="30" s="1"/>
  <c r="O17" i="29"/>
  <c r="Q17" i="29" s="1"/>
  <c r="N17" i="28"/>
  <c r="P17" i="28" s="1"/>
  <c r="N14" i="34"/>
  <c r="AY16" i="31"/>
  <c r="BA16" i="31" s="1"/>
  <c r="AY16" i="30"/>
  <c r="BA16" i="30" s="1"/>
  <c r="AY16" i="29"/>
  <c r="BA16" i="29" s="1"/>
  <c r="AX16" i="28"/>
  <c r="AZ16" i="28" s="1"/>
  <c r="F60" i="34"/>
  <c r="S62" i="31"/>
  <c r="U62" i="31" s="1"/>
  <c r="S62" i="29"/>
  <c r="U62" i="29" s="1"/>
  <c r="S62" i="30"/>
  <c r="U62" i="30" s="1"/>
  <c r="R62" i="28"/>
  <c r="T62" i="28" s="1"/>
  <c r="AJ21" i="28"/>
  <c r="F33" i="34"/>
  <c r="S35" i="31"/>
  <c r="U35" i="31" s="1"/>
  <c r="S35" i="30"/>
  <c r="U35" i="30" s="1"/>
  <c r="S35" i="29"/>
  <c r="U35" i="29" s="1"/>
  <c r="R35" i="28"/>
  <c r="T35" i="28" s="1"/>
  <c r="S49" i="31"/>
  <c r="U49" i="31" s="1"/>
  <c r="F47" i="34"/>
  <c r="S49" i="30"/>
  <c r="U49" i="30" s="1"/>
  <c r="S49" i="29"/>
  <c r="U49" i="29" s="1"/>
  <c r="R49" i="28"/>
  <c r="T49" i="28" s="1"/>
  <c r="K70" i="7"/>
  <c r="F16" i="34"/>
  <c r="S18" i="31"/>
  <c r="U18" i="31" s="1"/>
  <c r="S18" i="30"/>
  <c r="U18" i="30" s="1"/>
  <c r="S18" i="29"/>
  <c r="U18" i="29" s="1"/>
  <c r="R18" i="28"/>
  <c r="T18" i="28" s="1"/>
  <c r="O61" i="31"/>
  <c r="Q61" i="31" s="1"/>
  <c r="E59" i="34"/>
  <c r="O61" i="30"/>
  <c r="Q61" i="30" s="1"/>
  <c r="O61" i="29"/>
  <c r="Q61" i="29" s="1"/>
  <c r="N61" i="28"/>
  <c r="P61" i="28" s="1"/>
  <c r="E17" i="34"/>
  <c r="O19" i="31"/>
  <c r="Q19" i="31" s="1"/>
  <c r="O19" i="30"/>
  <c r="Q19" i="30" s="1"/>
  <c r="O19" i="29"/>
  <c r="Q19" i="29" s="1"/>
  <c r="N19" i="28"/>
  <c r="P19" i="28" s="1"/>
  <c r="E14" i="34"/>
  <c r="O16" i="31"/>
  <c r="Q16" i="31" s="1"/>
  <c r="O16" i="30"/>
  <c r="Q16" i="30" s="1"/>
  <c r="O16" i="29"/>
  <c r="Q16" i="29" s="1"/>
  <c r="N16" i="28"/>
  <c r="P16" i="28" s="1"/>
  <c r="E43" i="34"/>
  <c r="O45" i="31"/>
  <c r="Q45" i="31" s="1"/>
  <c r="O45" i="30"/>
  <c r="Q45" i="30" s="1"/>
  <c r="O45" i="29"/>
  <c r="Q45" i="29" s="1"/>
  <c r="N45" i="28"/>
  <c r="P45" i="28" s="1"/>
  <c r="E27" i="34"/>
  <c r="O29" i="31"/>
  <c r="Q29" i="31" s="1"/>
  <c r="O29" i="30"/>
  <c r="Q29" i="30" s="1"/>
  <c r="O29" i="29"/>
  <c r="Q29" i="29" s="1"/>
  <c r="N29" i="28"/>
  <c r="P29" i="28" s="1"/>
  <c r="E63" i="34"/>
  <c r="O65" i="31"/>
  <c r="Q65" i="31" s="1"/>
  <c r="O65" i="30"/>
  <c r="Q65" i="30" s="1"/>
  <c r="O65" i="29"/>
  <c r="Q65" i="29" s="1"/>
  <c r="N65" i="28"/>
  <c r="P65" i="28" s="1"/>
  <c r="AJ41" i="28"/>
  <c r="K34" i="34"/>
  <c r="AM36" i="31"/>
  <c r="AO36" i="31" s="1"/>
  <c r="AM36" i="30"/>
  <c r="AO36" i="30" s="1"/>
  <c r="AM36" i="29"/>
  <c r="AO36" i="29" s="1"/>
  <c r="AL36" i="28"/>
  <c r="AN36" i="28" s="1"/>
  <c r="K2" i="34"/>
  <c r="AM4" i="31"/>
  <c r="AO4" i="31" s="1"/>
  <c r="AM4" i="30"/>
  <c r="AO4" i="30" s="1"/>
  <c r="AM4" i="29"/>
  <c r="AO4" i="29" s="1"/>
  <c r="AL4" i="28"/>
  <c r="K27" i="34"/>
  <c r="AM29" i="31"/>
  <c r="AO29" i="31" s="1"/>
  <c r="AM29" i="30"/>
  <c r="AO29" i="30" s="1"/>
  <c r="AM29" i="29"/>
  <c r="AO29" i="29" s="1"/>
  <c r="AL29" i="28"/>
  <c r="K63" i="34"/>
  <c r="AM65" i="31"/>
  <c r="AO65" i="31" s="1"/>
  <c r="AM65" i="30"/>
  <c r="AO65" i="30" s="1"/>
  <c r="AM65" i="29"/>
  <c r="AO65" i="29" s="1"/>
  <c r="AL65" i="28"/>
  <c r="K41" i="34"/>
  <c r="AM43" i="31"/>
  <c r="AO43" i="31" s="1"/>
  <c r="AM43" i="30"/>
  <c r="AO43" i="30" s="1"/>
  <c r="AM43" i="29"/>
  <c r="AO43" i="29" s="1"/>
  <c r="AL43" i="28"/>
  <c r="AN43" i="28" s="1"/>
  <c r="N20" i="34"/>
  <c r="AY22" i="31"/>
  <c r="BA22" i="31" s="1"/>
  <c r="AY22" i="30"/>
  <c r="BA22" i="30" s="1"/>
  <c r="AY22" i="29"/>
  <c r="BA22" i="29" s="1"/>
  <c r="AX22" i="28"/>
  <c r="AZ22" i="28" s="1"/>
  <c r="N59" i="34"/>
  <c r="AY61" i="31"/>
  <c r="BA61" i="31" s="1"/>
  <c r="AY61" i="30"/>
  <c r="BA61" i="30" s="1"/>
  <c r="AY61" i="29"/>
  <c r="BA61" i="29" s="1"/>
  <c r="AX61" i="28"/>
  <c r="AZ61" i="28" s="1"/>
  <c r="N13" i="34"/>
  <c r="AY15" i="31"/>
  <c r="BA15" i="31" s="1"/>
  <c r="AY15" i="30"/>
  <c r="BA15" i="30" s="1"/>
  <c r="AY15" i="29"/>
  <c r="BA15" i="29" s="1"/>
  <c r="AX15" i="28"/>
  <c r="AZ15" i="28" s="1"/>
  <c r="AY51" i="31"/>
  <c r="BA51" i="31" s="1"/>
  <c r="N49" i="34"/>
  <c r="AY51" i="30"/>
  <c r="BA51" i="30" s="1"/>
  <c r="AY51" i="29"/>
  <c r="BA51" i="29" s="1"/>
  <c r="AX51" i="28"/>
  <c r="AZ51" i="28" s="1"/>
  <c r="N24" i="34"/>
  <c r="AY26" i="31"/>
  <c r="BA26" i="31" s="1"/>
  <c r="AY26" i="30"/>
  <c r="BA26" i="30" s="1"/>
  <c r="AY26" i="29"/>
  <c r="BA26" i="29" s="1"/>
  <c r="AX26" i="28"/>
  <c r="AZ26" i="28" s="1"/>
  <c r="N60" i="34"/>
  <c r="AY62" i="31"/>
  <c r="BA62" i="31" s="1"/>
  <c r="AY62" i="30"/>
  <c r="BA62" i="30" s="1"/>
  <c r="AY62" i="29"/>
  <c r="BA62" i="29" s="1"/>
  <c r="AX62" i="28"/>
  <c r="AZ62" i="28" s="1"/>
  <c r="R6" i="5"/>
  <c r="E42" i="34"/>
  <c r="O44" i="31"/>
  <c r="Q44" i="31" s="1"/>
  <c r="O44" i="30"/>
  <c r="Q44" i="30" s="1"/>
  <c r="O44" i="29"/>
  <c r="Q44" i="29" s="1"/>
  <c r="N44" i="28"/>
  <c r="P44" i="28" s="1"/>
  <c r="K46" i="34"/>
  <c r="AM48" i="31"/>
  <c r="AO48" i="31" s="1"/>
  <c r="AM48" i="30"/>
  <c r="AO48" i="30" s="1"/>
  <c r="AL48" i="28"/>
  <c r="AN48" i="28" s="1"/>
  <c r="AM48" i="29"/>
  <c r="AO48" i="29" s="1"/>
  <c r="K70" i="25"/>
  <c r="F15" i="34"/>
  <c r="S17" i="31"/>
  <c r="U17" i="31" s="1"/>
  <c r="S17" i="30"/>
  <c r="U17" i="30" s="1"/>
  <c r="R17" i="28"/>
  <c r="T17" i="28" s="1"/>
  <c r="S17" i="29"/>
  <c r="U17" i="29" s="1"/>
  <c r="N7" i="34"/>
  <c r="AY9" i="31"/>
  <c r="BA9" i="31" s="1"/>
  <c r="AY9" i="30"/>
  <c r="BA9" i="30" s="1"/>
  <c r="AY9" i="29"/>
  <c r="BA9" i="29" s="1"/>
  <c r="AX9" i="28"/>
  <c r="AZ9" i="28" s="1"/>
  <c r="F7" i="34"/>
  <c r="S9" i="31"/>
  <c r="U9" i="31" s="1"/>
  <c r="S9" i="30"/>
  <c r="U9" i="30" s="1"/>
  <c r="S9" i="29"/>
  <c r="U9" i="29" s="1"/>
  <c r="R9" i="28"/>
  <c r="T9" i="28" s="1"/>
  <c r="E51" i="34"/>
  <c r="O53" i="31"/>
  <c r="Q53" i="31" s="1"/>
  <c r="O53" i="30"/>
  <c r="Q53" i="30" s="1"/>
  <c r="O53" i="29"/>
  <c r="Q53" i="29" s="1"/>
  <c r="N53" i="28"/>
  <c r="P53" i="28" s="1"/>
  <c r="N47" i="34"/>
  <c r="AY49" i="31"/>
  <c r="BA49" i="31" s="1"/>
  <c r="AY49" i="30"/>
  <c r="BA49" i="30" s="1"/>
  <c r="AY49" i="29"/>
  <c r="BA49" i="29" s="1"/>
  <c r="AX49" i="28"/>
  <c r="AZ49" i="28" s="1"/>
  <c r="AE67" i="29"/>
  <c r="AG3" i="29"/>
  <c r="AG67" i="29" s="1"/>
  <c r="R6" i="3"/>
  <c r="J70" i="3"/>
  <c r="K35" i="34"/>
  <c r="AM37" i="31"/>
  <c r="AO37" i="31" s="1"/>
  <c r="AM37" i="30"/>
  <c r="AO37" i="30" s="1"/>
  <c r="AM37" i="29"/>
  <c r="AO37" i="29" s="1"/>
  <c r="AL37" i="28"/>
  <c r="AN37" i="28" s="1"/>
  <c r="N18" i="34"/>
  <c r="AY20" i="31"/>
  <c r="BA20" i="31" s="1"/>
  <c r="AY20" i="30"/>
  <c r="BA20" i="30" s="1"/>
  <c r="AY20" i="29"/>
  <c r="BA20" i="29" s="1"/>
  <c r="AX20" i="28"/>
  <c r="AZ20" i="28" s="1"/>
  <c r="F49" i="34"/>
  <c r="S51" i="31"/>
  <c r="U51" i="31" s="1"/>
  <c r="S51" i="30"/>
  <c r="U51" i="30" s="1"/>
  <c r="S51" i="29"/>
  <c r="U51" i="29" s="1"/>
  <c r="R51" i="28"/>
  <c r="T51" i="28" s="1"/>
  <c r="E41" i="34"/>
  <c r="O43" i="30"/>
  <c r="Q43" i="30" s="1"/>
  <c r="O43" i="31"/>
  <c r="Q43" i="31" s="1"/>
  <c r="O43" i="29"/>
  <c r="Q43" i="29" s="1"/>
  <c r="N43" i="28"/>
  <c r="P43" i="28" s="1"/>
  <c r="F48" i="34"/>
  <c r="S50" i="31"/>
  <c r="U50" i="31" s="1"/>
  <c r="S50" i="30"/>
  <c r="U50" i="30" s="1"/>
  <c r="S50" i="29"/>
  <c r="U50" i="29" s="1"/>
  <c r="R50" i="28"/>
  <c r="T50" i="28" s="1"/>
  <c r="S54" i="31"/>
  <c r="U54" i="31" s="1"/>
  <c r="F52" i="34"/>
  <c r="S54" i="30"/>
  <c r="U54" i="30" s="1"/>
  <c r="S54" i="29"/>
  <c r="U54" i="29" s="1"/>
  <c r="R54" i="28"/>
  <c r="T54" i="28" s="1"/>
  <c r="F42" i="34"/>
  <c r="S44" i="31"/>
  <c r="U44" i="31" s="1"/>
  <c r="S44" i="30"/>
  <c r="U44" i="30" s="1"/>
  <c r="S44" i="29"/>
  <c r="U44" i="29" s="1"/>
  <c r="R44" i="28"/>
  <c r="T44" i="28" s="1"/>
  <c r="F57" i="34"/>
  <c r="S59" i="31"/>
  <c r="U59" i="31" s="1"/>
  <c r="S59" i="30"/>
  <c r="U59" i="30" s="1"/>
  <c r="S59" i="29"/>
  <c r="U59" i="29" s="1"/>
  <c r="R59" i="28"/>
  <c r="T59" i="28" s="1"/>
  <c r="F18" i="34"/>
  <c r="S20" i="31"/>
  <c r="U20" i="31" s="1"/>
  <c r="S20" i="30"/>
  <c r="U20" i="30" s="1"/>
  <c r="S20" i="29"/>
  <c r="U20" i="29" s="1"/>
  <c r="R20" i="28"/>
  <c r="T20" i="28" s="1"/>
  <c r="F19" i="34"/>
  <c r="S21" i="31"/>
  <c r="U21" i="31" s="1"/>
  <c r="S21" i="30"/>
  <c r="U21" i="30" s="1"/>
  <c r="S21" i="29"/>
  <c r="U21" i="29" s="1"/>
  <c r="R21" i="28"/>
  <c r="T21" i="28" s="1"/>
  <c r="F55" i="34"/>
  <c r="S57" i="31"/>
  <c r="U57" i="31" s="1"/>
  <c r="S57" i="30"/>
  <c r="U57" i="30" s="1"/>
  <c r="S57" i="29"/>
  <c r="U57" i="29" s="1"/>
  <c r="R57" i="28"/>
  <c r="T57" i="28" s="1"/>
  <c r="AJ61" i="28"/>
  <c r="E53" i="34"/>
  <c r="O55" i="31"/>
  <c r="Q55" i="31" s="1"/>
  <c r="O55" i="30"/>
  <c r="Q55" i="30" s="1"/>
  <c r="O55" i="29"/>
  <c r="Q55" i="29" s="1"/>
  <c r="N55" i="28"/>
  <c r="P55" i="28" s="1"/>
  <c r="O37" i="31"/>
  <c r="Q37" i="31" s="1"/>
  <c r="E35" i="34"/>
  <c r="O37" i="30"/>
  <c r="Q37" i="30" s="1"/>
  <c r="N37" i="28"/>
  <c r="P37" i="28" s="1"/>
  <c r="O37" i="29"/>
  <c r="Q37" i="29" s="1"/>
  <c r="E19" i="34"/>
  <c r="O21" i="31"/>
  <c r="Q21" i="31" s="1"/>
  <c r="O21" i="30"/>
  <c r="Q21" i="30" s="1"/>
  <c r="O21" i="29"/>
  <c r="Q21" i="29" s="1"/>
  <c r="N21" i="28"/>
  <c r="P21" i="28" s="1"/>
  <c r="E46" i="34"/>
  <c r="O48" i="31"/>
  <c r="Q48" i="31" s="1"/>
  <c r="O48" i="30"/>
  <c r="Q48" i="30" s="1"/>
  <c r="O48" i="29"/>
  <c r="Q48" i="29" s="1"/>
  <c r="N48" i="28"/>
  <c r="P48" i="28" s="1"/>
  <c r="E30" i="34"/>
  <c r="O32" i="31"/>
  <c r="Q32" i="31" s="1"/>
  <c r="O32" i="30"/>
  <c r="Q32" i="30" s="1"/>
  <c r="O32" i="29"/>
  <c r="Q32" i="29" s="1"/>
  <c r="N32" i="28"/>
  <c r="P32" i="28" s="1"/>
  <c r="AJ31" i="28"/>
  <c r="AJ66" i="28"/>
  <c r="N4" i="34"/>
  <c r="AY6" i="31"/>
  <c r="BA6" i="31" s="1"/>
  <c r="AY6" i="30"/>
  <c r="BA6" i="30" s="1"/>
  <c r="AY6" i="29"/>
  <c r="BA6" i="29" s="1"/>
  <c r="AX6" i="28"/>
  <c r="AZ6" i="28" s="1"/>
  <c r="AJ60" i="28"/>
  <c r="K37" i="34"/>
  <c r="AM39" i="31"/>
  <c r="AO39" i="31" s="1"/>
  <c r="AM39" i="30"/>
  <c r="AO39" i="30" s="1"/>
  <c r="AM39" i="29"/>
  <c r="AO39" i="29" s="1"/>
  <c r="AL39" i="28"/>
  <c r="AN39" i="28" s="1"/>
  <c r="K22" i="34"/>
  <c r="AM24" i="31"/>
  <c r="AO24" i="31" s="1"/>
  <c r="AM24" i="30"/>
  <c r="AO24" i="30" s="1"/>
  <c r="AM24" i="29"/>
  <c r="AO24" i="29" s="1"/>
  <c r="AL24" i="28"/>
  <c r="AN24" i="28" s="1"/>
  <c r="K30" i="34"/>
  <c r="AM32" i="31"/>
  <c r="AO32" i="31" s="1"/>
  <c r="AM32" i="30"/>
  <c r="AO32" i="30" s="1"/>
  <c r="AM32" i="29"/>
  <c r="AO32" i="29" s="1"/>
  <c r="AL32" i="28"/>
  <c r="K70" i="19"/>
  <c r="K44" i="34"/>
  <c r="AM46" i="31"/>
  <c r="AO46" i="31" s="1"/>
  <c r="AM46" i="30"/>
  <c r="AO46" i="30" s="1"/>
  <c r="AM46" i="29"/>
  <c r="AO46" i="29" s="1"/>
  <c r="AL46" i="28"/>
  <c r="H2" i="34"/>
  <c r="AA4" i="31"/>
  <c r="AC4" i="31" s="1"/>
  <c r="AA4" i="30"/>
  <c r="AC4" i="30" s="1"/>
  <c r="AA4" i="29"/>
  <c r="AC4" i="29" s="1"/>
  <c r="Z4" i="28"/>
  <c r="AB4" i="28" s="1"/>
  <c r="AJ22" i="28"/>
  <c r="R6" i="19"/>
  <c r="N53" i="34"/>
  <c r="AY55" i="31"/>
  <c r="BA55" i="31" s="1"/>
  <c r="AY55" i="30"/>
  <c r="BA55" i="30" s="1"/>
  <c r="AX55" i="28"/>
  <c r="AZ55" i="28" s="1"/>
  <c r="AY55" i="29"/>
  <c r="BA55" i="29" s="1"/>
  <c r="N62" i="34"/>
  <c r="AY64" i="31"/>
  <c r="BA64" i="31" s="1"/>
  <c r="AY64" i="30"/>
  <c r="BA64" i="30" s="1"/>
  <c r="AY64" i="29"/>
  <c r="BA64" i="29" s="1"/>
  <c r="AX64" i="28"/>
  <c r="AZ64" i="28" s="1"/>
  <c r="N52" i="34"/>
  <c r="AY54" i="31"/>
  <c r="BA54" i="31" s="1"/>
  <c r="AY54" i="30"/>
  <c r="BA54" i="30" s="1"/>
  <c r="AY54" i="29"/>
  <c r="BA54" i="29" s="1"/>
  <c r="AX54" i="28"/>
  <c r="AZ54" i="28" s="1"/>
  <c r="N27" i="34"/>
  <c r="AY29" i="31"/>
  <c r="BA29" i="31" s="1"/>
  <c r="AY29" i="30"/>
  <c r="BA29" i="30" s="1"/>
  <c r="AY29" i="29"/>
  <c r="BA29" i="29" s="1"/>
  <c r="AX29" i="28"/>
  <c r="AZ29" i="28" s="1"/>
  <c r="N63" i="34"/>
  <c r="AY65" i="31"/>
  <c r="BA65" i="31" s="1"/>
  <c r="AY65" i="30"/>
  <c r="BA65" i="30" s="1"/>
  <c r="AY65" i="29"/>
  <c r="BA65" i="29" s="1"/>
  <c r="AX65" i="28"/>
  <c r="AZ65" i="28" s="1"/>
  <c r="AJ27" i="28"/>
  <c r="AJ43" i="28"/>
  <c r="F35" i="34"/>
  <c r="S37" i="31"/>
  <c r="U37" i="31" s="1"/>
  <c r="S37" i="30"/>
  <c r="U37" i="30" s="1"/>
  <c r="S37" i="29"/>
  <c r="U37" i="29" s="1"/>
  <c r="R37" i="28"/>
  <c r="T37" i="28" s="1"/>
  <c r="F31" i="34"/>
  <c r="S33" i="31"/>
  <c r="U33" i="31" s="1"/>
  <c r="S33" i="30"/>
  <c r="U33" i="30" s="1"/>
  <c r="S33" i="29"/>
  <c r="U33" i="29" s="1"/>
  <c r="R33" i="28"/>
  <c r="T33" i="28" s="1"/>
  <c r="E62" i="34"/>
  <c r="O64" i="31"/>
  <c r="Q64" i="31" s="1"/>
  <c r="O64" i="30"/>
  <c r="Q64" i="30" s="1"/>
  <c r="O64" i="29"/>
  <c r="Q64" i="29" s="1"/>
  <c r="N64" i="28"/>
  <c r="P64" i="28" s="1"/>
  <c r="K20" i="34"/>
  <c r="AM22" i="31"/>
  <c r="AO22" i="31" s="1"/>
  <c r="AM22" i="30"/>
  <c r="AO22" i="30" s="1"/>
  <c r="AL22" i="28"/>
  <c r="AN22" i="28" s="1"/>
  <c r="AM22" i="29"/>
  <c r="AO22" i="29" s="1"/>
  <c r="AJ47" i="28"/>
  <c r="F12" i="34"/>
  <c r="S14" i="31"/>
  <c r="U14" i="31" s="1"/>
  <c r="S14" i="30"/>
  <c r="U14" i="30" s="1"/>
  <c r="S14" i="29"/>
  <c r="U14" i="29" s="1"/>
  <c r="R14" i="28"/>
  <c r="T14" i="28" s="1"/>
  <c r="F40" i="34"/>
  <c r="S42" i="31"/>
  <c r="U42" i="31" s="1"/>
  <c r="S42" i="30"/>
  <c r="U42" i="30" s="1"/>
  <c r="S42" i="29"/>
  <c r="U42" i="29" s="1"/>
  <c r="R42" i="28"/>
  <c r="T42" i="28" s="1"/>
  <c r="E10" i="34"/>
  <c r="O12" i="31"/>
  <c r="Q12" i="31" s="1"/>
  <c r="O12" i="30"/>
  <c r="Q12" i="30" s="1"/>
  <c r="O12" i="29"/>
  <c r="Q12" i="29" s="1"/>
  <c r="N12" i="28"/>
  <c r="P12" i="28" s="1"/>
  <c r="K29" i="34"/>
  <c r="AM31" i="31"/>
  <c r="AO31" i="31" s="1"/>
  <c r="AM31" i="30"/>
  <c r="AO31" i="30" s="1"/>
  <c r="AM31" i="29"/>
  <c r="AO31" i="29" s="1"/>
  <c r="AL31" i="28"/>
  <c r="AN31" i="28" s="1"/>
  <c r="N12" i="34"/>
  <c r="AY14" i="31"/>
  <c r="BA14" i="31" s="1"/>
  <c r="AY14" i="30"/>
  <c r="BA14" i="30" s="1"/>
  <c r="AY14" i="29"/>
  <c r="BA14" i="29" s="1"/>
  <c r="AX14" i="28"/>
  <c r="AZ14" i="28" s="1"/>
  <c r="J1" i="34"/>
  <c r="AI3" i="31"/>
  <c r="AI3" i="30"/>
  <c r="AI3" i="29"/>
  <c r="AH3" i="28"/>
  <c r="R70" i="17"/>
  <c r="S55" i="31"/>
  <c r="U55" i="31" s="1"/>
  <c r="F53" i="34"/>
  <c r="S55" i="30"/>
  <c r="U55" i="30" s="1"/>
  <c r="S55" i="29"/>
  <c r="U55" i="29" s="1"/>
  <c r="R55" i="28"/>
  <c r="T55" i="28" s="1"/>
  <c r="E21" i="34"/>
  <c r="O23" i="31"/>
  <c r="Q23" i="31" s="1"/>
  <c r="O23" i="30"/>
  <c r="Q23" i="30" s="1"/>
  <c r="O23" i="29"/>
  <c r="Q23" i="29" s="1"/>
  <c r="N23" i="28"/>
  <c r="P23" i="28" s="1"/>
  <c r="N54" i="34"/>
  <c r="AY56" i="31"/>
  <c r="BA56" i="31" s="1"/>
  <c r="AY56" i="30"/>
  <c r="BA56" i="30" s="1"/>
  <c r="AY56" i="29"/>
  <c r="BA56" i="29" s="1"/>
  <c r="AX56" i="28"/>
  <c r="AZ56" i="28" s="1"/>
  <c r="F13" i="34"/>
  <c r="S15" i="31"/>
  <c r="U15" i="31" s="1"/>
  <c r="S15" i="30"/>
  <c r="U15" i="30" s="1"/>
  <c r="S15" i="29"/>
  <c r="U15" i="29" s="1"/>
  <c r="R15" i="28"/>
  <c r="T15" i="28" s="1"/>
  <c r="E5" i="34"/>
  <c r="O7" i="31"/>
  <c r="Q7" i="31" s="1"/>
  <c r="O7" i="30"/>
  <c r="Q7" i="30" s="1"/>
  <c r="O7" i="29"/>
  <c r="Q7" i="29" s="1"/>
  <c r="N7" i="28"/>
  <c r="P7" i="28" s="1"/>
  <c r="E60" i="34"/>
  <c r="O62" i="31"/>
  <c r="Q62" i="31" s="1"/>
  <c r="O62" i="30"/>
  <c r="Q62" i="30" s="1"/>
  <c r="O62" i="29"/>
  <c r="Q62" i="29" s="1"/>
  <c r="N62" i="28"/>
  <c r="P62" i="28" s="1"/>
  <c r="F11" i="34"/>
  <c r="S13" i="31"/>
  <c r="U13" i="31" s="1"/>
  <c r="S13" i="30"/>
  <c r="U13" i="30" s="1"/>
  <c r="S13" i="29"/>
  <c r="U13" i="29" s="1"/>
  <c r="R13" i="28"/>
  <c r="T13" i="28" s="1"/>
  <c r="F26" i="34"/>
  <c r="S28" i="31"/>
  <c r="U28" i="31" s="1"/>
  <c r="S28" i="30"/>
  <c r="U28" i="30" s="1"/>
  <c r="S28" i="29"/>
  <c r="U28" i="29" s="1"/>
  <c r="R28" i="28"/>
  <c r="T28" i="28" s="1"/>
  <c r="F27" i="34"/>
  <c r="S29" i="31"/>
  <c r="U29" i="31" s="1"/>
  <c r="S29" i="30"/>
  <c r="U29" i="30" s="1"/>
  <c r="S29" i="29"/>
  <c r="U29" i="29" s="1"/>
  <c r="R29" i="28"/>
  <c r="T29" i="28" s="1"/>
  <c r="F22" i="34"/>
  <c r="S24" i="31"/>
  <c r="U24" i="31" s="1"/>
  <c r="S24" i="30"/>
  <c r="U24" i="30" s="1"/>
  <c r="S24" i="29"/>
  <c r="U24" i="29" s="1"/>
  <c r="R24" i="28"/>
  <c r="T24" i="28" s="1"/>
  <c r="F58" i="34"/>
  <c r="S60" i="31"/>
  <c r="U60" i="31" s="1"/>
  <c r="S60" i="30"/>
  <c r="U60" i="30" s="1"/>
  <c r="S60" i="29"/>
  <c r="U60" i="29" s="1"/>
  <c r="R60" i="28"/>
  <c r="T60" i="28" s="1"/>
  <c r="E6" i="34"/>
  <c r="O8" i="31"/>
  <c r="Q8" i="31" s="1"/>
  <c r="O8" i="30"/>
  <c r="Q8" i="30" s="1"/>
  <c r="O8" i="29"/>
  <c r="Q8" i="29" s="1"/>
  <c r="N8" i="28"/>
  <c r="P8" i="28" s="1"/>
  <c r="E44" i="34"/>
  <c r="O46" i="31"/>
  <c r="Q46" i="31" s="1"/>
  <c r="O46" i="30"/>
  <c r="Q46" i="30" s="1"/>
  <c r="N46" i="28"/>
  <c r="P46" i="28" s="1"/>
  <c r="O46" i="29"/>
  <c r="Q46" i="29" s="1"/>
  <c r="E37" i="34"/>
  <c r="O39" i="31"/>
  <c r="Q39" i="31" s="1"/>
  <c r="O39" i="30"/>
  <c r="Q39" i="30" s="1"/>
  <c r="O39" i="29"/>
  <c r="Q39" i="29" s="1"/>
  <c r="N39" i="28"/>
  <c r="P39" i="28" s="1"/>
  <c r="E49" i="34"/>
  <c r="O51" i="31"/>
  <c r="Q51" i="31" s="1"/>
  <c r="O51" i="30"/>
  <c r="Q51" i="30" s="1"/>
  <c r="O51" i="29"/>
  <c r="Q51" i="29" s="1"/>
  <c r="N51" i="28"/>
  <c r="P51" i="28" s="1"/>
  <c r="E33" i="34"/>
  <c r="O35" i="31"/>
  <c r="Q35" i="31" s="1"/>
  <c r="O35" i="30"/>
  <c r="Q35" i="30" s="1"/>
  <c r="O35" i="29"/>
  <c r="Q35" i="29" s="1"/>
  <c r="N35" i="28"/>
  <c r="P35" i="28" s="1"/>
  <c r="AJ36" i="28"/>
  <c r="C49" i="39"/>
  <c r="F49" i="39" s="1"/>
  <c r="AJ48" i="28"/>
  <c r="AJ51" i="28"/>
  <c r="AJ12" i="28"/>
  <c r="K9" i="34"/>
  <c r="AM11" i="31"/>
  <c r="AO11" i="31" s="1"/>
  <c r="AM11" i="30"/>
  <c r="AO11" i="30" s="1"/>
  <c r="AM11" i="29"/>
  <c r="AO11" i="29" s="1"/>
  <c r="AL11" i="28"/>
  <c r="K31" i="34"/>
  <c r="AM33" i="31"/>
  <c r="AO33" i="31" s="1"/>
  <c r="AM33" i="30"/>
  <c r="AO33" i="30" s="1"/>
  <c r="AM33" i="29"/>
  <c r="AO33" i="29" s="1"/>
  <c r="AL33" i="28"/>
  <c r="K33" i="34"/>
  <c r="AM35" i="31"/>
  <c r="AO35" i="31" s="1"/>
  <c r="AM35" i="30"/>
  <c r="AO35" i="30" s="1"/>
  <c r="AM35" i="29"/>
  <c r="AO35" i="29" s="1"/>
  <c r="AL35" i="28"/>
  <c r="AN35" i="28" s="1"/>
  <c r="K11" i="34"/>
  <c r="AM13" i="31"/>
  <c r="AO13" i="31" s="1"/>
  <c r="AM13" i="29"/>
  <c r="AO13" i="29" s="1"/>
  <c r="AM13" i="30"/>
  <c r="AO13" i="30" s="1"/>
  <c r="AL13" i="28"/>
  <c r="AN13" i="28" s="1"/>
  <c r="K47" i="34"/>
  <c r="AM49" i="31"/>
  <c r="AO49" i="31" s="1"/>
  <c r="AM49" i="30"/>
  <c r="AO49" i="30" s="1"/>
  <c r="AM49" i="29"/>
  <c r="AO49" i="29" s="1"/>
  <c r="AL49" i="28"/>
  <c r="AN49" i="28" s="1"/>
  <c r="N50" i="34"/>
  <c r="AY52" i="31"/>
  <c r="BA52" i="31" s="1"/>
  <c r="AY52" i="30"/>
  <c r="BA52" i="30" s="1"/>
  <c r="AY52" i="29"/>
  <c r="BA52" i="29" s="1"/>
  <c r="AX52" i="28"/>
  <c r="AZ52" i="28" s="1"/>
  <c r="N6" i="34"/>
  <c r="AY8" i="30"/>
  <c r="BA8" i="30" s="1"/>
  <c r="AY8" i="31"/>
  <c r="BA8" i="31" s="1"/>
  <c r="AY8" i="29"/>
  <c r="BA8" i="29" s="1"/>
  <c r="AX8" i="28"/>
  <c r="AZ8" i="28" s="1"/>
  <c r="N19" i="34"/>
  <c r="AY21" i="31"/>
  <c r="BA21" i="31" s="1"/>
  <c r="AY21" i="30"/>
  <c r="BA21" i="30" s="1"/>
  <c r="AY21" i="29"/>
  <c r="BA21" i="29" s="1"/>
  <c r="AX21" i="28"/>
  <c r="AZ21" i="28" s="1"/>
  <c r="N55" i="34"/>
  <c r="AY57" i="31"/>
  <c r="BA57" i="31" s="1"/>
  <c r="AY57" i="30"/>
  <c r="BA57" i="30" s="1"/>
  <c r="AY57" i="29"/>
  <c r="BA57" i="29" s="1"/>
  <c r="AX57" i="28"/>
  <c r="AZ57" i="28" s="1"/>
  <c r="N30" i="34"/>
  <c r="AY32" i="31"/>
  <c r="BA32" i="31" s="1"/>
  <c r="AY32" i="30"/>
  <c r="BA32" i="30" s="1"/>
  <c r="AX32" i="28"/>
  <c r="AZ32" i="28" s="1"/>
  <c r="AY32" i="29"/>
  <c r="BA32" i="29" s="1"/>
  <c r="C17" i="39"/>
  <c r="F17" i="39" s="1"/>
  <c r="AJ16" i="28"/>
  <c r="J70" i="25"/>
  <c r="R6" i="25"/>
  <c r="L1" i="34"/>
  <c r="AQ3" i="31"/>
  <c r="AQ3" i="30"/>
  <c r="AQ3" i="29"/>
  <c r="AP3" i="28"/>
  <c r="R70" i="21"/>
  <c r="K56" i="34"/>
  <c r="AM58" i="31"/>
  <c r="AO58" i="31" s="1"/>
  <c r="AM58" i="30"/>
  <c r="AO58" i="30" s="1"/>
  <c r="AM58" i="29"/>
  <c r="AO58" i="29" s="1"/>
  <c r="AL58" i="28"/>
  <c r="AN58" i="28" s="1"/>
  <c r="N39" i="34"/>
  <c r="AY41" i="31"/>
  <c r="BA41" i="31" s="1"/>
  <c r="AY41" i="30"/>
  <c r="BA41" i="30" s="1"/>
  <c r="AY41" i="29"/>
  <c r="BA41" i="29" s="1"/>
  <c r="AX41" i="28"/>
  <c r="AZ41" i="28" s="1"/>
  <c r="F44" i="34"/>
  <c r="S46" i="31"/>
  <c r="U46" i="31" s="1"/>
  <c r="S46" i="30"/>
  <c r="U46" i="30" s="1"/>
  <c r="S46" i="29"/>
  <c r="U46" i="29" s="1"/>
  <c r="R46" i="28"/>
  <c r="T46" i="28" s="1"/>
  <c r="C31" i="39"/>
  <c r="F31" i="39" s="1"/>
  <c r="AJ30" i="28"/>
  <c r="F2" i="34"/>
  <c r="S4" i="31"/>
  <c r="U4" i="31" s="1"/>
  <c r="S4" i="30"/>
  <c r="U4" i="30" s="1"/>
  <c r="S4" i="29"/>
  <c r="U4" i="29" s="1"/>
  <c r="R4" i="28"/>
  <c r="T4" i="28" s="1"/>
  <c r="AM66" i="31"/>
  <c r="AO66" i="31" s="1"/>
  <c r="K64" i="34"/>
  <c r="AM66" i="30"/>
  <c r="AO66" i="30" s="1"/>
  <c r="AM66" i="29"/>
  <c r="AO66" i="29" s="1"/>
  <c r="AL66" i="28"/>
  <c r="AN66" i="28" s="1"/>
  <c r="F46" i="34"/>
  <c r="S48" i="31"/>
  <c r="U48" i="31" s="1"/>
  <c r="S48" i="30"/>
  <c r="U48" i="30" s="1"/>
  <c r="S48" i="29"/>
  <c r="U48" i="29" s="1"/>
  <c r="R48" i="28"/>
  <c r="T48" i="28" s="1"/>
  <c r="E28" i="34"/>
  <c r="O30" i="31"/>
  <c r="Q30" i="31" s="1"/>
  <c r="O30" i="30"/>
  <c r="Q30" i="30" s="1"/>
  <c r="O30" i="29"/>
  <c r="Q30" i="29" s="1"/>
  <c r="N30" i="28"/>
  <c r="P30" i="28" s="1"/>
  <c r="K25" i="34"/>
  <c r="AM27" i="31"/>
  <c r="AO27" i="31" s="1"/>
  <c r="AM27" i="30"/>
  <c r="AO27" i="30" s="1"/>
  <c r="AM27" i="29"/>
  <c r="AO27" i="29" s="1"/>
  <c r="AL27" i="28"/>
  <c r="AN27" i="28" s="1"/>
  <c r="K57" i="34"/>
  <c r="AM59" i="31"/>
  <c r="AO59" i="31" s="1"/>
  <c r="AM59" i="30"/>
  <c r="AO59" i="30" s="1"/>
  <c r="AM59" i="29"/>
  <c r="AO59" i="29" s="1"/>
  <c r="AL59" i="28"/>
  <c r="F39" i="34"/>
  <c r="S41" i="31"/>
  <c r="U41" i="31" s="1"/>
  <c r="S41" i="30"/>
  <c r="U41" i="30" s="1"/>
  <c r="S41" i="29"/>
  <c r="U41" i="29" s="1"/>
  <c r="R41" i="28"/>
  <c r="T41" i="28" s="1"/>
  <c r="F36" i="34"/>
  <c r="S38" i="31"/>
  <c r="U38" i="31" s="1"/>
  <c r="S38" i="30"/>
  <c r="U38" i="30" s="1"/>
  <c r="S38" i="29"/>
  <c r="U38" i="29" s="1"/>
  <c r="R38" i="28"/>
  <c r="T38" i="28" s="1"/>
  <c r="E3" i="34"/>
  <c r="O5" i="31"/>
  <c r="Q5" i="31" s="1"/>
  <c r="O5" i="30"/>
  <c r="Q5" i="30" s="1"/>
  <c r="O5" i="29"/>
  <c r="Q5" i="29" s="1"/>
  <c r="N5" i="28"/>
  <c r="P5" i="28" s="1"/>
  <c r="E50" i="34"/>
  <c r="O52" i="31"/>
  <c r="Q52" i="31" s="1"/>
  <c r="O52" i="30"/>
  <c r="Q52" i="30" s="1"/>
  <c r="O52" i="29"/>
  <c r="Q52" i="29" s="1"/>
  <c r="N52" i="28"/>
  <c r="P52" i="28" s="1"/>
  <c r="E4" i="34"/>
  <c r="O6" i="31"/>
  <c r="Q6" i="31" s="1"/>
  <c r="O6" i="30"/>
  <c r="Q6" i="30" s="1"/>
  <c r="O6" i="29"/>
  <c r="Q6" i="29" s="1"/>
  <c r="N6" i="28"/>
  <c r="P6" i="28" s="1"/>
  <c r="E52" i="34"/>
  <c r="O54" i="31"/>
  <c r="Q54" i="31" s="1"/>
  <c r="O54" i="30"/>
  <c r="Q54" i="30" s="1"/>
  <c r="O54" i="29"/>
  <c r="Q54" i="29" s="1"/>
  <c r="N54" i="28"/>
  <c r="P54" i="28" s="1"/>
  <c r="E36" i="34"/>
  <c r="O38" i="31"/>
  <c r="Q38" i="31" s="1"/>
  <c r="O38" i="30"/>
  <c r="Q38" i="30" s="1"/>
  <c r="O38" i="29"/>
  <c r="Q38" i="29" s="1"/>
  <c r="N38" i="28"/>
  <c r="P38" i="28" s="1"/>
  <c r="AJ19" i="28"/>
  <c r="C6" i="8" a="1"/>
  <c r="R6" i="7"/>
  <c r="J70" i="7"/>
  <c r="K12" i="34"/>
  <c r="AM14" i="31"/>
  <c r="AO14" i="31" s="1"/>
  <c r="AM14" i="30"/>
  <c r="AO14" i="30" s="1"/>
  <c r="AM14" i="29"/>
  <c r="AO14" i="29" s="1"/>
  <c r="AL14" i="28"/>
  <c r="AN14" i="28" s="1"/>
  <c r="K40" i="34"/>
  <c r="AM42" i="31"/>
  <c r="AO42" i="31" s="1"/>
  <c r="AM42" i="30"/>
  <c r="AO42" i="30" s="1"/>
  <c r="AM42" i="29"/>
  <c r="AO42" i="29" s="1"/>
  <c r="AL42" i="28"/>
  <c r="K36" i="34"/>
  <c r="AM38" i="31"/>
  <c r="AO38" i="31" s="1"/>
  <c r="AM38" i="30"/>
  <c r="AO38" i="30" s="1"/>
  <c r="AM38" i="29"/>
  <c r="AO38" i="29" s="1"/>
  <c r="AL38" i="28"/>
  <c r="K7" i="34"/>
  <c r="AM9" i="31"/>
  <c r="AO9" i="31" s="1"/>
  <c r="AM9" i="30"/>
  <c r="AO9" i="30" s="1"/>
  <c r="AM9" i="29"/>
  <c r="AO9" i="29" s="1"/>
  <c r="AL9" i="28"/>
  <c r="K50" i="34"/>
  <c r="AM52" i="31"/>
  <c r="AO52" i="31" s="1"/>
  <c r="AM52" i="30"/>
  <c r="AO52" i="30" s="1"/>
  <c r="AM52" i="29"/>
  <c r="AO52" i="29" s="1"/>
  <c r="AL52" i="28"/>
  <c r="N11" i="34"/>
  <c r="AY13" i="31"/>
  <c r="BA13" i="31" s="1"/>
  <c r="AY13" i="30"/>
  <c r="BA13" i="30" s="1"/>
  <c r="AY13" i="29"/>
  <c r="BA13" i="29" s="1"/>
  <c r="AX13" i="28"/>
  <c r="AZ13" i="28" s="1"/>
  <c r="N58" i="34"/>
  <c r="AY60" i="31"/>
  <c r="BA60" i="31" s="1"/>
  <c r="AY60" i="30"/>
  <c r="BA60" i="30" s="1"/>
  <c r="AX60" i="28"/>
  <c r="AZ60" i="28" s="1"/>
  <c r="AY60" i="29"/>
  <c r="BA60" i="29" s="1"/>
  <c r="N33" i="34"/>
  <c r="AY35" i="31"/>
  <c r="BA35" i="31" s="1"/>
  <c r="AY35" i="29"/>
  <c r="BA35" i="29" s="1"/>
  <c r="AY35" i="30"/>
  <c r="BA35" i="30" s="1"/>
  <c r="AX35" i="28"/>
  <c r="AZ35" i="28" s="1"/>
  <c r="M1" i="34"/>
  <c r="AU3" i="31"/>
  <c r="AU3" i="30"/>
  <c r="AU3" i="29"/>
  <c r="AT3" i="28"/>
  <c r="R70" i="24"/>
  <c r="C66" i="37"/>
  <c r="AJ55" i="28"/>
  <c r="F32" i="34"/>
  <c r="S34" i="31"/>
  <c r="U34" i="31" s="1"/>
  <c r="S34" i="30"/>
  <c r="U34" i="30" s="1"/>
  <c r="S34" i="29"/>
  <c r="U34" i="29" s="1"/>
  <c r="R34" i="28"/>
  <c r="T34" i="28" s="1"/>
  <c r="E9" i="34"/>
  <c r="O11" i="31"/>
  <c r="Q11" i="31" s="1"/>
  <c r="O11" i="30"/>
  <c r="Q11" i="30" s="1"/>
  <c r="O11" i="29"/>
  <c r="Q11" i="29" s="1"/>
  <c r="N11" i="28"/>
  <c r="P11" i="28" s="1"/>
  <c r="K58" i="34"/>
  <c r="AM60" i="31"/>
  <c r="AO60" i="31" s="1"/>
  <c r="AM60" i="30"/>
  <c r="AO60" i="30" s="1"/>
  <c r="AL60" i="28"/>
  <c r="AN60" i="28" s="1"/>
  <c r="AM60" i="29"/>
  <c r="AO60" i="29" s="1"/>
  <c r="E2" i="34"/>
  <c r="O4" i="31"/>
  <c r="Q4" i="31" s="1"/>
  <c r="O4" i="30"/>
  <c r="Q4" i="30" s="1"/>
  <c r="O4" i="29"/>
  <c r="Q4" i="29" s="1"/>
  <c r="N4" i="28"/>
  <c r="P4" i="28" s="1"/>
  <c r="E25" i="34"/>
  <c r="O27" i="31"/>
  <c r="Q27" i="31" s="1"/>
  <c r="O27" i="30"/>
  <c r="Q27" i="30" s="1"/>
  <c r="O27" i="29"/>
  <c r="Q27" i="29" s="1"/>
  <c r="N27" i="28"/>
  <c r="P27" i="28" s="1"/>
  <c r="K52" i="34"/>
  <c r="AM54" i="31"/>
  <c r="AO54" i="31" s="1"/>
  <c r="AM54" i="30"/>
  <c r="AO54" i="30" s="1"/>
  <c r="AM54" i="29"/>
  <c r="AO54" i="29" s="1"/>
  <c r="AL54" i="28"/>
  <c r="AN54" i="28" s="1"/>
  <c r="K3" i="34"/>
  <c r="AM5" i="31"/>
  <c r="AO5" i="31" s="1"/>
  <c r="AM5" i="30"/>
  <c r="AO5" i="30" s="1"/>
  <c r="AL5" i="28"/>
  <c r="AM5" i="29"/>
  <c r="AO5" i="29" s="1"/>
  <c r="AJ57" i="28"/>
  <c r="F30" i="34"/>
  <c r="S32" i="31"/>
  <c r="U32" i="31" s="1"/>
  <c r="S32" i="30"/>
  <c r="U32" i="30" s="1"/>
  <c r="S32" i="29"/>
  <c r="U32" i="29" s="1"/>
  <c r="R32" i="28"/>
  <c r="T32" i="28" s="1"/>
  <c r="E13" i="34"/>
  <c r="O15" i="31"/>
  <c r="Q15" i="31" s="1"/>
  <c r="O15" i="30"/>
  <c r="Q15" i="30" s="1"/>
  <c r="O15" i="29"/>
  <c r="Q15" i="29" s="1"/>
  <c r="N15" i="28"/>
  <c r="P15" i="28" s="1"/>
  <c r="E12" i="34"/>
  <c r="O14" i="31"/>
  <c r="Q14" i="31" s="1"/>
  <c r="O14" i="30"/>
  <c r="Q14" i="30" s="1"/>
  <c r="O14" i="29"/>
  <c r="Q14" i="29" s="1"/>
  <c r="N14" i="28"/>
  <c r="P14" i="28" s="1"/>
  <c r="E57" i="34"/>
  <c r="O59" i="31"/>
  <c r="Q59" i="31" s="1"/>
  <c r="O59" i="30"/>
  <c r="Q59" i="30" s="1"/>
  <c r="O59" i="29"/>
  <c r="Q59" i="29" s="1"/>
  <c r="N59" i="28"/>
  <c r="P59" i="28" s="1"/>
  <c r="K4" i="34"/>
  <c r="AM6" i="31"/>
  <c r="AO6" i="31" s="1"/>
  <c r="AM6" i="30"/>
  <c r="AO6" i="30" s="1"/>
  <c r="AM6" i="29"/>
  <c r="AO6" i="29" s="1"/>
  <c r="AL6" i="28"/>
  <c r="K21" i="34"/>
  <c r="AM23" i="31"/>
  <c r="AO23" i="31" s="1"/>
  <c r="AM23" i="30"/>
  <c r="AO23" i="30" s="1"/>
  <c r="AM23" i="29"/>
  <c r="AO23" i="29" s="1"/>
  <c r="AL23" i="28"/>
  <c r="K13" i="34"/>
  <c r="AM15" i="31"/>
  <c r="AO15" i="31" s="1"/>
  <c r="AM15" i="30"/>
  <c r="AO15" i="30" s="1"/>
  <c r="AM15" i="29"/>
  <c r="AO15" i="29" s="1"/>
  <c r="AL15" i="28"/>
  <c r="N38" i="34"/>
  <c r="AY40" i="31"/>
  <c r="BA40" i="31" s="1"/>
  <c r="AY40" i="29"/>
  <c r="BA40" i="29" s="1"/>
  <c r="AY40" i="30"/>
  <c r="BA40" i="30" s="1"/>
  <c r="AX40" i="28"/>
  <c r="AZ40" i="28" s="1"/>
  <c r="E32" i="34"/>
  <c r="O34" i="31"/>
  <c r="Q34" i="31" s="1"/>
  <c r="O34" i="29"/>
  <c r="Q34" i="29" s="1"/>
  <c r="O34" i="30"/>
  <c r="Q34" i="30" s="1"/>
  <c r="N34" i="28"/>
  <c r="P34" i="28" s="1"/>
  <c r="F20" i="34"/>
  <c r="S22" i="31"/>
  <c r="U22" i="31" s="1"/>
  <c r="S22" i="30"/>
  <c r="U22" i="30" s="1"/>
  <c r="S22" i="29"/>
  <c r="U22" i="29" s="1"/>
  <c r="R22" i="28"/>
  <c r="T22" i="28" s="1"/>
  <c r="F51" i="34"/>
  <c r="S53" i="31"/>
  <c r="U53" i="31" s="1"/>
  <c r="S53" i="30"/>
  <c r="U53" i="30" s="1"/>
  <c r="S53" i="29"/>
  <c r="U53" i="29" s="1"/>
  <c r="R53" i="28"/>
  <c r="T53" i="28" s="1"/>
  <c r="F14" i="34"/>
  <c r="S16" i="30"/>
  <c r="U16" i="30" s="1"/>
  <c r="S16" i="31"/>
  <c r="U16" i="31" s="1"/>
  <c r="S16" i="29"/>
  <c r="U16" i="29" s="1"/>
  <c r="R16" i="28"/>
  <c r="T16" i="28" s="1"/>
  <c r="F25" i="34"/>
  <c r="S27" i="31"/>
  <c r="U27" i="31" s="1"/>
  <c r="S27" i="29"/>
  <c r="U27" i="29" s="1"/>
  <c r="S27" i="30"/>
  <c r="U27" i="30" s="1"/>
  <c r="R27" i="28"/>
  <c r="T27" i="28" s="1"/>
  <c r="F61" i="34"/>
  <c r="S63" i="31"/>
  <c r="U63" i="31" s="1"/>
  <c r="S63" i="30"/>
  <c r="U63" i="30" s="1"/>
  <c r="S63" i="29"/>
  <c r="U63" i="29" s="1"/>
  <c r="R63" i="28"/>
  <c r="T63" i="28" s="1"/>
  <c r="AJ39" i="28"/>
  <c r="F24" i="34"/>
  <c r="S26" i="31"/>
  <c r="U26" i="31" s="1"/>
  <c r="S26" i="30"/>
  <c r="U26" i="30" s="1"/>
  <c r="S26" i="29"/>
  <c r="U26" i="29" s="1"/>
  <c r="R26" i="28"/>
  <c r="T26" i="28" s="1"/>
  <c r="F6" i="34"/>
  <c r="S8" i="31"/>
  <c r="U8" i="31" s="1"/>
  <c r="S8" i="30"/>
  <c r="U8" i="30" s="1"/>
  <c r="S8" i="29"/>
  <c r="U8" i="29" s="1"/>
  <c r="R8" i="28"/>
  <c r="T8" i="28" s="1"/>
  <c r="F23" i="34"/>
  <c r="S25" i="31"/>
  <c r="U25" i="31" s="1"/>
  <c r="S25" i="30"/>
  <c r="U25" i="30" s="1"/>
  <c r="S25" i="29"/>
  <c r="U25" i="29" s="1"/>
  <c r="R25" i="28"/>
  <c r="T25" i="28" s="1"/>
  <c r="F45" i="34"/>
  <c r="S47" i="31"/>
  <c r="U47" i="31" s="1"/>
  <c r="S47" i="30"/>
  <c r="U47" i="30" s="1"/>
  <c r="S47" i="29"/>
  <c r="U47" i="29" s="1"/>
  <c r="R47" i="28"/>
  <c r="T47" i="28" s="1"/>
  <c r="F28" i="34"/>
  <c r="S30" i="31"/>
  <c r="U30" i="31" s="1"/>
  <c r="S30" i="30"/>
  <c r="U30" i="30" s="1"/>
  <c r="S30" i="29"/>
  <c r="U30" i="29" s="1"/>
  <c r="R30" i="28"/>
  <c r="T30" i="28" s="1"/>
  <c r="S66" i="31"/>
  <c r="U66" i="31" s="1"/>
  <c r="F64" i="34"/>
  <c r="S66" i="30"/>
  <c r="U66" i="30" s="1"/>
  <c r="S66" i="29"/>
  <c r="U66" i="29" s="1"/>
  <c r="R66" i="28"/>
  <c r="T66" i="28" s="1"/>
  <c r="E26" i="34"/>
  <c r="O28" i="31"/>
  <c r="Q28" i="31" s="1"/>
  <c r="O28" i="30"/>
  <c r="Q28" i="30" s="1"/>
  <c r="O28" i="29"/>
  <c r="Q28" i="29" s="1"/>
  <c r="N28" i="28"/>
  <c r="P28" i="28" s="1"/>
  <c r="E56" i="34"/>
  <c r="O58" i="31"/>
  <c r="Q58" i="31" s="1"/>
  <c r="O58" i="30"/>
  <c r="Q58" i="30" s="1"/>
  <c r="O58" i="29"/>
  <c r="Q58" i="29" s="1"/>
  <c r="N58" i="28"/>
  <c r="P58" i="28" s="1"/>
  <c r="E29" i="34"/>
  <c r="O31" i="31"/>
  <c r="Q31" i="31" s="1"/>
  <c r="O31" i="30"/>
  <c r="Q31" i="30" s="1"/>
  <c r="O31" i="29"/>
  <c r="Q31" i="29" s="1"/>
  <c r="N31" i="28"/>
  <c r="P31" i="28" s="1"/>
  <c r="E55" i="34"/>
  <c r="O57" i="31"/>
  <c r="Q57" i="31" s="1"/>
  <c r="O57" i="30"/>
  <c r="Q57" i="30" s="1"/>
  <c r="O57" i="29"/>
  <c r="Q57" i="29" s="1"/>
  <c r="N57" i="28"/>
  <c r="P57" i="28" s="1"/>
  <c r="E39" i="34"/>
  <c r="O41" i="31"/>
  <c r="Q41" i="31" s="1"/>
  <c r="O41" i="30"/>
  <c r="Q41" i="30" s="1"/>
  <c r="O41" i="29"/>
  <c r="Q41" i="29" s="1"/>
  <c r="N41" i="28"/>
  <c r="P41" i="28" s="1"/>
  <c r="AJ53" i="28"/>
  <c r="AJ35" i="28"/>
  <c r="AJ54" i="28"/>
  <c r="K43" i="34"/>
  <c r="AM45" i="31"/>
  <c r="AO45" i="31" s="1"/>
  <c r="AM45" i="30"/>
  <c r="AO45" i="30" s="1"/>
  <c r="AM45" i="29"/>
  <c r="AO45" i="29" s="1"/>
  <c r="AL45" i="28"/>
  <c r="AN45" i="28" s="1"/>
  <c r="AM51" i="31"/>
  <c r="AO51" i="31" s="1"/>
  <c r="K49" i="34"/>
  <c r="AM51" i="30"/>
  <c r="AO51" i="30" s="1"/>
  <c r="AM51" i="29"/>
  <c r="AO51" i="29" s="1"/>
  <c r="AL51" i="28"/>
  <c r="AN51" i="28" s="1"/>
  <c r="K39" i="34"/>
  <c r="AM41" i="31"/>
  <c r="AO41" i="31" s="1"/>
  <c r="AM41" i="30"/>
  <c r="AO41" i="30" s="1"/>
  <c r="AM41" i="29"/>
  <c r="AO41" i="29" s="1"/>
  <c r="AL41" i="28"/>
  <c r="AN41" i="28" s="1"/>
  <c r="K17" i="34"/>
  <c r="AM19" i="31"/>
  <c r="AO19" i="31" s="1"/>
  <c r="AM19" i="30"/>
  <c r="AO19" i="30" s="1"/>
  <c r="AM19" i="29"/>
  <c r="AO19" i="29" s="1"/>
  <c r="AL19" i="28"/>
  <c r="AN19" i="28" s="1"/>
  <c r="K53" i="34"/>
  <c r="AM55" i="31"/>
  <c r="AO55" i="31" s="1"/>
  <c r="AM55" i="30"/>
  <c r="AO55" i="30" s="1"/>
  <c r="AM55" i="29"/>
  <c r="AO55" i="29" s="1"/>
  <c r="AL55" i="28"/>
  <c r="AN55" i="28" s="1"/>
  <c r="G1" i="34"/>
  <c r="W3" i="31"/>
  <c r="W3" i="30"/>
  <c r="W3" i="29"/>
  <c r="V3" i="28"/>
  <c r="R70" i="11"/>
  <c r="N29" i="34"/>
  <c r="AY31" i="31"/>
  <c r="BA31" i="31" s="1"/>
  <c r="AY31" i="30"/>
  <c r="BA31" i="30" s="1"/>
  <c r="AY31" i="29"/>
  <c r="BA31" i="29" s="1"/>
  <c r="AX31" i="28"/>
  <c r="AZ31" i="28" s="1"/>
  <c r="N44" i="34"/>
  <c r="AY46" i="31"/>
  <c r="BA46" i="31" s="1"/>
  <c r="AY46" i="30"/>
  <c r="BA46" i="30" s="1"/>
  <c r="AY46" i="29"/>
  <c r="BA46" i="29" s="1"/>
  <c r="AX46" i="28"/>
  <c r="AZ46" i="28" s="1"/>
  <c r="AY63" i="31"/>
  <c r="BA63" i="31" s="1"/>
  <c r="N61" i="34"/>
  <c r="AY63" i="30"/>
  <c r="BA63" i="30" s="1"/>
  <c r="AY63" i="29"/>
  <c r="BA63" i="29" s="1"/>
  <c r="AX63" i="28"/>
  <c r="AZ63" i="28" s="1"/>
  <c r="N36" i="34"/>
  <c r="AY38" i="31"/>
  <c r="BA38" i="31" s="1"/>
  <c r="AY38" i="30"/>
  <c r="BA38" i="30" s="1"/>
  <c r="AY38" i="29"/>
  <c r="BA38" i="29" s="1"/>
  <c r="AX38" i="28"/>
  <c r="AZ38" i="28" s="1"/>
  <c r="AJ25" i="28"/>
  <c r="C32" i="39" l="1"/>
  <c r="F32" i="39" s="1"/>
  <c r="C40" i="39"/>
  <c r="F40" i="39" s="1"/>
  <c r="C23" i="39"/>
  <c r="F23" i="39" s="1"/>
  <c r="C22" i="39"/>
  <c r="F22" i="39" s="1"/>
  <c r="C44" i="39"/>
  <c r="F44" i="39" s="1"/>
  <c r="C36" i="39"/>
  <c r="F36" i="39" s="1"/>
  <c r="C62" i="39"/>
  <c r="F62" i="39" s="1"/>
  <c r="C26" i="39"/>
  <c r="F26" i="39" s="1"/>
  <c r="C50" i="39"/>
  <c r="F50" i="39" s="1"/>
  <c r="AN8" i="28"/>
  <c r="C9" i="39"/>
  <c r="F9" i="39" s="1"/>
  <c r="C48" i="34"/>
  <c r="O48" i="34" s="1"/>
  <c r="P48" i="35" s="1"/>
  <c r="G50" i="31"/>
  <c r="G50" i="30"/>
  <c r="G50" i="29"/>
  <c r="F50" i="28"/>
  <c r="C54" i="34"/>
  <c r="O54" i="34" s="1"/>
  <c r="P54" i="35" s="1"/>
  <c r="G56" i="31"/>
  <c r="G56" i="30"/>
  <c r="G56" i="29"/>
  <c r="F56" i="28"/>
  <c r="C44" i="34"/>
  <c r="O44" i="34" s="1"/>
  <c r="P44" i="35" s="1"/>
  <c r="G46" i="31"/>
  <c r="G46" i="30"/>
  <c r="G46" i="29"/>
  <c r="F46" i="28"/>
  <c r="C6" i="34"/>
  <c r="O6" i="34" s="1"/>
  <c r="P6" i="35" s="1"/>
  <c r="G8" i="31"/>
  <c r="G8" i="30"/>
  <c r="G8" i="29"/>
  <c r="F8" i="28"/>
  <c r="C46" i="34"/>
  <c r="O46" i="34" s="1"/>
  <c r="P46" i="35" s="1"/>
  <c r="G48" i="31"/>
  <c r="G48" i="30"/>
  <c r="F48" i="28"/>
  <c r="G48" i="29"/>
  <c r="C2" i="34"/>
  <c r="O2" i="34" s="1"/>
  <c r="P2" i="35" s="1"/>
  <c r="G4" i="31"/>
  <c r="G4" i="29"/>
  <c r="G4" i="30"/>
  <c r="F4" i="28"/>
  <c r="C38" i="39"/>
  <c r="F38" i="39" s="1"/>
  <c r="W67" i="29"/>
  <c r="Y3" i="29"/>
  <c r="Y67" i="29" s="1"/>
  <c r="C54" i="39"/>
  <c r="F54" i="39" s="1"/>
  <c r="C58" i="39"/>
  <c r="F58" i="39" s="1"/>
  <c r="AP67" i="28"/>
  <c r="AR3" i="28"/>
  <c r="AR67" i="28" s="1"/>
  <c r="AN32" i="28"/>
  <c r="C33" i="39"/>
  <c r="F33" i="39" s="1"/>
  <c r="C67" i="39"/>
  <c r="F67" i="39" s="1"/>
  <c r="C51" i="34"/>
  <c r="O51" i="34" s="1"/>
  <c r="P51" i="35" s="1"/>
  <c r="G53" i="31"/>
  <c r="G53" i="30"/>
  <c r="G53" i="29"/>
  <c r="F53" i="28"/>
  <c r="C57" i="34"/>
  <c r="O57" i="34" s="1"/>
  <c r="P57" i="35" s="1"/>
  <c r="G59" i="31"/>
  <c r="G59" i="30"/>
  <c r="G59" i="29"/>
  <c r="F59" i="28"/>
  <c r="C47" i="34"/>
  <c r="O47" i="34" s="1"/>
  <c r="P47" i="35" s="1"/>
  <c r="G49" i="31"/>
  <c r="G49" i="30"/>
  <c r="G49" i="29"/>
  <c r="F49" i="28"/>
  <c r="C9" i="34"/>
  <c r="O9" i="34" s="1"/>
  <c r="P9" i="35" s="1"/>
  <c r="G11" i="31"/>
  <c r="G11" i="30"/>
  <c r="G11" i="29"/>
  <c r="F11" i="28"/>
  <c r="C49" i="34"/>
  <c r="O49" i="34" s="1"/>
  <c r="P49" i="35" s="1"/>
  <c r="G51" i="31"/>
  <c r="G51" i="30"/>
  <c r="G51" i="29"/>
  <c r="F51" i="28"/>
  <c r="C12" i="34"/>
  <c r="O12" i="34" s="1"/>
  <c r="P12" i="35" s="1"/>
  <c r="G14" i="31"/>
  <c r="G14" i="30"/>
  <c r="G14" i="29"/>
  <c r="F14" i="28"/>
  <c r="AN56" i="28"/>
  <c r="C57" i="39"/>
  <c r="F57" i="39" s="1"/>
  <c r="C56" i="34"/>
  <c r="O56" i="34" s="1"/>
  <c r="P56" i="35" s="1"/>
  <c r="G58" i="31"/>
  <c r="G58" i="30"/>
  <c r="G58" i="29"/>
  <c r="F58" i="28"/>
  <c r="C10" i="34"/>
  <c r="O10" i="34" s="1"/>
  <c r="P10" i="35" s="1"/>
  <c r="G12" i="31"/>
  <c r="G12" i="30"/>
  <c r="G12" i="29"/>
  <c r="F12" i="28"/>
  <c r="C56" i="39"/>
  <c r="F56" i="39" s="1"/>
  <c r="AQ67" i="31"/>
  <c r="AS3" i="31"/>
  <c r="AS67" i="31" s="1"/>
  <c r="AN33" i="28"/>
  <c r="C34" i="39"/>
  <c r="F34" i="39" s="1"/>
  <c r="AN29" i="28"/>
  <c r="C30" i="39"/>
  <c r="F30" i="39" s="1"/>
  <c r="C25" i="39"/>
  <c r="F25" i="39" s="1"/>
  <c r="C15" i="34"/>
  <c r="O15" i="34" s="1"/>
  <c r="P15" i="35" s="1"/>
  <c r="G17" i="31"/>
  <c r="G17" i="30"/>
  <c r="G17" i="29"/>
  <c r="F17" i="28"/>
  <c r="C36" i="34"/>
  <c r="O36" i="34" s="1"/>
  <c r="P36" i="35" s="1"/>
  <c r="G38" i="31"/>
  <c r="G38" i="30"/>
  <c r="G38" i="29"/>
  <c r="F38" i="28"/>
  <c r="C7" i="34"/>
  <c r="O7" i="34" s="1"/>
  <c r="P7" i="35" s="1"/>
  <c r="G9" i="31"/>
  <c r="G9" i="30"/>
  <c r="G9" i="29"/>
  <c r="F9" i="28"/>
  <c r="C22" i="34"/>
  <c r="O22" i="34" s="1"/>
  <c r="P22" i="35" s="1"/>
  <c r="G24" i="31"/>
  <c r="G24" i="30"/>
  <c r="G24" i="29"/>
  <c r="F24" i="28"/>
  <c r="G60" i="31"/>
  <c r="C58" i="34"/>
  <c r="O58" i="34" s="1"/>
  <c r="P58" i="35" s="1"/>
  <c r="G60" i="30"/>
  <c r="G60" i="29"/>
  <c r="F60" i="28"/>
  <c r="AN50" i="28"/>
  <c r="C51" i="39"/>
  <c r="F51" i="39" s="1"/>
  <c r="AN7" i="28"/>
  <c r="C8" i="39"/>
  <c r="F8" i="39" s="1"/>
  <c r="Z67" i="28"/>
  <c r="AB3" i="28"/>
  <c r="AB67" i="28" s="1"/>
  <c r="AI67" i="30"/>
  <c r="AK3" i="30"/>
  <c r="AK67" i="30" s="1"/>
  <c r="AQ67" i="29"/>
  <c r="AS3" i="29"/>
  <c r="AS67" i="29" s="1"/>
  <c r="C16" i="34"/>
  <c r="O16" i="34" s="1"/>
  <c r="P16" i="35" s="1"/>
  <c r="G18" i="31"/>
  <c r="G18" i="30"/>
  <c r="G18" i="29"/>
  <c r="F18" i="28"/>
  <c r="AN38" i="28"/>
  <c r="C39" i="39"/>
  <c r="F39" i="39" s="1"/>
  <c r="AN62" i="28"/>
  <c r="C63" i="39"/>
  <c r="F63" i="39" s="1"/>
  <c r="C11" i="34"/>
  <c r="O11" i="34" s="1"/>
  <c r="P11" i="35" s="1"/>
  <c r="G13" i="31"/>
  <c r="G13" i="30"/>
  <c r="G13" i="29"/>
  <c r="F13" i="28"/>
  <c r="C19" i="34"/>
  <c r="O19" i="34" s="1"/>
  <c r="P19" i="35" s="1"/>
  <c r="G21" i="31"/>
  <c r="G21" i="30"/>
  <c r="G21" i="29"/>
  <c r="F21" i="28"/>
  <c r="AN23" i="28"/>
  <c r="C24" i="39"/>
  <c r="F24" i="39" s="1"/>
  <c r="AN52" i="28"/>
  <c r="C53" i="39"/>
  <c r="F53" i="39" s="1"/>
  <c r="C52" i="39"/>
  <c r="F52" i="39" s="1"/>
  <c r="C61" i="39"/>
  <c r="F61" i="39" s="1"/>
  <c r="C14" i="39"/>
  <c r="F14" i="39" s="1"/>
  <c r="C27" i="34"/>
  <c r="O27" i="34" s="1"/>
  <c r="P27" i="35" s="1"/>
  <c r="G29" i="31"/>
  <c r="G29" i="30"/>
  <c r="G29" i="29"/>
  <c r="F29" i="28"/>
  <c r="C39" i="34"/>
  <c r="O39" i="34" s="1"/>
  <c r="P39" i="35" s="1"/>
  <c r="G41" i="31"/>
  <c r="G41" i="30"/>
  <c r="G41" i="29"/>
  <c r="F41" i="28"/>
  <c r="C38" i="34"/>
  <c r="O38" i="34" s="1"/>
  <c r="P38" i="35" s="1"/>
  <c r="G40" i="31"/>
  <c r="G40" i="30"/>
  <c r="G40" i="29"/>
  <c r="F40" i="28"/>
  <c r="C25" i="34"/>
  <c r="O25" i="34" s="1"/>
  <c r="P25" i="35" s="1"/>
  <c r="G27" i="31"/>
  <c r="G27" i="30"/>
  <c r="G27" i="29"/>
  <c r="F27" i="28"/>
  <c r="C61" i="34"/>
  <c r="O61" i="34" s="1"/>
  <c r="P61" i="35" s="1"/>
  <c r="G63" i="31"/>
  <c r="G63" i="30"/>
  <c r="G63" i="29"/>
  <c r="F63" i="28"/>
  <c r="AA67" i="29"/>
  <c r="AC3" i="29"/>
  <c r="AC67" i="29" s="1"/>
  <c r="AU67" i="31"/>
  <c r="AW3" i="31"/>
  <c r="AW67" i="31" s="1"/>
  <c r="AN59" i="28"/>
  <c r="C60" i="39"/>
  <c r="F60" i="39" s="1"/>
  <c r="AN44" i="28"/>
  <c r="C45" i="39"/>
  <c r="F45" i="39" s="1"/>
  <c r="C45" i="34"/>
  <c r="O45" i="34" s="1"/>
  <c r="P45" i="35" s="1"/>
  <c r="G47" i="31"/>
  <c r="G47" i="30"/>
  <c r="G47" i="29"/>
  <c r="F47" i="28"/>
  <c r="C41" i="34"/>
  <c r="O41" i="34" s="1"/>
  <c r="P41" i="35" s="1"/>
  <c r="G43" i="31"/>
  <c r="G43" i="30"/>
  <c r="G43" i="29"/>
  <c r="F43" i="28"/>
  <c r="V67" i="28"/>
  <c r="X3" i="28"/>
  <c r="X67" i="28" s="1"/>
  <c r="W67" i="30"/>
  <c r="Y3" i="30"/>
  <c r="Y67" i="30" s="1"/>
  <c r="C8" i="34"/>
  <c r="O8" i="34" s="1"/>
  <c r="P8" i="35" s="1"/>
  <c r="G10" i="31"/>
  <c r="G10" i="30"/>
  <c r="G10" i="29"/>
  <c r="F10" i="28"/>
  <c r="C48" i="39"/>
  <c r="F48" i="39" s="1"/>
  <c r="D1" i="34"/>
  <c r="K3" i="31"/>
  <c r="K3" i="30"/>
  <c r="K3" i="29"/>
  <c r="J3" i="28"/>
  <c r="R70" i="3"/>
  <c r="C63" i="34"/>
  <c r="O63" i="34" s="1"/>
  <c r="P63" i="35" s="1"/>
  <c r="G65" i="31"/>
  <c r="G65" i="30"/>
  <c r="G65" i="29"/>
  <c r="F65" i="28"/>
  <c r="C20" i="34"/>
  <c r="O20" i="34" s="1"/>
  <c r="P20" i="35" s="1"/>
  <c r="G22" i="31"/>
  <c r="G22" i="30"/>
  <c r="G22" i="29"/>
  <c r="F22" i="28"/>
  <c r="C53" i="34"/>
  <c r="O53" i="34" s="1"/>
  <c r="P53" i="35" s="1"/>
  <c r="G55" i="31"/>
  <c r="G55" i="30"/>
  <c r="G55" i="29"/>
  <c r="F55" i="28"/>
  <c r="C28" i="34"/>
  <c r="O28" i="34" s="1"/>
  <c r="P28" i="35" s="1"/>
  <c r="G30" i="31"/>
  <c r="G30" i="30"/>
  <c r="G30" i="29"/>
  <c r="F30" i="28"/>
  <c r="C64" i="34"/>
  <c r="O64" i="34" s="1"/>
  <c r="P64" i="35" s="1"/>
  <c r="G66" i="31"/>
  <c r="G66" i="30"/>
  <c r="G66" i="29"/>
  <c r="F66" i="28"/>
  <c r="AN20" i="28"/>
  <c r="C21" i="39"/>
  <c r="F21" i="39" s="1"/>
  <c r="C59" i="39"/>
  <c r="F59" i="39" s="1"/>
  <c r="AN64" i="28"/>
  <c r="C65" i="39"/>
  <c r="F65" i="39" s="1"/>
  <c r="AA67" i="31"/>
  <c r="AC3" i="31"/>
  <c r="AC67" i="31" s="1"/>
  <c r="K1" i="34"/>
  <c r="AM3" i="31"/>
  <c r="AM3" i="30"/>
  <c r="AM3" i="29"/>
  <c r="AL3" i="28"/>
  <c r="R70" i="19"/>
  <c r="C29" i="34"/>
  <c r="O29" i="34" s="1"/>
  <c r="P29" i="35" s="1"/>
  <c r="G31" i="31"/>
  <c r="G31" i="30"/>
  <c r="G31" i="29"/>
  <c r="F31" i="28"/>
  <c r="AI67" i="31"/>
  <c r="AK3" i="31"/>
  <c r="AK67" i="31" s="1"/>
  <c r="F1" i="34"/>
  <c r="S3" i="31"/>
  <c r="S3" i="30"/>
  <c r="S3" i="29"/>
  <c r="R3" i="28"/>
  <c r="R70" i="7"/>
  <c r="C28" i="39"/>
  <c r="F28" i="39" s="1"/>
  <c r="AN46" i="28"/>
  <c r="C47" i="39"/>
  <c r="F47" i="39" s="1"/>
  <c r="AN26" i="28"/>
  <c r="C27" i="39"/>
  <c r="F27" i="39" s="1"/>
  <c r="C30" i="34"/>
  <c r="O30" i="34" s="1"/>
  <c r="P30" i="35" s="1"/>
  <c r="G32" i="31"/>
  <c r="G32" i="30"/>
  <c r="G32" i="29"/>
  <c r="F32" i="28"/>
  <c r="C32" i="34"/>
  <c r="O32" i="34" s="1"/>
  <c r="P32" i="35" s="1"/>
  <c r="G34" i="31"/>
  <c r="G34" i="30"/>
  <c r="G34" i="29"/>
  <c r="F34" i="28"/>
  <c r="C3" i="34"/>
  <c r="O3" i="34" s="1"/>
  <c r="P3" i="35" s="1"/>
  <c r="G5" i="31"/>
  <c r="G5" i="30"/>
  <c r="G5" i="29"/>
  <c r="F5" i="28"/>
  <c r="C31" i="34"/>
  <c r="O31" i="34" s="1"/>
  <c r="P31" i="35" s="1"/>
  <c r="G33" i="31"/>
  <c r="G33" i="30"/>
  <c r="G33" i="29"/>
  <c r="F33" i="28"/>
  <c r="K70" i="1"/>
  <c r="R6" i="1"/>
  <c r="AN65" i="28"/>
  <c r="C66" i="39"/>
  <c r="F66" i="39" s="1"/>
  <c r="C21" i="34"/>
  <c r="O21" i="34" s="1"/>
  <c r="P21" i="35" s="1"/>
  <c r="G23" i="31"/>
  <c r="G23" i="30"/>
  <c r="G23" i="29"/>
  <c r="F23" i="28"/>
  <c r="C43" i="34"/>
  <c r="O43" i="34" s="1"/>
  <c r="P43" i="35" s="1"/>
  <c r="G45" i="31"/>
  <c r="G45" i="30"/>
  <c r="G45" i="29"/>
  <c r="F45" i="28"/>
  <c r="AN10" i="28"/>
  <c r="C11" i="39"/>
  <c r="F11" i="39" s="1"/>
  <c r="C24" i="34"/>
  <c r="O24" i="34" s="1"/>
  <c r="P24" i="35" s="1"/>
  <c r="G26" i="31"/>
  <c r="G26" i="30"/>
  <c r="G26" i="29"/>
  <c r="F26" i="28"/>
  <c r="AN5" i="28"/>
  <c r="C6" i="39"/>
  <c r="F6" i="39" s="1"/>
  <c r="AA67" i="30"/>
  <c r="AC3" i="30"/>
  <c r="AC67" i="30" s="1"/>
  <c r="AT67" i="28"/>
  <c r="AV3" i="28"/>
  <c r="AV67" i="28" s="1"/>
  <c r="AN42" i="28"/>
  <c r="C43" i="39"/>
  <c r="F43" i="39" s="1"/>
  <c r="BH6" i="8"/>
  <c r="BH61" i="8" s="1"/>
  <c r="AV6" i="8"/>
  <c r="AV61" i="8" s="1"/>
  <c r="AJ6" i="8"/>
  <c r="AJ61" i="8" s="1"/>
  <c r="X6" i="8"/>
  <c r="X61" i="8" s="1"/>
  <c r="L6" i="8"/>
  <c r="L61" i="8" s="1"/>
  <c r="BF6" i="8"/>
  <c r="BF61" i="8" s="1"/>
  <c r="AT6" i="8"/>
  <c r="AT61" i="8" s="1"/>
  <c r="AH6" i="8"/>
  <c r="AH61" i="8" s="1"/>
  <c r="V6" i="8"/>
  <c r="V61" i="8" s="1"/>
  <c r="J6" i="8"/>
  <c r="J61" i="8" s="1"/>
  <c r="BE6" i="8"/>
  <c r="BE61" i="8" s="1"/>
  <c r="AS6" i="8"/>
  <c r="AS61" i="8" s="1"/>
  <c r="AG6" i="8"/>
  <c r="AG61" i="8" s="1"/>
  <c r="U6" i="8"/>
  <c r="U61" i="8" s="1"/>
  <c r="I6" i="8"/>
  <c r="I61" i="8" s="1"/>
  <c r="BD6" i="8"/>
  <c r="BD61" i="8" s="1"/>
  <c r="AR6" i="8"/>
  <c r="AR61" i="8" s="1"/>
  <c r="AF6" i="8"/>
  <c r="AF61" i="8" s="1"/>
  <c r="T6" i="8"/>
  <c r="T61" i="8" s="1"/>
  <c r="H6" i="8"/>
  <c r="H61" i="8" s="1"/>
  <c r="BC6" i="8"/>
  <c r="BC61" i="8" s="1"/>
  <c r="AQ6" i="8"/>
  <c r="AQ61" i="8" s="1"/>
  <c r="AE6" i="8"/>
  <c r="AE61" i="8" s="1"/>
  <c r="S6" i="8"/>
  <c r="S61" i="8" s="1"/>
  <c r="G6" i="8"/>
  <c r="G61" i="8" s="1"/>
  <c r="BK6" i="8"/>
  <c r="BK61" i="8" s="1"/>
  <c r="AY6" i="8"/>
  <c r="AY61" i="8" s="1"/>
  <c r="AM6" i="8"/>
  <c r="AM61" i="8" s="1"/>
  <c r="AA6" i="8"/>
  <c r="AA61" i="8" s="1"/>
  <c r="O6" i="8"/>
  <c r="O61" i="8" s="1"/>
  <c r="AX6" i="8"/>
  <c r="AX61" i="8" s="1"/>
  <c r="Z6" i="8"/>
  <c r="Z61" i="8" s="1"/>
  <c r="C6" i="8"/>
  <c r="C61" i="8" s="1"/>
  <c r="AK6" i="8"/>
  <c r="AK61" i="8" s="1"/>
  <c r="F6" i="8"/>
  <c r="F61" i="8" s="1"/>
  <c r="AW6" i="8"/>
  <c r="AW61" i="8" s="1"/>
  <c r="Y6" i="8"/>
  <c r="Y61" i="8" s="1"/>
  <c r="AI6" i="8"/>
  <c r="AI61" i="8" s="1"/>
  <c r="AU6" i="8"/>
  <c r="AU61" i="8" s="1"/>
  <c r="W6" i="8"/>
  <c r="W61" i="8" s="1"/>
  <c r="BB6" i="8"/>
  <c r="BB61" i="8" s="1"/>
  <c r="BN6" i="8"/>
  <c r="BN61" i="8" s="1"/>
  <c r="AP6" i="8"/>
  <c r="AP61" i="8" s="1"/>
  <c r="R6" i="8"/>
  <c r="R61" i="8" s="1"/>
  <c r="M6" i="8"/>
  <c r="M61" i="8" s="1"/>
  <c r="BM6" i="8"/>
  <c r="BM61" i="8" s="1"/>
  <c r="AO6" i="8"/>
  <c r="AO61" i="8" s="1"/>
  <c r="Q6" i="8"/>
  <c r="Q61" i="8" s="1"/>
  <c r="BI6" i="8"/>
  <c r="BI61" i="8" s="1"/>
  <c r="BG6" i="8"/>
  <c r="BG61" i="8" s="1"/>
  <c r="K6" i="8"/>
  <c r="K61" i="8" s="1"/>
  <c r="BL6" i="8"/>
  <c r="BL61" i="8" s="1"/>
  <c r="AN6" i="8"/>
  <c r="AN61" i="8" s="1"/>
  <c r="P6" i="8"/>
  <c r="P61" i="8" s="1"/>
  <c r="AD6" i="8"/>
  <c r="AD61" i="8" s="1"/>
  <c r="BJ6" i="8"/>
  <c r="BJ61" i="8" s="1"/>
  <c r="AL6" i="8"/>
  <c r="AL61" i="8" s="1"/>
  <c r="N6" i="8"/>
  <c r="N61" i="8" s="1"/>
  <c r="AB6" i="8"/>
  <c r="AB61" i="8" s="1"/>
  <c r="E6" i="8"/>
  <c r="E61" i="8" s="1"/>
  <c r="D6" i="8"/>
  <c r="D61" i="8" s="1"/>
  <c r="BA6" i="8"/>
  <c r="BA61" i="8" s="1"/>
  <c r="AZ6" i="8"/>
  <c r="AZ61" i="8" s="1"/>
  <c r="AC6" i="8"/>
  <c r="AC61" i="8" s="1"/>
  <c r="N1" i="34"/>
  <c r="AY3" i="31"/>
  <c r="AY3" i="30"/>
  <c r="AY3" i="29"/>
  <c r="AX3" i="28"/>
  <c r="R70" i="25"/>
  <c r="C42" i="39"/>
  <c r="F42" i="39" s="1"/>
  <c r="C5" i="34"/>
  <c r="O5" i="34" s="1"/>
  <c r="P5" i="35" s="1"/>
  <c r="G7" i="31"/>
  <c r="G7" i="30"/>
  <c r="G7" i="29"/>
  <c r="F7" i="28"/>
  <c r="C4" i="34"/>
  <c r="O4" i="34" s="1"/>
  <c r="P4" i="35" s="1"/>
  <c r="G6" i="31"/>
  <c r="G6" i="30"/>
  <c r="G6" i="29"/>
  <c r="F6" i="28"/>
  <c r="C26" i="34"/>
  <c r="O26" i="34" s="1"/>
  <c r="P26" i="35" s="1"/>
  <c r="G28" i="31"/>
  <c r="G28" i="30"/>
  <c r="G28" i="29"/>
  <c r="F28" i="28"/>
  <c r="C34" i="34"/>
  <c r="O34" i="34" s="1"/>
  <c r="P34" i="35" s="1"/>
  <c r="G36" i="31"/>
  <c r="G36" i="30"/>
  <c r="G36" i="29"/>
  <c r="F36" i="28"/>
  <c r="C13" i="34"/>
  <c r="O13" i="34" s="1"/>
  <c r="P13" i="35" s="1"/>
  <c r="G15" i="31"/>
  <c r="G15" i="30"/>
  <c r="G15" i="29"/>
  <c r="F15" i="28"/>
  <c r="C46" i="39"/>
  <c r="F46" i="39" s="1"/>
  <c r="AN34" i="28"/>
  <c r="C35" i="39"/>
  <c r="F35" i="39" s="1"/>
  <c r="C64" i="39"/>
  <c r="F64" i="39" s="1"/>
  <c r="C59" i="34"/>
  <c r="O59" i="34" s="1"/>
  <c r="P59" i="35" s="1"/>
  <c r="G61" i="31"/>
  <c r="G61" i="30"/>
  <c r="G61" i="29"/>
  <c r="F61" i="28"/>
  <c r="AN28" i="28"/>
  <c r="C29" i="39"/>
  <c r="F29" i="39" s="1"/>
  <c r="AN15" i="28"/>
  <c r="C16" i="39"/>
  <c r="F16" i="39" s="1"/>
  <c r="C52" i="34"/>
  <c r="O52" i="34" s="1"/>
  <c r="P52" i="35" s="1"/>
  <c r="G54" i="31"/>
  <c r="G54" i="30"/>
  <c r="G54" i="29"/>
  <c r="F54" i="28"/>
  <c r="C13" i="39"/>
  <c r="F13" i="39" s="1"/>
  <c r="C55" i="34"/>
  <c r="O55" i="34" s="1"/>
  <c r="P55" i="35" s="1"/>
  <c r="G57" i="31"/>
  <c r="G57" i="30"/>
  <c r="F57" i="28"/>
  <c r="G57" i="29"/>
  <c r="C55" i="39"/>
  <c r="F55" i="39" s="1"/>
  <c r="AU67" i="29"/>
  <c r="AW3" i="29"/>
  <c r="AW67" i="29" s="1"/>
  <c r="AN11" i="28"/>
  <c r="C12" i="39"/>
  <c r="F12" i="39" s="1"/>
  <c r="C37" i="39"/>
  <c r="F37" i="39" s="1"/>
  <c r="AH67" i="28"/>
  <c r="AJ3" i="28"/>
  <c r="AJ67" i="28" s="1"/>
  <c r="AN4" i="28"/>
  <c r="C5" i="39"/>
  <c r="F5" i="39" s="1"/>
  <c r="C33" i="34"/>
  <c r="O33" i="34" s="1"/>
  <c r="P33" i="35" s="1"/>
  <c r="G35" i="31"/>
  <c r="G35" i="30"/>
  <c r="G35" i="29"/>
  <c r="F35" i="28"/>
  <c r="C17" i="34"/>
  <c r="O17" i="34" s="1"/>
  <c r="P17" i="35" s="1"/>
  <c r="G19" i="31"/>
  <c r="G19" i="30"/>
  <c r="G19" i="29"/>
  <c r="F19" i="28"/>
  <c r="C35" i="34"/>
  <c r="O35" i="34" s="1"/>
  <c r="P35" i="35" s="1"/>
  <c r="G37" i="31"/>
  <c r="G37" i="30"/>
  <c r="G37" i="29"/>
  <c r="F37" i="28"/>
  <c r="C37" i="34"/>
  <c r="O37" i="34" s="1"/>
  <c r="P37" i="35" s="1"/>
  <c r="G39" i="31"/>
  <c r="G39" i="30"/>
  <c r="G39" i="29"/>
  <c r="F39" i="28"/>
  <c r="C14" i="34"/>
  <c r="O14" i="34" s="1"/>
  <c r="P14" i="35" s="1"/>
  <c r="G16" i="31"/>
  <c r="G16" i="30"/>
  <c r="G16" i="29"/>
  <c r="F16" i="28"/>
  <c r="AN17" i="28"/>
  <c r="C18" i="39"/>
  <c r="F18" i="39" s="1"/>
  <c r="AN18" i="28"/>
  <c r="C19" i="39"/>
  <c r="F19" i="39" s="1"/>
  <c r="C15" i="39"/>
  <c r="F15" i="39" s="1"/>
  <c r="W67" i="31"/>
  <c r="Y3" i="31"/>
  <c r="Y67" i="31" s="1"/>
  <c r="AQ67" i="30"/>
  <c r="AS3" i="30"/>
  <c r="AS67" i="30" s="1"/>
  <c r="C60" i="34"/>
  <c r="O60" i="34" s="1"/>
  <c r="P60" i="35" s="1"/>
  <c r="G62" i="31"/>
  <c r="G62" i="29"/>
  <c r="G62" i="30"/>
  <c r="F62" i="28"/>
  <c r="AN6" i="28"/>
  <c r="C7" i="39"/>
  <c r="F7" i="39" s="1"/>
  <c r="AU67" i="30"/>
  <c r="AW3" i="30"/>
  <c r="AW67" i="30" s="1"/>
  <c r="AN9" i="28"/>
  <c r="C10" i="39"/>
  <c r="F10" i="39" s="1"/>
  <c r="C20" i="39"/>
  <c r="F20" i="39" s="1"/>
  <c r="AI67" i="29"/>
  <c r="AK3" i="29"/>
  <c r="AK67" i="29" s="1"/>
  <c r="E1" i="34"/>
  <c r="O3" i="31"/>
  <c r="O3" i="30"/>
  <c r="O3" i="29"/>
  <c r="N3" i="28"/>
  <c r="R70" i="5"/>
  <c r="AN40" i="28"/>
  <c r="C41" i="39"/>
  <c r="F41" i="39" s="1"/>
  <c r="C42" i="34"/>
  <c r="O42" i="34" s="1"/>
  <c r="P42" i="35" s="1"/>
  <c r="G44" i="30"/>
  <c r="G44" i="31"/>
  <c r="G44" i="29"/>
  <c r="F44" i="28"/>
  <c r="C18" i="34"/>
  <c r="O18" i="34" s="1"/>
  <c r="P18" i="35" s="1"/>
  <c r="G20" i="30"/>
  <c r="G20" i="31"/>
  <c r="G20" i="29"/>
  <c r="F20" i="28"/>
  <c r="C23" i="34"/>
  <c r="O23" i="34" s="1"/>
  <c r="P23" i="35" s="1"/>
  <c r="G25" i="31"/>
  <c r="G25" i="30"/>
  <c r="G25" i="29"/>
  <c r="F25" i="28"/>
  <c r="C62" i="34"/>
  <c r="O62" i="34" s="1"/>
  <c r="P62" i="35" s="1"/>
  <c r="G64" i="31"/>
  <c r="G64" i="30"/>
  <c r="G64" i="29"/>
  <c r="F64" i="28"/>
  <c r="C40" i="34"/>
  <c r="O40" i="34" s="1"/>
  <c r="P40" i="35" s="1"/>
  <c r="G42" i="31"/>
  <c r="G42" i="30"/>
  <c r="G42" i="29"/>
  <c r="F42" i="28"/>
  <c r="C50" i="34"/>
  <c r="O50" i="34" s="1"/>
  <c r="P50" i="35" s="1"/>
  <c r="G52" i="31"/>
  <c r="G52" i="30"/>
  <c r="G52" i="29"/>
  <c r="F52" i="28"/>
  <c r="C4" i="39" l="1"/>
  <c r="F4" i="39" s="1"/>
  <c r="A1" i="9" a="1"/>
  <c r="BC45" i="31"/>
  <c r="BE45" i="31" s="1"/>
  <c r="BF45" i="31" s="1"/>
  <c r="I45" i="31"/>
  <c r="BC33" i="29"/>
  <c r="BE33" i="29" s="1"/>
  <c r="BF33" i="29" s="1"/>
  <c r="I33" i="29"/>
  <c r="BC34" i="31"/>
  <c r="BE34" i="31" s="1"/>
  <c r="BF34" i="31" s="1"/>
  <c r="I34" i="31"/>
  <c r="BB55" i="28"/>
  <c r="H55" i="28"/>
  <c r="BD65" i="30"/>
  <c r="I65" i="30"/>
  <c r="BD10" i="30"/>
  <c r="I10" i="30"/>
  <c r="BB47" i="28"/>
  <c r="H47" i="28"/>
  <c r="BC40" i="29"/>
  <c r="BE40" i="29" s="1"/>
  <c r="BF40" i="29" s="1"/>
  <c r="I40" i="29"/>
  <c r="BC29" i="31"/>
  <c r="BE29" i="31" s="1"/>
  <c r="BF29" i="31" s="1"/>
  <c r="I29" i="31"/>
  <c r="BC21" i="31"/>
  <c r="BE21" i="31" s="1"/>
  <c r="BF21" i="31" s="1"/>
  <c r="I21" i="31"/>
  <c r="BC18" i="29"/>
  <c r="BE18" i="29" s="1"/>
  <c r="BF18" i="29" s="1"/>
  <c r="I18" i="29"/>
  <c r="BB9" i="28"/>
  <c r="H9" i="28"/>
  <c r="BD17" i="30"/>
  <c r="I17" i="30"/>
  <c r="BC12" i="29"/>
  <c r="BE12" i="29" s="1"/>
  <c r="BF12" i="29" s="1"/>
  <c r="I12" i="29"/>
  <c r="BC14" i="29"/>
  <c r="BE14" i="29" s="1"/>
  <c r="BF14" i="29" s="1"/>
  <c r="I14" i="29"/>
  <c r="BC11" i="31"/>
  <c r="BE11" i="31" s="1"/>
  <c r="BF11" i="31" s="1"/>
  <c r="I11" i="31"/>
  <c r="BB53" i="28"/>
  <c r="H53" i="28"/>
  <c r="BC56" i="29"/>
  <c r="BE56" i="29" s="1"/>
  <c r="BF56" i="29" s="1"/>
  <c r="I56" i="29"/>
  <c r="BC42" i="31"/>
  <c r="BE42" i="31" s="1"/>
  <c r="BF42" i="31" s="1"/>
  <c r="I42" i="31"/>
  <c r="BB20" i="28"/>
  <c r="H20" i="28"/>
  <c r="BD39" i="30"/>
  <c r="I39" i="30"/>
  <c r="BC54" i="29"/>
  <c r="BE54" i="29" s="1"/>
  <c r="BF54" i="29" s="1"/>
  <c r="I54" i="29"/>
  <c r="BD36" i="30"/>
  <c r="I36" i="30"/>
  <c r="BD33" i="30"/>
  <c r="I33" i="30"/>
  <c r="R67" i="28"/>
  <c r="T3" i="28"/>
  <c r="T67" i="28" s="1"/>
  <c r="BC55" i="29"/>
  <c r="BE55" i="29" s="1"/>
  <c r="BF55" i="29" s="1"/>
  <c r="I55" i="29"/>
  <c r="BC65" i="31"/>
  <c r="BE65" i="31" s="1"/>
  <c r="BF65" i="31" s="1"/>
  <c r="I65" i="31"/>
  <c r="BC10" i="31"/>
  <c r="BE10" i="31" s="1"/>
  <c r="BF10" i="31" s="1"/>
  <c r="I10" i="31"/>
  <c r="BC47" i="29"/>
  <c r="BE47" i="29" s="1"/>
  <c r="BF47" i="29" s="1"/>
  <c r="I47" i="29"/>
  <c r="BB63" i="28"/>
  <c r="H63" i="28"/>
  <c r="BD40" i="30"/>
  <c r="I40" i="30"/>
  <c r="BD18" i="30"/>
  <c r="I18" i="30"/>
  <c r="BC9" i="29"/>
  <c r="BE9" i="29" s="1"/>
  <c r="BF9" i="29" s="1"/>
  <c r="I9" i="29"/>
  <c r="BC17" i="31"/>
  <c r="BE17" i="31" s="1"/>
  <c r="BF17" i="31" s="1"/>
  <c r="I17" i="31"/>
  <c r="BD12" i="30"/>
  <c r="I12" i="30"/>
  <c r="BD14" i="30"/>
  <c r="I14" i="30"/>
  <c r="BC53" i="29"/>
  <c r="BE53" i="29" s="1"/>
  <c r="BF53" i="29" s="1"/>
  <c r="I53" i="29"/>
  <c r="BB8" i="28"/>
  <c r="H8" i="28"/>
  <c r="BD56" i="30"/>
  <c r="I56" i="30"/>
  <c r="BD34" i="30"/>
  <c r="I34" i="30"/>
  <c r="BD21" i="30"/>
  <c r="I21" i="30"/>
  <c r="BB56" i="28"/>
  <c r="H56" i="28"/>
  <c r="BC25" i="31"/>
  <c r="BE25" i="31" s="1"/>
  <c r="BF25" i="31" s="1"/>
  <c r="I25" i="31"/>
  <c r="BB39" i="28"/>
  <c r="H39" i="28"/>
  <c r="BB36" i="28"/>
  <c r="H36" i="28"/>
  <c r="AY67" i="30"/>
  <c r="BA3" i="30"/>
  <c r="BA67" i="30" s="1"/>
  <c r="BB33" i="28"/>
  <c r="H33" i="28"/>
  <c r="BC31" i="31"/>
  <c r="BE31" i="31" s="1"/>
  <c r="BF31" i="31" s="1"/>
  <c r="I31" i="31"/>
  <c r="BC10" i="29"/>
  <c r="BE10" i="29" s="1"/>
  <c r="BF10" i="29" s="1"/>
  <c r="I10" i="29"/>
  <c r="BB40" i="28"/>
  <c r="H40" i="28"/>
  <c r="BD29" i="30"/>
  <c r="I29" i="30"/>
  <c r="BB18" i="28"/>
  <c r="H18" i="28"/>
  <c r="BB14" i="28"/>
  <c r="H14" i="28"/>
  <c r="N67" i="28"/>
  <c r="P3" i="28"/>
  <c r="P67" i="28" s="1"/>
  <c r="AL67" i="28"/>
  <c r="AN3" i="28"/>
  <c r="AN67" i="28" s="1"/>
  <c r="BD47" i="30"/>
  <c r="I47" i="30"/>
  <c r="BC40" i="31"/>
  <c r="BE40" i="31" s="1"/>
  <c r="BF40" i="31" s="1"/>
  <c r="I40" i="31"/>
  <c r="BC18" i="31"/>
  <c r="BE18" i="31" s="1"/>
  <c r="BF18" i="31" s="1"/>
  <c r="I18" i="31"/>
  <c r="BC8" i="29"/>
  <c r="BE8" i="29" s="1"/>
  <c r="BF8" i="29" s="1"/>
  <c r="I8" i="29"/>
  <c r="BC20" i="31"/>
  <c r="BE20" i="31" s="1"/>
  <c r="BF20" i="31" s="1"/>
  <c r="I20" i="31"/>
  <c r="BC7" i="29"/>
  <c r="BE7" i="29" s="1"/>
  <c r="BF7" i="29" s="1"/>
  <c r="I7" i="29"/>
  <c r="BC26" i="29"/>
  <c r="BE26" i="29" s="1"/>
  <c r="BF26" i="29" s="1"/>
  <c r="I26" i="29"/>
  <c r="BC32" i="29"/>
  <c r="BE32" i="29" s="1"/>
  <c r="BF32" i="29" s="1"/>
  <c r="I32" i="29"/>
  <c r="BC66" i="29"/>
  <c r="BE66" i="29" s="1"/>
  <c r="BF66" i="29" s="1"/>
  <c r="I66" i="29"/>
  <c r="BC47" i="31"/>
  <c r="BE47" i="31" s="1"/>
  <c r="BF47" i="31" s="1"/>
  <c r="I47" i="31"/>
  <c r="BD63" i="30"/>
  <c r="I63" i="30"/>
  <c r="BC13" i="29"/>
  <c r="BE13" i="29" s="1"/>
  <c r="BF13" i="29" s="1"/>
  <c r="I13" i="29"/>
  <c r="BD8" i="30"/>
  <c r="I8" i="30"/>
  <c r="BD35" i="30"/>
  <c r="I35" i="30"/>
  <c r="BD23" i="30"/>
  <c r="I23" i="30"/>
  <c r="BD4" i="30"/>
  <c r="I4" i="30"/>
  <c r="BB52" i="28"/>
  <c r="H52" i="28"/>
  <c r="O67" i="31"/>
  <c r="Q3" i="31"/>
  <c r="Q67" i="31" s="1"/>
  <c r="BC26" i="31"/>
  <c r="BE26" i="31" s="1"/>
  <c r="BF26" i="31" s="1"/>
  <c r="I26" i="31"/>
  <c r="BC32" i="31"/>
  <c r="BE32" i="31" s="1"/>
  <c r="BF32" i="31" s="1"/>
  <c r="I32" i="31"/>
  <c r="K67" i="29"/>
  <c r="M3" i="29"/>
  <c r="M67" i="29" s="1"/>
  <c r="BC13" i="31"/>
  <c r="BE13" i="31" s="1"/>
  <c r="BF13" i="31" s="1"/>
  <c r="I13" i="31"/>
  <c r="BC49" i="31"/>
  <c r="BE49" i="31" s="1"/>
  <c r="BF49" i="31" s="1"/>
  <c r="I49" i="31"/>
  <c r="BC4" i="29"/>
  <c r="BE4" i="29" s="1"/>
  <c r="BF4" i="29" s="1"/>
  <c r="I4" i="29"/>
  <c r="BC50" i="29"/>
  <c r="BE50" i="29" s="1"/>
  <c r="BF50" i="29" s="1"/>
  <c r="I50" i="29"/>
  <c r="BC52" i="29"/>
  <c r="BE52" i="29" s="1"/>
  <c r="BF52" i="29" s="1"/>
  <c r="I52" i="29"/>
  <c r="BC64" i="31"/>
  <c r="BE64" i="31" s="1"/>
  <c r="BF64" i="31" s="1"/>
  <c r="I64" i="31"/>
  <c r="BB44" i="28"/>
  <c r="H44" i="28"/>
  <c r="BC62" i="29"/>
  <c r="BE62" i="29" s="1"/>
  <c r="BF62" i="29" s="1"/>
  <c r="I62" i="29"/>
  <c r="BB16" i="28"/>
  <c r="H16" i="28"/>
  <c r="BD37" i="30"/>
  <c r="I37" i="30"/>
  <c r="BC57" i="29"/>
  <c r="BE57" i="29" s="1"/>
  <c r="BF57" i="29" s="1"/>
  <c r="I57" i="29"/>
  <c r="BB15" i="28"/>
  <c r="H15" i="28"/>
  <c r="BD28" i="30"/>
  <c r="I28" i="30"/>
  <c r="BD5" i="30"/>
  <c r="I5" i="30"/>
  <c r="BC22" i="29"/>
  <c r="BE22" i="29" s="1"/>
  <c r="BF22" i="29" s="1"/>
  <c r="I22" i="29"/>
  <c r="K67" i="30"/>
  <c r="M3" i="30"/>
  <c r="M67" i="30" s="1"/>
  <c r="BB27" i="28"/>
  <c r="H27" i="28"/>
  <c r="BD41" i="30"/>
  <c r="I41" i="30"/>
  <c r="BC60" i="31"/>
  <c r="BE60" i="31" s="1"/>
  <c r="BF60" i="31" s="1"/>
  <c r="I60" i="31"/>
  <c r="BC38" i="29"/>
  <c r="BE38" i="29" s="1"/>
  <c r="BF38" i="29" s="1"/>
  <c r="I38" i="29"/>
  <c r="BD58" i="30"/>
  <c r="I58" i="30"/>
  <c r="BD51" i="30"/>
  <c r="I51" i="30"/>
  <c r="BC4" i="31"/>
  <c r="BE4" i="31" s="1"/>
  <c r="BF4" i="31" s="1"/>
  <c r="I4" i="31"/>
  <c r="BB46" i="28"/>
  <c r="H46" i="28"/>
  <c r="BD50" i="30"/>
  <c r="I50" i="30"/>
  <c r="BC36" i="29"/>
  <c r="BE36" i="29" s="1"/>
  <c r="BF36" i="29" s="1"/>
  <c r="I36" i="29"/>
  <c r="BD54" i="30"/>
  <c r="I54" i="30"/>
  <c r="BC36" i="31"/>
  <c r="BE36" i="31" s="1"/>
  <c r="BF36" i="31" s="1"/>
  <c r="I36" i="31"/>
  <c r="BC33" i="31"/>
  <c r="BE33" i="31" s="1"/>
  <c r="BF33" i="31" s="1"/>
  <c r="I33" i="31"/>
  <c r="BB32" i="28"/>
  <c r="H32" i="28"/>
  <c r="BB66" i="28"/>
  <c r="H66" i="28"/>
  <c r="BB64" i="28"/>
  <c r="H64" i="28"/>
  <c r="BC54" i="31"/>
  <c r="BE54" i="31" s="1"/>
  <c r="BF54" i="31" s="1"/>
  <c r="I54" i="31"/>
  <c r="BC9" i="31"/>
  <c r="BE9" i="31" s="1"/>
  <c r="BF9" i="31" s="1"/>
  <c r="I9" i="31"/>
  <c r="BC53" i="31"/>
  <c r="BE53" i="31" s="1"/>
  <c r="BF53" i="31" s="1"/>
  <c r="I53" i="31"/>
  <c r="BD20" i="30"/>
  <c r="I20" i="30"/>
  <c r="S67" i="31"/>
  <c r="U3" i="31"/>
  <c r="U67" i="31" s="1"/>
  <c r="BC63" i="31"/>
  <c r="BE63" i="31" s="1"/>
  <c r="BF63" i="31" s="1"/>
  <c r="I63" i="31"/>
  <c r="BB58" i="28"/>
  <c r="H58" i="28"/>
  <c r="BB51" i="28"/>
  <c r="H51" i="28"/>
  <c r="BC8" i="31"/>
  <c r="BE8" i="31" s="1"/>
  <c r="BF8" i="31" s="1"/>
  <c r="I8" i="31"/>
  <c r="BC35" i="31"/>
  <c r="BE35" i="31" s="1"/>
  <c r="BF35" i="31" s="1"/>
  <c r="I35" i="31"/>
  <c r="BC28" i="29"/>
  <c r="BE28" i="29" s="1"/>
  <c r="BF28" i="29" s="1"/>
  <c r="I28" i="29"/>
  <c r="BC7" i="31"/>
  <c r="BE7" i="31" s="1"/>
  <c r="BF7" i="31" s="1"/>
  <c r="I7" i="31"/>
  <c r="BB22" i="28"/>
  <c r="H22" i="28"/>
  <c r="BC44" i="29"/>
  <c r="BE44" i="29" s="1"/>
  <c r="BF44" i="29" s="1"/>
  <c r="I44" i="29"/>
  <c r="BC62" i="31"/>
  <c r="BE62" i="31" s="1"/>
  <c r="BF62" i="31" s="1"/>
  <c r="I62" i="31"/>
  <c r="BC16" i="29"/>
  <c r="BE16" i="29" s="1"/>
  <c r="BF16" i="29" s="1"/>
  <c r="I16" i="29"/>
  <c r="BC37" i="31"/>
  <c r="BE37" i="31" s="1"/>
  <c r="BF37" i="31" s="1"/>
  <c r="I37" i="31"/>
  <c r="BB57" i="28"/>
  <c r="H57" i="28"/>
  <c r="BC15" i="29"/>
  <c r="BE15" i="29" s="1"/>
  <c r="BF15" i="29" s="1"/>
  <c r="I15" i="29"/>
  <c r="BC28" i="31"/>
  <c r="BE28" i="31" s="1"/>
  <c r="BF28" i="31" s="1"/>
  <c r="I28" i="31"/>
  <c r="BC5" i="31"/>
  <c r="BE5" i="31" s="1"/>
  <c r="BF5" i="31" s="1"/>
  <c r="I5" i="31"/>
  <c r="BB30" i="28"/>
  <c r="H30" i="28"/>
  <c r="BD22" i="30"/>
  <c r="I22" i="30"/>
  <c r="K67" i="31"/>
  <c r="M3" i="31"/>
  <c r="M67" i="31" s="1"/>
  <c r="BB43" i="28"/>
  <c r="H43" i="28"/>
  <c r="BC27" i="29"/>
  <c r="BE27" i="29" s="1"/>
  <c r="BF27" i="29" s="1"/>
  <c r="I27" i="29"/>
  <c r="BC41" i="31"/>
  <c r="BE41" i="31" s="1"/>
  <c r="BF41" i="31" s="1"/>
  <c r="I41" i="31"/>
  <c r="BB24" i="28"/>
  <c r="H24" i="28"/>
  <c r="BD38" i="30"/>
  <c r="I38" i="30"/>
  <c r="BC58" i="31"/>
  <c r="BE58" i="31" s="1"/>
  <c r="BF58" i="31" s="1"/>
  <c r="I58" i="31"/>
  <c r="BC51" i="31"/>
  <c r="BE51" i="31" s="1"/>
  <c r="BF51" i="31" s="1"/>
  <c r="I51" i="31"/>
  <c r="BB59" i="28"/>
  <c r="H59" i="28"/>
  <c r="BC46" i="29"/>
  <c r="BE46" i="29" s="1"/>
  <c r="BF46" i="29" s="1"/>
  <c r="I46" i="29"/>
  <c r="BC50" i="31"/>
  <c r="BE50" i="31" s="1"/>
  <c r="BF50" i="31" s="1"/>
  <c r="I50" i="31"/>
  <c r="BD61" i="30"/>
  <c r="I61" i="30"/>
  <c r="BC39" i="29"/>
  <c r="BE39" i="29" s="1"/>
  <c r="BF39" i="29" s="1"/>
  <c r="I39" i="29"/>
  <c r="BB54" i="28"/>
  <c r="H54" i="28"/>
  <c r="BC6" i="31"/>
  <c r="BE6" i="31" s="1"/>
  <c r="BF6" i="31" s="1"/>
  <c r="I6" i="31"/>
  <c r="S67" i="29"/>
  <c r="U3" i="29"/>
  <c r="U67" i="29" s="1"/>
  <c r="BD55" i="30"/>
  <c r="I55" i="30"/>
  <c r="BB49" i="28"/>
  <c r="H49" i="28"/>
  <c r="BC23" i="29"/>
  <c r="BE23" i="29" s="1"/>
  <c r="BF23" i="29" s="1"/>
  <c r="I23" i="29"/>
  <c r="AM67" i="29"/>
  <c r="AO3" i="29"/>
  <c r="AO67" i="29" s="1"/>
  <c r="BC55" i="31"/>
  <c r="BE55" i="31" s="1"/>
  <c r="BF55" i="31" s="1"/>
  <c r="I55" i="31"/>
  <c r="BC49" i="29"/>
  <c r="BE49" i="29" s="1"/>
  <c r="BF49" i="29" s="1"/>
  <c r="I49" i="29"/>
  <c r="BC64" i="29"/>
  <c r="BE64" i="29" s="1"/>
  <c r="BF64" i="29" s="1"/>
  <c r="I64" i="29"/>
  <c r="BB28" i="28"/>
  <c r="H28" i="28"/>
  <c r="BB50" i="28"/>
  <c r="H50" i="28"/>
  <c r="BD64" i="30"/>
  <c r="I64" i="30"/>
  <c r="BC37" i="29"/>
  <c r="BE37" i="29" s="1"/>
  <c r="BF37" i="29" s="1"/>
  <c r="I37" i="29"/>
  <c r="BC66" i="31"/>
  <c r="BE66" i="31" s="1"/>
  <c r="BF66" i="31" s="1"/>
  <c r="I66" i="31"/>
  <c r="BB38" i="28"/>
  <c r="H38" i="28"/>
  <c r="BD16" i="30"/>
  <c r="I16" i="30"/>
  <c r="BD15" i="30"/>
  <c r="I15" i="30"/>
  <c r="BB31" i="28"/>
  <c r="H31" i="28"/>
  <c r="BC30" i="29"/>
  <c r="BE30" i="29" s="1"/>
  <c r="BF30" i="29" s="1"/>
  <c r="I30" i="29"/>
  <c r="BC22" i="31"/>
  <c r="BE22" i="31" s="1"/>
  <c r="BF22" i="31" s="1"/>
  <c r="I22" i="31"/>
  <c r="BC43" i="29"/>
  <c r="BE43" i="29" s="1"/>
  <c r="BF43" i="29" s="1"/>
  <c r="I43" i="29"/>
  <c r="BD27" i="30"/>
  <c r="I27" i="30"/>
  <c r="BC24" i="29"/>
  <c r="BE24" i="29" s="1"/>
  <c r="BF24" i="29" s="1"/>
  <c r="I24" i="29"/>
  <c r="BC38" i="31"/>
  <c r="BE38" i="31" s="1"/>
  <c r="BF38" i="31" s="1"/>
  <c r="I38" i="31"/>
  <c r="BC59" i="29"/>
  <c r="BE59" i="29" s="1"/>
  <c r="BF59" i="29" s="1"/>
  <c r="I59" i="29"/>
  <c r="BC48" i="29"/>
  <c r="BE48" i="29" s="1"/>
  <c r="BF48" i="29" s="1"/>
  <c r="I48" i="29"/>
  <c r="BD46" i="30"/>
  <c r="I46" i="30"/>
  <c r="BC65" i="29"/>
  <c r="BE65" i="29" s="1"/>
  <c r="BF65" i="29" s="1"/>
  <c r="I65" i="29"/>
  <c r="BC17" i="29"/>
  <c r="BE17" i="29" s="1"/>
  <c r="BF17" i="29" s="1"/>
  <c r="I17" i="29"/>
  <c r="BD11" i="30"/>
  <c r="I11" i="30"/>
  <c r="BC19" i="31"/>
  <c r="BE19" i="31" s="1"/>
  <c r="BF19" i="31" s="1"/>
  <c r="I19" i="31"/>
  <c r="AY67" i="31"/>
  <c r="BA3" i="31"/>
  <c r="BA67" i="31" s="1"/>
  <c r="BC20" i="29"/>
  <c r="BE20" i="29" s="1"/>
  <c r="BF20" i="29" s="1"/>
  <c r="I20" i="29"/>
  <c r="BC39" i="31"/>
  <c r="BE39" i="31" s="1"/>
  <c r="BF39" i="31" s="1"/>
  <c r="I39" i="31"/>
  <c r="BB23" i="28"/>
  <c r="H23" i="28"/>
  <c r="BC63" i="29"/>
  <c r="BE63" i="29" s="1"/>
  <c r="BF63" i="29" s="1"/>
  <c r="I63" i="29"/>
  <c r="BB13" i="28"/>
  <c r="H13" i="28"/>
  <c r="BB60" i="28"/>
  <c r="H60" i="28"/>
  <c r="BD53" i="30"/>
  <c r="I53" i="30"/>
  <c r="BC35" i="29"/>
  <c r="BE35" i="29" s="1"/>
  <c r="BF35" i="29" s="1"/>
  <c r="I35" i="29"/>
  <c r="BC60" i="29"/>
  <c r="BE60" i="29" s="1"/>
  <c r="BF60" i="29" s="1"/>
  <c r="I60" i="29"/>
  <c r="BB4" i="28"/>
  <c r="H4" i="28"/>
  <c r="BB5" i="28"/>
  <c r="H5" i="28"/>
  <c r="BD32" i="30"/>
  <c r="I32" i="30"/>
  <c r="BD66" i="30"/>
  <c r="I66" i="30"/>
  <c r="J67" i="28"/>
  <c r="L3" i="28"/>
  <c r="L67" i="28" s="1"/>
  <c r="BB41" i="28"/>
  <c r="H41" i="28"/>
  <c r="BC5" i="29"/>
  <c r="BE5" i="29" s="1"/>
  <c r="BF5" i="29" s="1"/>
  <c r="I5" i="29"/>
  <c r="BC51" i="29"/>
  <c r="BE51" i="29" s="1"/>
  <c r="BF51" i="29" s="1"/>
  <c r="I51" i="29"/>
  <c r="BB25" i="28"/>
  <c r="H25" i="28"/>
  <c r="BD57" i="30"/>
  <c r="I57" i="30"/>
  <c r="BC57" i="31"/>
  <c r="BE57" i="31" s="1"/>
  <c r="BF57" i="31" s="1"/>
  <c r="I57" i="31"/>
  <c r="BB61" i="28"/>
  <c r="H61" i="28"/>
  <c r="BC15" i="31"/>
  <c r="BE15" i="31" s="1"/>
  <c r="BF15" i="31" s="1"/>
  <c r="I15" i="31"/>
  <c r="BB6" i="28"/>
  <c r="H6" i="28"/>
  <c r="AX67" i="28"/>
  <c r="AZ3" i="28"/>
  <c r="AZ67" i="28" s="1"/>
  <c r="BB45" i="28"/>
  <c r="H45" i="28"/>
  <c r="C1" i="34"/>
  <c r="O1" i="34" s="1"/>
  <c r="P1" i="35" s="1"/>
  <c r="G3" i="31"/>
  <c r="G3" i="30"/>
  <c r="G3" i="29"/>
  <c r="F3" i="28"/>
  <c r="R70" i="1"/>
  <c r="BB34" i="28"/>
  <c r="H34" i="28"/>
  <c r="BC31" i="29"/>
  <c r="BE31" i="29" s="1"/>
  <c r="BF31" i="29" s="1"/>
  <c r="I31" i="29"/>
  <c r="BD30" i="30"/>
  <c r="I30" i="30"/>
  <c r="BD43" i="30"/>
  <c r="I43" i="30"/>
  <c r="BC27" i="31"/>
  <c r="BE27" i="31" s="1"/>
  <c r="BF27" i="31" s="1"/>
  <c r="I27" i="31"/>
  <c r="BB29" i="28"/>
  <c r="H29" i="28"/>
  <c r="BB21" i="28"/>
  <c r="H21" i="28"/>
  <c r="BD24" i="30"/>
  <c r="I24" i="30"/>
  <c r="BB11" i="28"/>
  <c r="H11" i="28"/>
  <c r="BD59" i="30"/>
  <c r="I59" i="30"/>
  <c r="BB48" i="28"/>
  <c r="H48" i="28"/>
  <c r="BC46" i="31"/>
  <c r="BE46" i="31" s="1"/>
  <c r="BF46" i="31" s="1"/>
  <c r="I46" i="31"/>
  <c r="BC42" i="29"/>
  <c r="BE42" i="29" s="1"/>
  <c r="BF42" i="29" s="1"/>
  <c r="I42" i="29"/>
  <c r="BD19" i="30"/>
  <c r="I19" i="30"/>
  <c r="BD6" i="30"/>
  <c r="I6" i="30"/>
  <c r="BD45" i="30"/>
  <c r="I45" i="30"/>
  <c r="BB12" i="28"/>
  <c r="H12" i="28"/>
  <c r="BC48" i="31"/>
  <c r="BE48" i="31" s="1"/>
  <c r="BF48" i="31" s="1"/>
  <c r="I48" i="31"/>
  <c r="BD42" i="30"/>
  <c r="I42" i="30"/>
  <c r="BC61" i="31"/>
  <c r="BE61" i="31" s="1"/>
  <c r="BF61" i="31" s="1"/>
  <c r="I61" i="31"/>
  <c r="BB35" i="28"/>
  <c r="H35" i="28"/>
  <c r="BB7" i="28"/>
  <c r="H7" i="28"/>
  <c r="BB26" i="28"/>
  <c r="H26" i="28"/>
  <c r="BD9" i="30"/>
  <c r="I9" i="30"/>
  <c r="BC12" i="31"/>
  <c r="BE12" i="31" s="1"/>
  <c r="BF12" i="31" s="1"/>
  <c r="I12" i="31"/>
  <c r="BC14" i="31"/>
  <c r="BE14" i="31" s="1"/>
  <c r="BF14" i="31" s="1"/>
  <c r="I14" i="31"/>
  <c r="BC56" i="31"/>
  <c r="BE56" i="31" s="1"/>
  <c r="BF56" i="31" s="1"/>
  <c r="I56" i="31"/>
  <c r="O67" i="29"/>
  <c r="Q3" i="29"/>
  <c r="Q67" i="29" s="1"/>
  <c r="S67" i="30"/>
  <c r="U3" i="30"/>
  <c r="U67" i="30" s="1"/>
  <c r="O67" i="30"/>
  <c r="Q3" i="30"/>
  <c r="Q67" i="30" s="1"/>
  <c r="BB62" i="28"/>
  <c r="H62" i="28"/>
  <c r="BB37" i="28"/>
  <c r="H37" i="28"/>
  <c r="BD7" i="30"/>
  <c r="I7" i="30"/>
  <c r="BD26" i="30"/>
  <c r="I26" i="30"/>
  <c r="AM67" i="30"/>
  <c r="AO3" i="30"/>
  <c r="AO67" i="30" s="1"/>
  <c r="BD13" i="30"/>
  <c r="I13" i="30"/>
  <c r="BD60" i="30"/>
  <c r="I60" i="30"/>
  <c r="BD49" i="30"/>
  <c r="I49" i="30"/>
  <c r="BD62" i="30"/>
  <c r="I62" i="30"/>
  <c r="BC23" i="31"/>
  <c r="BE23" i="31" s="1"/>
  <c r="BF23" i="31" s="1"/>
  <c r="I23" i="31"/>
  <c r="AM67" i="31"/>
  <c r="AO3" i="31"/>
  <c r="AO67" i="31" s="1"/>
  <c r="BC41" i="29"/>
  <c r="BE41" i="29" s="1"/>
  <c r="BF41" i="29" s="1"/>
  <c r="I41" i="29"/>
  <c r="BC58" i="29"/>
  <c r="BE58" i="29" s="1"/>
  <c r="BF58" i="29" s="1"/>
  <c r="I58" i="29"/>
  <c r="BD52" i="30"/>
  <c r="I52" i="30"/>
  <c r="BC52" i="31"/>
  <c r="BE52" i="31" s="1"/>
  <c r="BF52" i="31" s="1"/>
  <c r="I52" i="31"/>
  <c r="BC44" i="31"/>
  <c r="BE44" i="31" s="1"/>
  <c r="BF44" i="31" s="1"/>
  <c r="I44" i="31"/>
  <c r="BC25" i="29"/>
  <c r="BE25" i="29" s="1"/>
  <c r="BF25" i="29" s="1"/>
  <c r="I25" i="29"/>
  <c r="BD44" i="30"/>
  <c r="I44" i="30"/>
  <c r="BC16" i="31"/>
  <c r="BE16" i="31" s="1"/>
  <c r="BF16" i="31" s="1"/>
  <c r="I16" i="31"/>
  <c r="BB19" i="28"/>
  <c r="H19" i="28"/>
  <c r="BB42" i="28"/>
  <c r="H42" i="28"/>
  <c r="BD25" i="30"/>
  <c r="I25" i="30"/>
  <c r="BC19" i="29"/>
  <c r="BE19" i="29" s="1"/>
  <c r="BF19" i="29" s="1"/>
  <c r="I19" i="29"/>
  <c r="BC61" i="29"/>
  <c r="BE61" i="29" s="1"/>
  <c r="BF61" i="29" s="1"/>
  <c r="I61" i="29"/>
  <c r="BC6" i="29"/>
  <c r="BE6" i="29" s="1"/>
  <c r="BF6" i="29" s="1"/>
  <c r="I6" i="29"/>
  <c r="AY67" i="29"/>
  <c r="BA3" i="29"/>
  <c r="BA67" i="29" s="1"/>
  <c r="BC45" i="29"/>
  <c r="BE45" i="29" s="1"/>
  <c r="BF45" i="29" s="1"/>
  <c r="I45" i="29"/>
  <c r="BC34" i="29"/>
  <c r="BE34" i="29" s="1"/>
  <c r="BF34" i="29" s="1"/>
  <c r="I34" i="29"/>
  <c r="BD31" i="30"/>
  <c r="I31" i="30"/>
  <c r="BC30" i="31"/>
  <c r="BE30" i="31" s="1"/>
  <c r="BF30" i="31" s="1"/>
  <c r="I30" i="31"/>
  <c r="BB65" i="28"/>
  <c r="H65" i="28"/>
  <c r="BB10" i="28"/>
  <c r="H10" i="28"/>
  <c r="BC43" i="31"/>
  <c r="BE43" i="31" s="1"/>
  <c r="BF43" i="31" s="1"/>
  <c r="I43" i="31"/>
  <c r="BC29" i="29"/>
  <c r="BE29" i="29" s="1"/>
  <c r="BF29" i="29" s="1"/>
  <c r="I29" i="29"/>
  <c r="BC21" i="29"/>
  <c r="BE21" i="29" s="1"/>
  <c r="BF21" i="29" s="1"/>
  <c r="I21" i="29"/>
  <c r="BC24" i="31"/>
  <c r="BE24" i="31" s="1"/>
  <c r="BF24" i="31" s="1"/>
  <c r="I24" i="31"/>
  <c r="BB17" i="28"/>
  <c r="H17" i="28"/>
  <c r="BC11" i="29"/>
  <c r="BE11" i="29" s="1"/>
  <c r="BF11" i="29" s="1"/>
  <c r="I11" i="29"/>
  <c r="BC59" i="31"/>
  <c r="BE59" i="31" s="1"/>
  <c r="BF59" i="31" s="1"/>
  <c r="I59" i="31"/>
  <c r="BD48" i="30"/>
  <c r="I48" i="30"/>
  <c r="D25" i="37" l="1"/>
  <c r="F25" i="37" s="1"/>
  <c r="G25" i="37" s="1"/>
  <c r="BD26" i="28"/>
  <c r="BE26" i="28" s="1"/>
  <c r="D60" i="37"/>
  <c r="F60" i="37" s="1"/>
  <c r="G60" i="37" s="1"/>
  <c r="BD61" i="28"/>
  <c r="BE61" i="28" s="1"/>
  <c r="D63" i="37"/>
  <c r="F63" i="37" s="1"/>
  <c r="G63" i="37" s="1"/>
  <c r="BD64" i="28"/>
  <c r="BE64" i="28" s="1"/>
  <c r="D51" i="37"/>
  <c r="F51" i="37" s="1"/>
  <c r="G51" i="37" s="1"/>
  <c r="BD52" i="28"/>
  <c r="BE52" i="28" s="1"/>
  <c r="BF63" i="30"/>
  <c r="BH63" i="30" s="1"/>
  <c r="BG63" i="30"/>
  <c r="BI63" i="30" s="1"/>
  <c r="BG14" i="30"/>
  <c r="BI14" i="30" s="1"/>
  <c r="BF14" i="30"/>
  <c r="BH14" i="30" s="1"/>
  <c r="BF10" i="30"/>
  <c r="BH10" i="30" s="1"/>
  <c r="BG10" i="30"/>
  <c r="BI10" i="30" s="1"/>
  <c r="G67" i="29"/>
  <c r="BC3" i="29"/>
  <c r="I3" i="29"/>
  <c r="I67" i="29" s="1"/>
  <c r="D11" i="37"/>
  <c r="F11" i="37" s="1"/>
  <c r="G11" i="37" s="1"/>
  <c r="BD12" i="28"/>
  <c r="BE12" i="28" s="1"/>
  <c r="D49" i="37"/>
  <c r="F49" i="37" s="1"/>
  <c r="G49" i="37" s="1"/>
  <c r="BD50" i="28"/>
  <c r="BE50" i="28" s="1"/>
  <c r="BG5" i="30"/>
  <c r="BI5" i="30" s="1"/>
  <c r="BF5" i="30"/>
  <c r="BH5" i="30" s="1"/>
  <c r="D55" i="37"/>
  <c r="F55" i="37" s="1"/>
  <c r="G55" i="37" s="1"/>
  <c r="BD56" i="28"/>
  <c r="BE56" i="28" s="1"/>
  <c r="D62" i="37"/>
  <c r="F62" i="37" s="1"/>
  <c r="G62" i="37" s="1"/>
  <c r="BD63" i="28"/>
  <c r="BE63" i="28" s="1"/>
  <c r="BF33" i="30"/>
  <c r="BH33" i="30" s="1"/>
  <c r="BG33" i="30"/>
  <c r="BI33" i="30" s="1"/>
  <c r="D8" i="37"/>
  <c r="F8" i="37" s="1"/>
  <c r="G8" i="37" s="1"/>
  <c r="BD9" i="28"/>
  <c r="BE9" i="28" s="1"/>
  <c r="G67" i="31"/>
  <c r="BC3" i="31"/>
  <c r="I3" i="31"/>
  <c r="I67" i="31" s="1"/>
  <c r="BF48" i="30"/>
  <c r="BH48" i="30" s="1"/>
  <c r="BG48" i="30"/>
  <c r="BI48" i="30" s="1"/>
  <c r="BG25" i="30"/>
  <c r="BI25" i="30" s="1"/>
  <c r="BF25" i="30"/>
  <c r="BH25" i="30" s="1"/>
  <c r="BG26" i="30"/>
  <c r="BI26" i="30" s="1"/>
  <c r="BF26" i="30"/>
  <c r="BH26" i="30" s="1"/>
  <c r="D6" i="37"/>
  <c r="F6" i="37" s="1"/>
  <c r="G6" i="37" s="1"/>
  <c r="BD7" i="28"/>
  <c r="BE7" i="28" s="1"/>
  <c r="BG45" i="30"/>
  <c r="BI45" i="30" s="1"/>
  <c r="BF45" i="30"/>
  <c r="BH45" i="30" s="1"/>
  <c r="BF59" i="30"/>
  <c r="BH59" i="30" s="1"/>
  <c r="BG59" i="30"/>
  <c r="BI59" i="30" s="1"/>
  <c r="BF43" i="30"/>
  <c r="BH43" i="30" s="1"/>
  <c r="BG43" i="30"/>
  <c r="BI43" i="30" s="1"/>
  <c r="BF27" i="30"/>
  <c r="BH27" i="30" s="1"/>
  <c r="BG27" i="30"/>
  <c r="BI27" i="30" s="1"/>
  <c r="BG16" i="30"/>
  <c r="BI16" i="30" s="1"/>
  <c r="BF16" i="30"/>
  <c r="BH16" i="30" s="1"/>
  <c r="D27" i="37"/>
  <c r="F27" i="37" s="1"/>
  <c r="G27" i="37" s="1"/>
  <c r="BD28" i="28"/>
  <c r="BE28" i="28" s="1"/>
  <c r="D48" i="37"/>
  <c r="F48" i="37" s="1"/>
  <c r="G48" i="37" s="1"/>
  <c r="BD49" i="28"/>
  <c r="BE49" i="28" s="1"/>
  <c r="BG61" i="30"/>
  <c r="BI61" i="30" s="1"/>
  <c r="BF61" i="30"/>
  <c r="BH61" i="30" s="1"/>
  <c r="BG38" i="30"/>
  <c r="BI38" i="30" s="1"/>
  <c r="BF38" i="30"/>
  <c r="BH38" i="30" s="1"/>
  <c r="BG22" i="30"/>
  <c r="BI22" i="30" s="1"/>
  <c r="BF22" i="30"/>
  <c r="BH22" i="30" s="1"/>
  <c r="D65" i="37"/>
  <c r="F65" i="37" s="1"/>
  <c r="G65" i="37" s="1"/>
  <c r="BD66" i="28"/>
  <c r="BE66" i="28" s="1"/>
  <c r="BG50" i="30"/>
  <c r="BI50" i="30" s="1"/>
  <c r="BF50" i="30"/>
  <c r="BH50" i="30" s="1"/>
  <c r="BF28" i="30"/>
  <c r="BH28" i="30" s="1"/>
  <c r="BG28" i="30"/>
  <c r="BI28" i="30" s="1"/>
  <c r="D43" i="37"/>
  <c r="F43" i="37" s="1"/>
  <c r="G43" i="37" s="1"/>
  <c r="BD44" i="28"/>
  <c r="BE44" i="28" s="1"/>
  <c r="BG4" i="30"/>
  <c r="BI4" i="30" s="1"/>
  <c r="BF4" i="30"/>
  <c r="BH4" i="30" s="1"/>
  <c r="D13" i="37"/>
  <c r="F13" i="37" s="1"/>
  <c r="G13" i="37" s="1"/>
  <c r="BD14" i="28"/>
  <c r="BE14" i="28" s="1"/>
  <c r="D32" i="37"/>
  <c r="F32" i="37" s="1"/>
  <c r="G32" i="37" s="1"/>
  <c r="BD33" i="28"/>
  <c r="BE33" i="28" s="1"/>
  <c r="BF21" i="30"/>
  <c r="BH21" i="30" s="1"/>
  <c r="BG21" i="30"/>
  <c r="BI21" i="30" s="1"/>
  <c r="BG12" i="30"/>
  <c r="BI12" i="30" s="1"/>
  <c r="BF12" i="30"/>
  <c r="BH12" i="30" s="1"/>
  <c r="BF36" i="30"/>
  <c r="BH36" i="30" s="1"/>
  <c r="BG36" i="30"/>
  <c r="BI36" i="30" s="1"/>
  <c r="D52" i="37"/>
  <c r="F52" i="37" s="1"/>
  <c r="G52" i="37" s="1"/>
  <c r="BD53" i="28"/>
  <c r="BE53" i="28" s="1"/>
  <c r="BG65" i="30"/>
  <c r="BI65" i="30" s="1"/>
  <c r="BF65" i="30"/>
  <c r="BH65" i="30" s="1"/>
  <c r="D47" i="37"/>
  <c r="F47" i="37" s="1"/>
  <c r="G47" i="37" s="1"/>
  <c r="BD48" i="28"/>
  <c r="BE48" i="28" s="1"/>
  <c r="D40" i="37"/>
  <c r="F40" i="37" s="1"/>
  <c r="G40" i="37" s="1"/>
  <c r="BD41" i="28"/>
  <c r="BE41" i="28" s="1"/>
  <c r="D22" i="37"/>
  <c r="F22" i="37" s="1"/>
  <c r="G22" i="37" s="1"/>
  <c r="BD23" i="28"/>
  <c r="BE23" i="28" s="1"/>
  <c r="D56" i="37"/>
  <c r="F56" i="37" s="1"/>
  <c r="G56" i="37" s="1"/>
  <c r="BD57" i="28"/>
  <c r="BE57" i="28" s="1"/>
  <c r="D41" i="37"/>
  <c r="F41" i="37" s="1"/>
  <c r="G41" i="37" s="1"/>
  <c r="BD42" i="28"/>
  <c r="BE42" i="28" s="1"/>
  <c r="BG6" i="30"/>
  <c r="BI6" i="30" s="1"/>
  <c r="BF6" i="30"/>
  <c r="BH6" i="30" s="1"/>
  <c r="BF57" i="30"/>
  <c r="BH57" i="30" s="1"/>
  <c r="BG57" i="30"/>
  <c r="BI57" i="30" s="1"/>
  <c r="D37" i="37"/>
  <c r="F37" i="37" s="1"/>
  <c r="G37" i="37" s="1"/>
  <c r="BD38" i="28"/>
  <c r="BE38" i="28" s="1"/>
  <c r="BF55" i="30"/>
  <c r="BH55" i="30" s="1"/>
  <c r="BG55" i="30"/>
  <c r="BI55" i="30" s="1"/>
  <c r="D45" i="37"/>
  <c r="F45" i="37" s="1"/>
  <c r="G45" i="37" s="1"/>
  <c r="BD46" i="28"/>
  <c r="BE46" i="28" s="1"/>
  <c r="D9" i="37"/>
  <c r="F9" i="37" s="1"/>
  <c r="G9" i="37" s="1"/>
  <c r="BD10" i="28"/>
  <c r="BE10" i="28" s="1"/>
  <c r="D18" i="37"/>
  <c r="F18" i="37" s="1"/>
  <c r="G18" i="37" s="1"/>
  <c r="BD19" i="28"/>
  <c r="BE19" i="28" s="1"/>
  <c r="BF49" i="30"/>
  <c r="BH49" i="30" s="1"/>
  <c r="BG49" i="30"/>
  <c r="BI49" i="30" s="1"/>
  <c r="BG19" i="30"/>
  <c r="BI19" i="30" s="1"/>
  <c r="BF19" i="30"/>
  <c r="BH19" i="30" s="1"/>
  <c r="D24" i="37"/>
  <c r="F24" i="37" s="1"/>
  <c r="G24" i="37" s="1"/>
  <c r="BD25" i="28"/>
  <c r="BE25" i="28" s="1"/>
  <c r="D59" i="37"/>
  <c r="F59" i="37" s="1"/>
  <c r="G59" i="37" s="1"/>
  <c r="BD60" i="28"/>
  <c r="BE60" i="28" s="1"/>
  <c r="D26" i="37"/>
  <c r="F26" i="37" s="1"/>
  <c r="G26" i="37" s="1"/>
  <c r="BD27" i="28"/>
  <c r="BE27" i="28" s="1"/>
  <c r="BG35" i="30"/>
  <c r="BI35" i="30" s="1"/>
  <c r="BF35" i="30"/>
  <c r="BH35" i="30" s="1"/>
  <c r="BG29" i="30"/>
  <c r="BI29" i="30" s="1"/>
  <c r="BF29" i="30"/>
  <c r="BH29" i="30" s="1"/>
  <c r="D35" i="37"/>
  <c r="F35" i="37" s="1"/>
  <c r="G35" i="37" s="1"/>
  <c r="BD36" i="28"/>
  <c r="BE36" i="28" s="1"/>
  <c r="BG56" i="30"/>
  <c r="BI56" i="30" s="1"/>
  <c r="BF56" i="30"/>
  <c r="BH56" i="30" s="1"/>
  <c r="BF39" i="30"/>
  <c r="BH39" i="30" s="1"/>
  <c r="BG39" i="30"/>
  <c r="BI39" i="30" s="1"/>
  <c r="BG31" i="30"/>
  <c r="BI31" i="30" s="1"/>
  <c r="BF31" i="30"/>
  <c r="BH31" i="30" s="1"/>
  <c r="BG15" i="30"/>
  <c r="BI15" i="30" s="1"/>
  <c r="BF15" i="30"/>
  <c r="BH15" i="30" s="1"/>
  <c r="BF7" i="30"/>
  <c r="BH7" i="30" s="1"/>
  <c r="BG7" i="30"/>
  <c r="BI7" i="30" s="1"/>
  <c r="D44" i="37"/>
  <c r="F44" i="37" s="1"/>
  <c r="G44" i="37" s="1"/>
  <c r="BD45" i="28"/>
  <c r="BE45" i="28" s="1"/>
  <c r="D29" i="37"/>
  <c r="F29" i="37" s="1"/>
  <c r="G29" i="37" s="1"/>
  <c r="BD30" i="28"/>
  <c r="BE30" i="28" s="1"/>
  <c r="BF20" i="30"/>
  <c r="BH20" i="30" s="1"/>
  <c r="BG20" i="30"/>
  <c r="BI20" i="30" s="1"/>
  <c r="BF41" i="30"/>
  <c r="BH41" i="30" s="1"/>
  <c r="BG41" i="30"/>
  <c r="BI41" i="30" s="1"/>
  <c r="BF34" i="30"/>
  <c r="BH34" i="30" s="1"/>
  <c r="BG34" i="30"/>
  <c r="BI34" i="30" s="1"/>
  <c r="BF52" i="30"/>
  <c r="BH52" i="30" s="1"/>
  <c r="BG52" i="30"/>
  <c r="BI52" i="30" s="1"/>
  <c r="D36" i="37"/>
  <c r="F36" i="37" s="1"/>
  <c r="G36" i="37" s="1"/>
  <c r="BD37" i="28"/>
  <c r="BE37" i="28" s="1"/>
  <c r="BG24" i="30"/>
  <c r="BI24" i="30" s="1"/>
  <c r="BF24" i="30"/>
  <c r="BH24" i="30" s="1"/>
  <c r="BF32" i="30"/>
  <c r="BH32" i="30" s="1"/>
  <c r="BG32" i="30"/>
  <c r="BI32" i="30" s="1"/>
  <c r="D64" i="37"/>
  <c r="F64" i="37" s="1"/>
  <c r="G64" i="37" s="1"/>
  <c r="BD65" i="28"/>
  <c r="BE65" i="28" s="1"/>
  <c r="D61" i="37"/>
  <c r="F61" i="37" s="1"/>
  <c r="G61" i="37" s="1"/>
  <c r="BD62" i="28"/>
  <c r="BE62" i="28" s="1"/>
  <c r="D20" i="37"/>
  <c r="F20" i="37" s="1"/>
  <c r="G20" i="37" s="1"/>
  <c r="BD21" i="28"/>
  <c r="BE21" i="28" s="1"/>
  <c r="D33" i="37"/>
  <c r="F33" i="37" s="1"/>
  <c r="G33" i="37" s="1"/>
  <c r="BD34" i="28"/>
  <c r="BE34" i="28" s="1"/>
  <c r="D5" i="37"/>
  <c r="F5" i="37" s="1"/>
  <c r="G5" i="37" s="1"/>
  <c r="BD6" i="28"/>
  <c r="BE6" i="28" s="1"/>
  <c r="D4" i="37"/>
  <c r="F4" i="37" s="1"/>
  <c r="G4" i="37" s="1"/>
  <c r="BD5" i="28"/>
  <c r="BE5" i="28" s="1"/>
  <c r="D12" i="37"/>
  <c r="F12" i="37" s="1"/>
  <c r="G12" i="37" s="1"/>
  <c r="BD13" i="28"/>
  <c r="BE13" i="28" s="1"/>
  <c r="D58" i="37"/>
  <c r="F58" i="37" s="1"/>
  <c r="G58" i="37" s="1"/>
  <c r="BD59" i="28"/>
  <c r="BE59" i="28" s="1"/>
  <c r="D50" i="37"/>
  <c r="F50" i="37" s="1"/>
  <c r="G50" i="37" s="1"/>
  <c r="BD51" i="28"/>
  <c r="BE51" i="28" s="1"/>
  <c r="BF51" i="30"/>
  <c r="BH51" i="30" s="1"/>
  <c r="BG51" i="30"/>
  <c r="BI51" i="30" s="1"/>
  <c r="BG37" i="30"/>
  <c r="BI37" i="30" s="1"/>
  <c r="BF37" i="30"/>
  <c r="BH37" i="30" s="1"/>
  <c r="BG8" i="30"/>
  <c r="BI8" i="30" s="1"/>
  <c r="BF8" i="30"/>
  <c r="BH8" i="30" s="1"/>
  <c r="BG47" i="30"/>
  <c r="BI47" i="30" s="1"/>
  <c r="BF47" i="30"/>
  <c r="BH47" i="30" s="1"/>
  <c r="D39" i="37"/>
  <c r="F39" i="37" s="1"/>
  <c r="G39" i="37" s="1"/>
  <c r="BD40" i="28"/>
  <c r="BE40" i="28" s="1"/>
  <c r="D38" i="37"/>
  <c r="F38" i="37" s="1"/>
  <c r="G38" i="37" s="1"/>
  <c r="BD39" i="28"/>
  <c r="BE39" i="28" s="1"/>
  <c r="D7" i="37"/>
  <c r="F7" i="37" s="1"/>
  <c r="G7" i="37" s="1"/>
  <c r="BD8" i="28"/>
  <c r="BE8" i="28" s="1"/>
  <c r="BG18" i="30"/>
  <c r="BI18" i="30" s="1"/>
  <c r="BF18" i="30"/>
  <c r="BH18" i="30" s="1"/>
  <c r="D19" i="37"/>
  <c r="F19" i="37" s="1"/>
  <c r="G19" i="37" s="1"/>
  <c r="BD20" i="28"/>
  <c r="BE20" i="28" s="1"/>
  <c r="D34" i="37"/>
  <c r="F34" i="37" s="1"/>
  <c r="G34" i="37" s="1"/>
  <c r="BD35" i="28"/>
  <c r="BE35" i="28" s="1"/>
  <c r="BF30" i="30"/>
  <c r="BH30" i="30" s="1"/>
  <c r="BG30" i="30"/>
  <c r="BI30" i="30" s="1"/>
  <c r="BF66" i="30"/>
  <c r="BH66" i="30" s="1"/>
  <c r="BG66" i="30"/>
  <c r="BI66" i="30" s="1"/>
  <c r="BF46" i="30"/>
  <c r="BH46" i="30" s="1"/>
  <c r="BG46" i="30"/>
  <c r="BI46" i="30" s="1"/>
  <c r="D23" i="37"/>
  <c r="F23" i="37" s="1"/>
  <c r="G23" i="37" s="1"/>
  <c r="BD24" i="28"/>
  <c r="BE24" i="28" s="1"/>
  <c r="D16" i="37"/>
  <c r="F16" i="37" s="1"/>
  <c r="G16" i="37" s="1"/>
  <c r="BD17" i="28"/>
  <c r="BE17" i="28" s="1"/>
  <c r="BF60" i="30"/>
  <c r="BH60" i="30" s="1"/>
  <c r="BG60" i="30"/>
  <c r="BI60" i="30" s="1"/>
  <c r="BG42" i="30"/>
  <c r="BI42" i="30" s="1"/>
  <c r="BF42" i="30"/>
  <c r="BH42" i="30" s="1"/>
  <c r="G67" i="30"/>
  <c r="BD3" i="30"/>
  <c r="I3" i="30"/>
  <c r="I67" i="30" s="1"/>
  <c r="BG62" i="30"/>
  <c r="BI62" i="30" s="1"/>
  <c r="BF62" i="30"/>
  <c r="BH62" i="30" s="1"/>
  <c r="D10" i="37"/>
  <c r="F10" i="37" s="1"/>
  <c r="G10" i="37" s="1"/>
  <c r="BD11" i="28"/>
  <c r="BE11" i="28" s="1"/>
  <c r="BG53" i="30"/>
  <c r="BI53" i="30" s="1"/>
  <c r="BF53" i="30"/>
  <c r="BH53" i="30" s="1"/>
  <c r="D31" i="37"/>
  <c r="F31" i="37" s="1"/>
  <c r="G31" i="37" s="1"/>
  <c r="BD32" i="28"/>
  <c r="BE32" i="28" s="1"/>
  <c r="D14" i="37"/>
  <c r="F14" i="37" s="1"/>
  <c r="G14" i="37" s="1"/>
  <c r="BD15" i="28"/>
  <c r="BE15" i="28" s="1"/>
  <c r="BF23" i="30"/>
  <c r="BH23" i="30" s="1"/>
  <c r="BG23" i="30"/>
  <c r="BI23" i="30" s="1"/>
  <c r="D17" i="37"/>
  <c r="F17" i="37" s="1"/>
  <c r="G17" i="37" s="1"/>
  <c r="BD18" i="28"/>
  <c r="BE18" i="28" s="1"/>
  <c r="D54" i="37"/>
  <c r="F54" i="37" s="1"/>
  <c r="G54" i="37" s="1"/>
  <c r="BD55" i="28"/>
  <c r="BE55" i="28" s="1"/>
  <c r="BG44" i="30"/>
  <c r="BI44" i="30" s="1"/>
  <c r="BF44" i="30"/>
  <c r="BH44" i="30" s="1"/>
  <c r="BF13" i="30"/>
  <c r="BH13" i="30" s="1"/>
  <c r="BG13" i="30"/>
  <c r="BI13" i="30" s="1"/>
  <c r="BF9" i="30"/>
  <c r="BH9" i="30" s="1"/>
  <c r="BG9" i="30"/>
  <c r="BI9" i="30" s="1"/>
  <c r="D28" i="37"/>
  <c r="F28" i="37" s="1"/>
  <c r="G28" i="37" s="1"/>
  <c r="BD29" i="28"/>
  <c r="BE29" i="28" s="1"/>
  <c r="F67" i="28"/>
  <c r="BB3" i="28"/>
  <c r="H3" i="28"/>
  <c r="H67" i="28" s="1"/>
  <c r="D3" i="37"/>
  <c r="F3" i="37" s="1"/>
  <c r="G3" i="37" s="1"/>
  <c r="BD4" i="28"/>
  <c r="BE4" i="28" s="1"/>
  <c r="BF11" i="30"/>
  <c r="BH11" i="30" s="1"/>
  <c r="BG11" i="30"/>
  <c r="BI11" i="30" s="1"/>
  <c r="D30" i="37"/>
  <c r="F30" i="37" s="1"/>
  <c r="G30" i="37" s="1"/>
  <c r="BD31" i="28"/>
  <c r="BE31" i="28" s="1"/>
  <c r="BG64" i="30"/>
  <c r="BI64" i="30" s="1"/>
  <c r="BF64" i="30"/>
  <c r="BH64" i="30" s="1"/>
  <c r="D53" i="37"/>
  <c r="F53" i="37" s="1"/>
  <c r="G53" i="37" s="1"/>
  <c r="BD54" i="28"/>
  <c r="BE54" i="28" s="1"/>
  <c r="D42" i="37"/>
  <c r="F42" i="37" s="1"/>
  <c r="G42" i="37" s="1"/>
  <c r="BD43" i="28"/>
  <c r="BE43" i="28" s="1"/>
  <c r="D21" i="37"/>
  <c r="F21" i="37" s="1"/>
  <c r="G21" i="37" s="1"/>
  <c r="BD22" i="28"/>
  <c r="BE22" i="28" s="1"/>
  <c r="D57" i="37"/>
  <c r="F57" i="37" s="1"/>
  <c r="G57" i="37" s="1"/>
  <c r="BD58" i="28"/>
  <c r="BE58" i="28" s="1"/>
  <c r="BG54" i="30"/>
  <c r="BI54" i="30" s="1"/>
  <c r="BF54" i="30"/>
  <c r="BH54" i="30" s="1"/>
  <c r="BG58" i="30"/>
  <c r="BI58" i="30" s="1"/>
  <c r="BF58" i="30"/>
  <c r="BH58" i="30" s="1"/>
  <c r="D15" i="37"/>
  <c r="F15" i="37" s="1"/>
  <c r="G15" i="37" s="1"/>
  <c r="BD16" i="28"/>
  <c r="BE16" i="28" s="1"/>
  <c r="BG40" i="30"/>
  <c r="BI40" i="30" s="1"/>
  <c r="BF40" i="30"/>
  <c r="BH40" i="30" s="1"/>
  <c r="BF17" i="30"/>
  <c r="BH17" i="30" s="1"/>
  <c r="BG17" i="30"/>
  <c r="BI17" i="30" s="1"/>
  <c r="D46" i="37"/>
  <c r="F46" i="37" s="1"/>
  <c r="G46" i="37" s="1"/>
  <c r="BD47" i="28"/>
  <c r="BE47" i="28" s="1"/>
  <c r="BI66" i="9"/>
  <c r="AW66" i="9"/>
  <c r="AK66" i="9"/>
  <c r="Y66" i="9"/>
  <c r="M66" i="9"/>
  <c r="A66" i="9"/>
  <c r="AX65" i="9"/>
  <c r="AL65" i="9"/>
  <c r="Z65" i="9"/>
  <c r="N65" i="9"/>
  <c r="B65" i="9"/>
  <c r="AY64" i="9"/>
  <c r="AM64" i="9"/>
  <c r="AA64" i="9"/>
  <c r="O64" i="9"/>
  <c r="C64" i="9"/>
  <c r="AZ63" i="9"/>
  <c r="AN63" i="9"/>
  <c r="AB63" i="9"/>
  <c r="P63" i="9"/>
  <c r="D63" i="9"/>
  <c r="BA62" i="9"/>
  <c r="AO62" i="9"/>
  <c r="AC62" i="9"/>
  <c r="Q62" i="9"/>
  <c r="E62" i="9"/>
  <c r="BB61" i="9"/>
  <c r="AP61" i="9"/>
  <c r="AD61" i="9"/>
  <c r="R61" i="9"/>
  <c r="F61" i="9"/>
  <c r="BC60" i="9"/>
  <c r="AQ60" i="9"/>
  <c r="AE60" i="9"/>
  <c r="S60" i="9"/>
  <c r="G60" i="9"/>
  <c r="BD59" i="9"/>
  <c r="AR59" i="9"/>
  <c r="AF59" i="9"/>
  <c r="BH66" i="9"/>
  <c r="AV66" i="9"/>
  <c r="AJ66" i="9"/>
  <c r="X66" i="9"/>
  <c r="L66" i="9"/>
  <c r="BI65" i="9"/>
  <c r="AW65" i="9"/>
  <c r="AK65" i="9"/>
  <c r="Y65" i="9"/>
  <c r="M65" i="9"/>
  <c r="A65" i="9"/>
  <c r="AX64" i="9"/>
  <c r="AL64" i="9"/>
  <c r="Z64" i="9"/>
  <c r="N64" i="9"/>
  <c r="B64" i="9"/>
  <c r="AY63" i="9"/>
  <c r="AM63" i="9"/>
  <c r="AA63" i="9"/>
  <c r="O63" i="9"/>
  <c r="C63" i="9"/>
  <c r="AZ62" i="9"/>
  <c r="AN62" i="9"/>
  <c r="AB62" i="9"/>
  <c r="P62" i="9"/>
  <c r="D62" i="9"/>
  <c r="BA61" i="9"/>
  <c r="AO61" i="9"/>
  <c r="AC61" i="9"/>
  <c r="Q61" i="9"/>
  <c r="E61" i="9"/>
  <c r="BB60" i="9"/>
  <c r="AP60" i="9"/>
  <c r="AD60" i="9"/>
  <c r="R60" i="9"/>
  <c r="F60" i="9"/>
  <c r="BC59" i="9"/>
  <c r="AQ59" i="9"/>
  <c r="AE59" i="9"/>
  <c r="S59" i="9"/>
  <c r="G59" i="9"/>
  <c r="BD58" i="9"/>
  <c r="AR58" i="9"/>
  <c r="AF58" i="9"/>
  <c r="T58" i="9"/>
  <c r="H58" i="9"/>
  <c r="BE57" i="9"/>
  <c r="AS57" i="9"/>
  <c r="AG57" i="9"/>
  <c r="U57" i="9"/>
  <c r="I57" i="9"/>
  <c r="BF56" i="9"/>
  <c r="AT56" i="9"/>
  <c r="AH56" i="9"/>
  <c r="V56" i="9"/>
  <c r="J56" i="9"/>
  <c r="BG55" i="9"/>
  <c r="AU55" i="9"/>
  <c r="AI55" i="9"/>
  <c r="W55" i="9"/>
  <c r="K55" i="9"/>
  <c r="BH54" i="9"/>
  <c r="AV54" i="9"/>
  <c r="AJ54" i="9"/>
  <c r="X54" i="9"/>
  <c r="L54" i="9"/>
  <c r="BI53" i="9"/>
  <c r="AW53" i="9"/>
  <c r="AK53" i="9"/>
  <c r="Y53" i="9"/>
  <c r="M53" i="9"/>
  <c r="A53" i="9"/>
  <c r="AX52" i="9"/>
  <c r="AL52" i="9"/>
  <c r="Z52" i="9"/>
  <c r="N52" i="9"/>
  <c r="B52" i="9"/>
  <c r="AY51" i="9"/>
  <c r="AM51" i="9"/>
  <c r="AA51" i="9"/>
  <c r="O51" i="9"/>
  <c r="C51" i="9"/>
  <c r="AZ50" i="9"/>
  <c r="AN50" i="9"/>
  <c r="AB50" i="9"/>
  <c r="P50" i="9"/>
  <c r="D50" i="9"/>
  <c r="BA49" i="9"/>
  <c r="AO49" i="9"/>
  <c r="AC49" i="9"/>
  <c r="Q49" i="9"/>
  <c r="E49" i="9"/>
  <c r="BB48" i="9"/>
  <c r="AP48" i="9"/>
  <c r="AD48" i="9"/>
  <c r="R48" i="9"/>
  <c r="F48" i="9"/>
  <c r="BC47" i="9"/>
  <c r="AQ47" i="9"/>
  <c r="AE47" i="9"/>
  <c r="S47" i="9"/>
  <c r="G47" i="9"/>
  <c r="BD46" i="9"/>
  <c r="AR46" i="9"/>
  <c r="AF46" i="9"/>
  <c r="T46" i="9"/>
  <c r="H46" i="9"/>
  <c r="BE45" i="9"/>
  <c r="AS45" i="9"/>
  <c r="AG45" i="9"/>
  <c r="U45" i="9"/>
  <c r="I45" i="9"/>
  <c r="BF44" i="9"/>
  <c r="AT44" i="9"/>
  <c r="AH44" i="9"/>
  <c r="V44" i="9"/>
  <c r="J44" i="9"/>
  <c r="BG43" i="9"/>
  <c r="AU43" i="9"/>
  <c r="AI43" i="9"/>
  <c r="W43" i="9"/>
  <c r="K43" i="9"/>
  <c r="BH42" i="9"/>
  <c r="AV42" i="9"/>
  <c r="AJ42" i="9"/>
  <c r="X42" i="9"/>
  <c r="L42" i="9"/>
  <c r="BI41" i="9"/>
  <c r="AW41" i="9"/>
  <c r="AK41" i="9"/>
  <c r="Y41" i="9"/>
  <c r="M41" i="9"/>
  <c r="A41" i="9"/>
  <c r="AX40" i="9"/>
  <c r="AL40" i="9"/>
  <c r="Z40" i="9"/>
  <c r="N40" i="9"/>
  <c r="B40" i="9"/>
  <c r="AY39" i="9"/>
  <c r="AM39" i="9"/>
  <c r="AA39" i="9"/>
  <c r="O39" i="9"/>
  <c r="C39" i="9"/>
  <c r="AZ38" i="9"/>
  <c r="AN38" i="9"/>
  <c r="AB38" i="9"/>
  <c r="P38" i="9"/>
  <c r="D38" i="9"/>
  <c r="BA37" i="9"/>
  <c r="AO37" i="9"/>
  <c r="AC37" i="9"/>
  <c r="Q37" i="9"/>
  <c r="E37" i="9"/>
  <c r="BB36" i="9"/>
  <c r="AP36" i="9"/>
  <c r="AD36" i="9"/>
  <c r="R36" i="9"/>
  <c r="F36" i="9"/>
  <c r="BC35" i="9"/>
  <c r="AQ35" i="9"/>
  <c r="AE35" i="9"/>
  <c r="S35" i="9"/>
  <c r="G35" i="9"/>
  <c r="BD34" i="9"/>
  <c r="AR34" i="9"/>
  <c r="AF34" i="9"/>
  <c r="T34" i="9"/>
  <c r="H34" i="9"/>
  <c r="BE33" i="9"/>
  <c r="AS33" i="9"/>
  <c r="AG33" i="9"/>
  <c r="U33" i="9"/>
  <c r="I33" i="9"/>
  <c r="BF32" i="9"/>
  <c r="AT32" i="9"/>
  <c r="AH32" i="9"/>
  <c r="V32" i="9"/>
  <c r="J32" i="9"/>
  <c r="BG31" i="9"/>
  <c r="AU31" i="9"/>
  <c r="AI31" i="9"/>
  <c r="W31" i="9"/>
  <c r="K31" i="9"/>
  <c r="BH30" i="9"/>
  <c r="AV30" i="9"/>
  <c r="AJ30" i="9"/>
  <c r="X30" i="9"/>
  <c r="L30" i="9"/>
  <c r="BI29" i="9"/>
  <c r="AW29" i="9"/>
  <c r="AK29" i="9"/>
  <c r="Y29" i="9"/>
  <c r="M29" i="9"/>
  <c r="A29" i="9"/>
  <c r="AX28" i="9"/>
  <c r="AL28" i="9"/>
  <c r="Z28" i="9"/>
  <c r="N28" i="9"/>
  <c r="B28" i="9"/>
  <c r="AY27" i="9"/>
  <c r="AM27" i="9"/>
  <c r="AA27" i="9"/>
  <c r="O27" i="9"/>
  <c r="C27" i="9"/>
  <c r="AZ26" i="9"/>
  <c r="AN26" i="9"/>
  <c r="AB26" i="9"/>
  <c r="P26" i="9"/>
  <c r="D26" i="9"/>
  <c r="BA25" i="9"/>
  <c r="AO25" i="9"/>
  <c r="AC25" i="9"/>
  <c r="Q25" i="9"/>
  <c r="E25" i="9"/>
  <c r="BB24" i="9"/>
  <c r="AP24" i="9"/>
  <c r="AD24" i="9"/>
  <c r="R24" i="9"/>
  <c r="F24" i="9"/>
  <c r="BC23" i="9"/>
  <c r="AQ23" i="9"/>
  <c r="AE23" i="9"/>
  <c r="S23" i="9"/>
  <c r="G23" i="9"/>
  <c r="BD22" i="9"/>
  <c r="BG66" i="9"/>
  <c r="AU66" i="9"/>
  <c r="AI66" i="9"/>
  <c r="W66" i="9"/>
  <c r="K66" i="9"/>
  <c r="BH65" i="9"/>
  <c r="AV65" i="9"/>
  <c r="AJ65" i="9"/>
  <c r="X65" i="9"/>
  <c r="BF66" i="9"/>
  <c r="AT66" i="9"/>
  <c r="AH66" i="9"/>
  <c r="V66" i="9"/>
  <c r="J66" i="9"/>
  <c r="BG65" i="9"/>
  <c r="AU65" i="9"/>
  <c r="AI65" i="9"/>
  <c r="W65" i="9"/>
  <c r="K65" i="9"/>
  <c r="BH64" i="9"/>
  <c r="AV64" i="9"/>
  <c r="AJ64" i="9"/>
  <c r="X64" i="9"/>
  <c r="L64" i="9"/>
  <c r="BI63" i="9"/>
  <c r="AW63" i="9"/>
  <c r="AK63" i="9"/>
  <c r="Y63" i="9"/>
  <c r="M63" i="9"/>
  <c r="A63" i="9"/>
  <c r="AX62" i="9"/>
  <c r="AL62" i="9"/>
  <c r="Z62" i="9"/>
  <c r="N62" i="9"/>
  <c r="B62" i="9"/>
  <c r="AY61" i="9"/>
  <c r="AM61" i="9"/>
  <c r="AA61" i="9"/>
  <c r="O61" i="9"/>
  <c r="C61" i="9"/>
  <c r="AZ60" i="9"/>
  <c r="AN60" i="9"/>
  <c r="AB60" i="9"/>
  <c r="P60" i="9"/>
  <c r="D60" i="9"/>
  <c r="BA59" i="9"/>
  <c r="BE66" i="9"/>
  <c r="AS66" i="9"/>
  <c r="AG66" i="9"/>
  <c r="U66" i="9"/>
  <c r="I66" i="9"/>
  <c r="BF65" i="9"/>
  <c r="AT65" i="9"/>
  <c r="AH65" i="9"/>
  <c r="V65" i="9"/>
  <c r="J65" i="9"/>
  <c r="BG64" i="9"/>
  <c r="AU64" i="9"/>
  <c r="AI64" i="9"/>
  <c r="W64" i="9"/>
  <c r="K64" i="9"/>
  <c r="BH63" i="9"/>
  <c r="AV63" i="9"/>
  <c r="AJ63" i="9"/>
  <c r="X63" i="9"/>
  <c r="L63" i="9"/>
  <c r="BI62" i="9"/>
  <c r="AW62" i="9"/>
  <c r="AK62" i="9"/>
  <c r="Y62" i="9"/>
  <c r="M62" i="9"/>
  <c r="A62" i="9"/>
  <c r="AX61" i="9"/>
  <c r="AL61" i="9"/>
  <c r="Z61" i="9"/>
  <c r="N61" i="9"/>
  <c r="B61" i="9"/>
  <c r="AY60" i="9"/>
  <c r="AM60" i="9"/>
  <c r="AA60" i="9"/>
  <c r="O60" i="9"/>
  <c r="C60" i="9"/>
  <c r="AZ59" i="9"/>
  <c r="AN59" i="9"/>
  <c r="AB59" i="9"/>
  <c r="P59" i="9"/>
  <c r="D59" i="9"/>
  <c r="BA58" i="9"/>
  <c r="AO58" i="9"/>
  <c r="AC58" i="9"/>
  <c r="Q58" i="9"/>
  <c r="E58" i="9"/>
  <c r="BB57" i="9"/>
  <c r="AP57" i="9"/>
  <c r="AD57" i="9"/>
  <c r="R57" i="9"/>
  <c r="F57" i="9"/>
  <c r="BC56" i="9"/>
  <c r="AQ56" i="9"/>
  <c r="AE56" i="9"/>
  <c r="S56" i="9"/>
  <c r="G56" i="9"/>
  <c r="BD55" i="9"/>
  <c r="AR55" i="9"/>
  <c r="AF55" i="9"/>
  <c r="T55" i="9"/>
  <c r="H55" i="9"/>
  <c r="BE54" i="9"/>
  <c r="AS54" i="9"/>
  <c r="AG54" i="9"/>
  <c r="U54" i="9"/>
  <c r="I54" i="9"/>
  <c r="BF53" i="9"/>
  <c r="AT53" i="9"/>
  <c r="AH53" i="9"/>
  <c r="V53" i="9"/>
  <c r="J53" i="9"/>
  <c r="BG52" i="9"/>
  <c r="AU52" i="9"/>
  <c r="AI52" i="9"/>
  <c r="W52" i="9"/>
  <c r="K52" i="9"/>
  <c r="BH51" i="9"/>
  <c r="AV51" i="9"/>
  <c r="AJ51" i="9"/>
  <c r="X51" i="9"/>
  <c r="L51" i="9"/>
  <c r="BI50" i="9"/>
  <c r="AW50" i="9"/>
  <c r="AK50" i="9"/>
  <c r="Y50" i="9"/>
  <c r="M50" i="9"/>
  <c r="A50" i="9"/>
  <c r="AX49" i="9"/>
  <c r="AL49" i="9"/>
  <c r="Z49" i="9"/>
  <c r="N49" i="9"/>
  <c r="B49" i="9"/>
  <c r="AY48" i="9"/>
  <c r="AM48" i="9"/>
  <c r="AA48" i="9"/>
  <c r="O48" i="9"/>
  <c r="C48" i="9"/>
  <c r="AZ47" i="9"/>
  <c r="AN47" i="9"/>
  <c r="AB47" i="9"/>
  <c r="P47" i="9"/>
  <c r="D47" i="9"/>
  <c r="BA46" i="9"/>
  <c r="AO46" i="9"/>
  <c r="AC46" i="9"/>
  <c r="Q46" i="9"/>
  <c r="E46" i="9"/>
  <c r="BB45" i="9"/>
  <c r="AR66" i="9"/>
  <c r="AA66" i="9"/>
  <c r="E66" i="9"/>
  <c r="AR65" i="9"/>
  <c r="AA65" i="9"/>
  <c r="F65" i="9"/>
  <c r="AW64" i="9"/>
  <c r="AE64" i="9"/>
  <c r="M64" i="9"/>
  <c r="BD63" i="9"/>
  <c r="AL63" i="9"/>
  <c r="T63" i="9"/>
  <c r="B63" i="9"/>
  <c r="AS62" i="9"/>
  <c r="AA62" i="9"/>
  <c r="I62" i="9"/>
  <c r="AZ61" i="9"/>
  <c r="AH61" i="9"/>
  <c r="P61" i="9"/>
  <c r="BG60" i="9"/>
  <c r="AO60" i="9"/>
  <c r="W60" i="9"/>
  <c r="E60" i="9"/>
  <c r="AP66" i="9"/>
  <c r="T66" i="9"/>
  <c r="C66" i="9"/>
  <c r="AP65" i="9"/>
  <c r="T65" i="9"/>
  <c r="D65" i="9"/>
  <c r="AS64" i="9"/>
  <c r="AC64" i="9"/>
  <c r="I64" i="9"/>
  <c r="BB63" i="9"/>
  <c r="AH63" i="9"/>
  <c r="R63" i="9"/>
  <c r="BG62" i="9"/>
  <c r="AQ62" i="9"/>
  <c r="W62" i="9"/>
  <c r="G62" i="9"/>
  <c r="AV61" i="9"/>
  <c r="AF61" i="9"/>
  <c r="L61" i="9"/>
  <c r="BE60" i="9"/>
  <c r="AK60" i="9"/>
  <c r="U60" i="9"/>
  <c r="A60" i="9"/>
  <c r="AT59" i="9"/>
  <c r="AC59" i="9"/>
  <c r="N59" i="9"/>
  <c r="BI58" i="9"/>
  <c r="AU58" i="9"/>
  <c r="AG58" i="9"/>
  <c r="R58" i="9"/>
  <c r="C58" i="9"/>
  <c r="AX57" i="9"/>
  <c r="AJ57" i="9"/>
  <c r="V57" i="9"/>
  <c r="G57" i="9"/>
  <c r="BA56" i="9"/>
  <c r="AM56" i="9"/>
  <c r="Y56" i="9"/>
  <c r="K56" i="9"/>
  <c r="BE55" i="9"/>
  <c r="AP55" i="9"/>
  <c r="AB55" i="9"/>
  <c r="AO66" i="9"/>
  <c r="S66" i="9"/>
  <c r="B66" i="9"/>
  <c r="AO65" i="9"/>
  <c r="S65" i="9"/>
  <c r="C65" i="9"/>
  <c r="AR64" i="9"/>
  <c r="AB64" i="9"/>
  <c r="H64" i="9"/>
  <c r="BA63" i="9"/>
  <c r="AG63" i="9"/>
  <c r="Q63" i="9"/>
  <c r="BF62" i="9"/>
  <c r="AP62" i="9"/>
  <c r="V62" i="9"/>
  <c r="F62" i="9"/>
  <c r="AU61" i="9"/>
  <c r="AE61" i="9"/>
  <c r="K61" i="9"/>
  <c r="BD60" i="9"/>
  <c r="AJ60" i="9"/>
  <c r="T60" i="9"/>
  <c r="BI59" i="9"/>
  <c r="AS59" i="9"/>
  <c r="AA59" i="9"/>
  <c r="M59" i="9"/>
  <c r="BH58" i="9"/>
  <c r="AT58" i="9"/>
  <c r="AE58" i="9"/>
  <c r="P58" i="9"/>
  <c r="B58" i="9"/>
  <c r="AW57" i="9"/>
  <c r="AI57" i="9"/>
  <c r="T57" i="9"/>
  <c r="E57" i="9"/>
  <c r="AZ56" i="9"/>
  <c r="AL56" i="9"/>
  <c r="X56" i="9"/>
  <c r="I56" i="9"/>
  <c r="BC55" i="9"/>
  <c r="AO55" i="9"/>
  <c r="AA55" i="9"/>
  <c r="M55" i="9"/>
  <c r="BG54" i="9"/>
  <c r="AR54" i="9"/>
  <c r="AD54" i="9"/>
  <c r="P54" i="9"/>
  <c r="B54" i="9"/>
  <c r="AV53" i="9"/>
  <c r="AG53" i="9"/>
  <c r="S53" i="9"/>
  <c r="E53" i="9"/>
  <c r="AZ52" i="9"/>
  <c r="AK52" i="9"/>
  <c r="V52" i="9"/>
  <c r="H52" i="9"/>
  <c r="BC51" i="9"/>
  <c r="AO51" i="9"/>
  <c r="Z51" i="9"/>
  <c r="AN66" i="9"/>
  <c r="R66" i="9"/>
  <c r="BE65" i="9"/>
  <c r="AN65" i="9"/>
  <c r="R65" i="9"/>
  <c r="BI64" i="9"/>
  <c r="AQ64" i="9"/>
  <c r="Y64" i="9"/>
  <c r="G64" i="9"/>
  <c r="AX63" i="9"/>
  <c r="AF63" i="9"/>
  <c r="N63" i="9"/>
  <c r="BE62" i="9"/>
  <c r="AM62" i="9"/>
  <c r="U62" i="9"/>
  <c r="C62" i="9"/>
  <c r="AT61" i="9"/>
  <c r="AB61" i="9"/>
  <c r="J61" i="9"/>
  <c r="BA60" i="9"/>
  <c r="AI60" i="9"/>
  <c r="Q60" i="9"/>
  <c r="BH59" i="9"/>
  <c r="AP59" i="9"/>
  <c r="Z59" i="9"/>
  <c r="L59" i="9"/>
  <c r="BG58" i="9"/>
  <c r="AS58" i="9"/>
  <c r="AD58" i="9"/>
  <c r="O58" i="9"/>
  <c r="A58" i="9"/>
  <c r="AV57" i="9"/>
  <c r="AH57" i="9"/>
  <c r="S57" i="9"/>
  <c r="D57" i="9"/>
  <c r="AY56" i="9"/>
  <c r="AK56" i="9"/>
  <c r="W56" i="9"/>
  <c r="H56" i="9"/>
  <c r="BB55" i="9"/>
  <c r="AN55" i="9"/>
  <c r="Z55" i="9"/>
  <c r="L55" i="9"/>
  <c r="BF54" i="9"/>
  <c r="AQ54" i="9"/>
  <c r="AC54" i="9"/>
  <c r="O54" i="9"/>
  <c r="A54" i="9"/>
  <c r="AU53" i="9"/>
  <c r="AF53" i="9"/>
  <c r="R53" i="9"/>
  <c r="D53" i="9"/>
  <c r="AY52" i="9"/>
  <c r="AJ52" i="9"/>
  <c r="U52" i="9"/>
  <c r="G52" i="9"/>
  <c r="BB51" i="9"/>
  <c r="AN51" i="9"/>
  <c r="Y51" i="9"/>
  <c r="J51" i="9"/>
  <c r="BE50" i="9"/>
  <c r="AQ50" i="9"/>
  <c r="AC50" i="9"/>
  <c r="N50" i="9"/>
  <c r="BH49" i="9"/>
  <c r="AT49" i="9"/>
  <c r="AF49" i="9"/>
  <c r="R49" i="9"/>
  <c r="C49" i="9"/>
  <c r="AW48" i="9"/>
  <c r="AI48" i="9"/>
  <c r="U48" i="9"/>
  <c r="G48" i="9"/>
  <c r="BA47" i="9"/>
  <c r="AL47" i="9"/>
  <c r="X47" i="9"/>
  <c r="J47" i="9"/>
  <c r="BE46" i="9"/>
  <c r="AP46" i="9"/>
  <c r="AA46" i="9"/>
  <c r="M46" i="9"/>
  <c r="BH45" i="9"/>
  <c r="AT45" i="9"/>
  <c r="AF45" i="9"/>
  <c r="S45" i="9"/>
  <c r="F45" i="9"/>
  <c r="BB44" i="9"/>
  <c r="AO44" i="9"/>
  <c r="AB44" i="9"/>
  <c r="O44" i="9"/>
  <c r="B44" i="9"/>
  <c r="AX43" i="9"/>
  <c r="AK43" i="9"/>
  <c r="X43" i="9"/>
  <c r="J43" i="9"/>
  <c r="BF42" i="9"/>
  <c r="AS42" i="9"/>
  <c r="AF42" i="9"/>
  <c r="S42" i="9"/>
  <c r="F42" i="9"/>
  <c r="BB41" i="9"/>
  <c r="AO41" i="9"/>
  <c r="AB41" i="9"/>
  <c r="O41" i="9"/>
  <c r="B41" i="9"/>
  <c r="AW40" i="9"/>
  <c r="AJ40" i="9"/>
  <c r="W40" i="9"/>
  <c r="J40" i="9"/>
  <c r="BF39" i="9"/>
  <c r="AS39" i="9"/>
  <c r="AF39" i="9"/>
  <c r="S39" i="9"/>
  <c r="F39" i="9"/>
  <c r="BB38" i="9"/>
  <c r="AO38" i="9"/>
  <c r="AA38" i="9"/>
  <c r="N38" i="9"/>
  <c r="A38" i="9"/>
  <c r="AW37" i="9"/>
  <c r="AJ37" i="9"/>
  <c r="W37" i="9"/>
  <c r="J37" i="9"/>
  <c r="BF36" i="9"/>
  <c r="AS36" i="9"/>
  <c r="BD66" i="9"/>
  <c r="AM66" i="9"/>
  <c r="Q66" i="9"/>
  <c r="BD65" i="9"/>
  <c r="AM65" i="9"/>
  <c r="Q65" i="9"/>
  <c r="BF64" i="9"/>
  <c r="AP64" i="9"/>
  <c r="V64" i="9"/>
  <c r="F64" i="9"/>
  <c r="AU63" i="9"/>
  <c r="AE63" i="9"/>
  <c r="K63" i="9"/>
  <c r="BD62" i="9"/>
  <c r="AJ62" i="9"/>
  <c r="T62" i="9"/>
  <c r="BI61" i="9"/>
  <c r="AS61" i="9"/>
  <c r="Y61" i="9"/>
  <c r="I61" i="9"/>
  <c r="AX60" i="9"/>
  <c r="AH60" i="9"/>
  <c r="N60" i="9"/>
  <c r="BG59" i="9"/>
  <c r="AO59" i="9"/>
  <c r="Y59" i="9"/>
  <c r="K59" i="9"/>
  <c r="BF58" i="9"/>
  <c r="AQ58" i="9"/>
  <c r="AB58" i="9"/>
  <c r="N58" i="9"/>
  <c r="BI57" i="9"/>
  <c r="AU57" i="9"/>
  <c r="AF57" i="9"/>
  <c r="Q57" i="9"/>
  <c r="C57" i="9"/>
  <c r="AX56" i="9"/>
  <c r="AJ56" i="9"/>
  <c r="U56" i="9"/>
  <c r="F56" i="9"/>
  <c r="BA55" i="9"/>
  <c r="AM55" i="9"/>
  <c r="Y55" i="9"/>
  <c r="J55" i="9"/>
  <c r="BD54" i="9"/>
  <c r="AP54" i="9"/>
  <c r="AB54" i="9"/>
  <c r="N54" i="9"/>
  <c r="BH53" i="9"/>
  <c r="AS53" i="9"/>
  <c r="AE53" i="9"/>
  <c r="Q53" i="9"/>
  <c r="C53" i="9"/>
  <c r="AW52" i="9"/>
  <c r="AH52" i="9"/>
  <c r="T52" i="9"/>
  <c r="F52" i="9"/>
  <c r="BA51" i="9"/>
  <c r="AL51" i="9"/>
  <c r="W51" i="9"/>
  <c r="I51" i="9"/>
  <c r="BD50" i="9"/>
  <c r="AP50" i="9"/>
  <c r="AA50" i="9"/>
  <c r="L50" i="9"/>
  <c r="BG49" i="9"/>
  <c r="AS49" i="9"/>
  <c r="AE49" i="9"/>
  <c r="P49" i="9"/>
  <c r="A49" i="9"/>
  <c r="AV48" i="9"/>
  <c r="AH48" i="9"/>
  <c r="T48" i="9"/>
  <c r="E48" i="9"/>
  <c r="AY47" i="9"/>
  <c r="AK47" i="9"/>
  <c r="W47" i="9"/>
  <c r="BC66" i="9"/>
  <c r="AL66" i="9"/>
  <c r="P66" i="9"/>
  <c r="BC65" i="9"/>
  <c r="AG65" i="9"/>
  <c r="P65" i="9"/>
  <c r="BE64" i="9"/>
  <c r="AO64" i="9"/>
  <c r="U64" i="9"/>
  <c r="E64" i="9"/>
  <c r="AT63" i="9"/>
  <c r="AD63" i="9"/>
  <c r="J63" i="9"/>
  <c r="BC62" i="9"/>
  <c r="AI62" i="9"/>
  <c r="S62" i="9"/>
  <c r="BH61" i="9"/>
  <c r="AR61" i="9"/>
  <c r="X61" i="9"/>
  <c r="H61" i="9"/>
  <c r="AW60" i="9"/>
  <c r="AG60" i="9"/>
  <c r="M60" i="9"/>
  <c r="BF59" i="9"/>
  <c r="AM59" i="9"/>
  <c r="X59" i="9"/>
  <c r="J59" i="9"/>
  <c r="BE58" i="9"/>
  <c r="AP58" i="9"/>
  <c r="AA58" i="9"/>
  <c r="M58" i="9"/>
  <c r="BH57" i="9"/>
  <c r="AT57" i="9"/>
  <c r="AE57" i="9"/>
  <c r="P57" i="9"/>
  <c r="B57" i="9"/>
  <c r="AW56" i="9"/>
  <c r="AI56" i="9"/>
  <c r="T56" i="9"/>
  <c r="E56" i="9"/>
  <c r="AZ55" i="9"/>
  <c r="AL55" i="9"/>
  <c r="X55" i="9"/>
  <c r="I55" i="9"/>
  <c r="BC54" i="9"/>
  <c r="AO54" i="9"/>
  <c r="AA54" i="9"/>
  <c r="M54" i="9"/>
  <c r="BG53" i="9"/>
  <c r="AR53" i="9"/>
  <c r="AD53" i="9"/>
  <c r="P53" i="9"/>
  <c r="B53" i="9"/>
  <c r="AV52" i="9"/>
  <c r="AG52" i="9"/>
  <c r="S52" i="9"/>
  <c r="E52" i="9"/>
  <c r="AZ51" i="9"/>
  <c r="AK51" i="9"/>
  <c r="V51" i="9"/>
  <c r="H51" i="9"/>
  <c r="BC50" i="9"/>
  <c r="AO50" i="9"/>
  <c r="Z50" i="9"/>
  <c r="K50" i="9"/>
  <c r="BF49" i="9"/>
  <c r="AR49" i="9"/>
  <c r="AD49" i="9"/>
  <c r="O49" i="9"/>
  <c r="BI48" i="9"/>
  <c r="AU48" i="9"/>
  <c r="AG48" i="9"/>
  <c r="S48" i="9"/>
  <c r="D48" i="9"/>
  <c r="AX47" i="9"/>
  <c r="AJ47" i="9"/>
  <c r="V47" i="9"/>
  <c r="H47" i="9"/>
  <c r="BB46" i="9"/>
  <c r="AM46" i="9"/>
  <c r="Y46" i="9"/>
  <c r="K46" i="9"/>
  <c r="BF45" i="9"/>
  <c r="AQ45" i="9"/>
  <c r="AD45" i="9"/>
  <c r="Q45" i="9"/>
  <c r="D45" i="9"/>
  <c r="AZ44" i="9"/>
  <c r="AM44" i="9"/>
  <c r="Z44" i="9"/>
  <c r="M44" i="9"/>
  <c r="BI43" i="9"/>
  <c r="AV43" i="9"/>
  <c r="AH43" i="9"/>
  <c r="U43" i="9"/>
  <c r="H43" i="9"/>
  <c r="BD42" i="9"/>
  <c r="AQ42" i="9"/>
  <c r="AD42" i="9"/>
  <c r="Q42" i="9"/>
  <c r="D42" i="9"/>
  <c r="AZ41" i="9"/>
  <c r="AM41" i="9"/>
  <c r="Z41" i="9"/>
  <c r="L41" i="9"/>
  <c r="BH40" i="9"/>
  <c r="AU40" i="9"/>
  <c r="AH40" i="9"/>
  <c r="U40" i="9"/>
  <c r="H40" i="9"/>
  <c r="BD39" i="9"/>
  <c r="AQ39" i="9"/>
  <c r="AD39" i="9"/>
  <c r="Q39" i="9"/>
  <c r="D39" i="9"/>
  <c r="AY38" i="9"/>
  <c r="AL38" i="9"/>
  <c r="BB66" i="9"/>
  <c r="O66" i="9"/>
  <c r="AF65" i="9"/>
  <c r="BD64" i="9"/>
  <c r="T64" i="9"/>
  <c r="AS63" i="9"/>
  <c r="I63" i="9"/>
  <c r="AH62" i="9"/>
  <c r="BG61" i="9"/>
  <c r="W61" i="9"/>
  <c r="AV60" i="9"/>
  <c r="L60" i="9"/>
  <c r="AU59" i="9"/>
  <c r="R59" i="9"/>
  <c r="AZ58" i="9"/>
  <c r="Z58" i="9"/>
  <c r="F58" i="9"/>
  <c r="AN57" i="9"/>
  <c r="N57" i="9"/>
  <c r="BB56" i="9"/>
  <c r="AB56" i="9"/>
  <c r="B56" i="9"/>
  <c r="AK55" i="9"/>
  <c r="P55" i="9"/>
  <c r="BA54" i="9"/>
  <c r="AH54" i="9"/>
  <c r="J54" i="9"/>
  <c r="AZ53" i="9"/>
  <c r="AB53" i="9"/>
  <c r="H53" i="9"/>
  <c r="AS52" i="9"/>
  <c r="AA52" i="9"/>
  <c r="C52" i="9"/>
  <c r="AR51" i="9"/>
  <c r="T51" i="9"/>
  <c r="B51" i="9"/>
  <c r="AS50" i="9"/>
  <c r="W50" i="9"/>
  <c r="F50" i="9"/>
  <c r="AV49" i="9"/>
  <c r="AA49" i="9"/>
  <c r="I49" i="9"/>
  <c r="AZ48" i="9"/>
  <c r="AE48" i="9"/>
  <c r="L48" i="9"/>
  <c r="BD47" i="9"/>
  <c r="AH47" i="9"/>
  <c r="O47" i="9"/>
  <c r="BH46" i="9"/>
  <c r="AQ46" i="9"/>
  <c r="X46" i="9"/>
  <c r="G46" i="9"/>
  <c r="AY45" i="9"/>
  <c r="AJ45" i="9"/>
  <c r="T45" i="9"/>
  <c r="C45" i="9"/>
  <c r="AW44" i="9"/>
  <c r="AG44" i="9"/>
  <c r="R44" i="9"/>
  <c r="C44" i="9"/>
  <c r="AT43" i="9"/>
  <c r="AE43" i="9"/>
  <c r="P43" i="9"/>
  <c r="A43" i="9"/>
  <c r="AT42" i="9"/>
  <c r="AC42" i="9"/>
  <c r="N42" i="9"/>
  <c r="BG41" i="9"/>
  <c r="AR41" i="9"/>
  <c r="AC41" i="9"/>
  <c r="K41" i="9"/>
  <c r="BE40" i="9"/>
  <c r="AP40" i="9"/>
  <c r="AA40" i="9"/>
  <c r="K40" i="9"/>
  <c r="BC39" i="9"/>
  <c r="AN39" i="9"/>
  <c r="X39" i="9"/>
  <c r="I39" i="9"/>
  <c r="BC38" i="9"/>
  <c r="AK38" i="9"/>
  <c r="W38" i="9"/>
  <c r="I38" i="9"/>
  <c r="BD37" i="9"/>
  <c r="AP37" i="9"/>
  <c r="AA37" i="9"/>
  <c r="M37" i="9"/>
  <c r="BH36" i="9"/>
  <c r="AT36" i="9"/>
  <c r="AF36" i="9"/>
  <c r="S36" i="9"/>
  <c r="E36" i="9"/>
  <c r="BA35" i="9"/>
  <c r="AN35" i="9"/>
  <c r="AA35" i="9"/>
  <c r="N35" i="9"/>
  <c r="A35" i="9"/>
  <c r="AW34" i="9"/>
  <c r="AJ34" i="9"/>
  <c r="W34" i="9"/>
  <c r="J34" i="9"/>
  <c r="BF33" i="9"/>
  <c r="AR33" i="9"/>
  <c r="AE33" i="9"/>
  <c r="R33" i="9"/>
  <c r="E33" i="9"/>
  <c r="BA32" i="9"/>
  <c r="AN32" i="9"/>
  <c r="AA32" i="9"/>
  <c r="N32" i="9"/>
  <c r="A32" i="9"/>
  <c r="AW31" i="9"/>
  <c r="AJ31" i="9"/>
  <c r="V31" i="9"/>
  <c r="I31" i="9"/>
  <c r="BE30" i="9"/>
  <c r="AR30" i="9"/>
  <c r="AE30" i="9"/>
  <c r="R30" i="9"/>
  <c r="E30" i="9"/>
  <c r="BA29" i="9"/>
  <c r="AN29" i="9"/>
  <c r="AA29" i="9"/>
  <c r="N29" i="9"/>
  <c r="BI28" i="9"/>
  <c r="AV28" i="9"/>
  <c r="AI28" i="9"/>
  <c r="V28" i="9"/>
  <c r="I28" i="9"/>
  <c r="BE27" i="9"/>
  <c r="AR27" i="9"/>
  <c r="AE27" i="9"/>
  <c r="R27" i="9"/>
  <c r="E27" i="9"/>
  <c r="BA26" i="9"/>
  <c r="AM26" i="9"/>
  <c r="Z26" i="9"/>
  <c r="M26" i="9"/>
  <c r="BI25" i="9"/>
  <c r="AV25" i="9"/>
  <c r="AI25" i="9"/>
  <c r="V25" i="9"/>
  <c r="I25" i="9"/>
  <c r="BE24" i="9"/>
  <c r="AR24" i="9"/>
  <c r="AE24" i="9"/>
  <c r="Q24" i="9"/>
  <c r="D24" i="9"/>
  <c r="AZ23" i="9"/>
  <c r="AM23" i="9"/>
  <c r="Z23" i="9"/>
  <c r="M23" i="9"/>
  <c r="BI22" i="9"/>
  <c r="AV22" i="9"/>
  <c r="AJ22" i="9"/>
  <c r="X22" i="9"/>
  <c r="L22" i="9"/>
  <c r="BI21" i="9"/>
  <c r="AW21" i="9"/>
  <c r="AK21" i="9"/>
  <c r="Y21" i="9"/>
  <c r="M21" i="9"/>
  <c r="A21" i="9"/>
  <c r="AX20" i="9"/>
  <c r="AL20" i="9"/>
  <c r="Z20" i="9"/>
  <c r="N20" i="9"/>
  <c r="B20" i="9"/>
  <c r="AY19" i="9"/>
  <c r="AM19" i="9"/>
  <c r="AA19" i="9"/>
  <c r="O19" i="9"/>
  <c r="C19" i="9"/>
  <c r="AZ18" i="9"/>
  <c r="AN18" i="9"/>
  <c r="AB18" i="9"/>
  <c r="P18" i="9"/>
  <c r="D18" i="9"/>
  <c r="BA17" i="9"/>
  <c r="AO17" i="9"/>
  <c r="AC17" i="9"/>
  <c r="Q17" i="9"/>
  <c r="E17" i="9"/>
  <c r="BB16" i="9"/>
  <c r="AP16" i="9"/>
  <c r="AD16" i="9"/>
  <c r="R16" i="9"/>
  <c r="F16" i="9"/>
  <c r="BC15" i="9"/>
  <c r="AQ15" i="9"/>
  <c r="AE15" i="9"/>
  <c r="S15" i="9"/>
  <c r="G15" i="9"/>
  <c r="BD14" i="9"/>
  <c r="AR14" i="9"/>
  <c r="AF14" i="9"/>
  <c r="T14" i="9"/>
  <c r="H14" i="9"/>
  <c r="BE13" i="9"/>
  <c r="AS13" i="9"/>
  <c r="AG13" i="9"/>
  <c r="U13" i="9"/>
  <c r="I13" i="9"/>
  <c r="BF12" i="9"/>
  <c r="AT12" i="9"/>
  <c r="AH12" i="9"/>
  <c r="V12" i="9"/>
  <c r="J12" i="9"/>
  <c r="BG11" i="9"/>
  <c r="AU11" i="9"/>
  <c r="AI11" i="9"/>
  <c r="W11" i="9"/>
  <c r="K11" i="9"/>
  <c r="BH10" i="9"/>
  <c r="AV10" i="9"/>
  <c r="AJ10" i="9"/>
  <c r="X10" i="9"/>
  <c r="L10" i="9"/>
  <c r="BI9" i="9"/>
  <c r="AW9" i="9"/>
  <c r="AK9" i="9"/>
  <c r="Y9" i="9"/>
  <c r="M9" i="9"/>
  <c r="A9" i="9"/>
  <c r="AX8" i="9"/>
  <c r="AL8" i="9"/>
  <c r="Z8" i="9"/>
  <c r="N8" i="9"/>
  <c r="B8" i="9"/>
  <c r="AY7" i="9"/>
  <c r="AM7" i="9"/>
  <c r="AA7" i="9"/>
  <c r="O7" i="9"/>
  <c r="C7" i="9"/>
  <c r="AZ6" i="9"/>
  <c r="AN6" i="9"/>
  <c r="AB6" i="9"/>
  <c r="P6" i="9"/>
  <c r="D6" i="9"/>
  <c r="BA5" i="9"/>
  <c r="AO5" i="9"/>
  <c r="AC5" i="9"/>
  <c r="Q5" i="9"/>
  <c r="E5" i="9"/>
  <c r="BB4" i="9"/>
  <c r="AP4" i="9"/>
  <c r="AD4" i="9"/>
  <c r="R4" i="9"/>
  <c r="F4" i="9"/>
  <c r="BC3" i="9"/>
  <c r="AQ3" i="9"/>
  <c r="AE3" i="9"/>
  <c r="S3" i="9"/>
  <c r="G3" i="9"/>
  <c r="BD2" i="9"/>
  <c r="AR2" i="9"/>
  <c r="AF2" i="9"/>
  <c r="T2" i="9"/>
  <c r="H2" i="9"/>
  <c r="BE1" i="9"/>
  <c r="AS1" i="9"/>
  <c r="AG1" i="9"/>
  <c r="U1" i="9"/>
  <c r="I1" i="9"/>
  <c r="BA66" i="9"/>
  <c r="N66" i="9"/>
  <c r="AE65" i="9"/>
  <c r="BC64" i="9"/>
  <c r="S64" i="9"/>
  <c r="AR63" i="9"/>
  <c r="H63" i="9"/>
  <c r="AG62" i="9"/>
  <c r="BF61" i="9"/>
  <c r="V61" i="9"/>
  <c r="AU60" i="9"/>
  <c r="K60" i="9"/>
  <c r="AL59" i="9"/>
  <c r="Q59" i="9"/>
  <c r="AY58" i="9"/>
  <c r="Y58" i="9"/>
  <c r="D58" i="9"/>
  <c r="AM57" i="9"/>
  <c r="M57" i="9"/>
  <c r="AV56" i="9"/>
  <c r="AA56" i="9"/>
  <c r="A56" i="9"/>
  <c r="AJ55" i="9"/>
  <c r="O55" i="9"/>
  <c r="AZ54" i="9"/>
  <c r="AF54" i="9"/>
  <c r="H54" i="9"/>
  <c r="AY53" i="9"/>
  <c r="AA53" i="9"/>
  <c r="G53" i="9"/>
  <c r="AR52" i="9"/>
  <c r="Y52" i="9"/>
  <c r="A52" i="9"/>
  <c r="AQ51" i="9"/>
  <c r="S51" i="9"/>
  <c r="A51" i="9"/>
  <c r="AR50" i="9"/>
  <c r="V50" i="9"/>
  <c r="E50" i="9"/>
  <c r="AU49" i="9"/>
  <c r="Y49" i="9"/>
  <c r="H49" i="9"/>
  <c r="AX48" i="9"/>
  <c r="AC48" i="9"/>
  <c r="K48" i="9"/>
  <c r="BB47" i="9"/>
  <c r="AG47" i="9"/>
  <c r="N47" i="9"/>
  <c r="BG46" i="9"/>
  <c r="AN46" i="9"/>
  <c r="W46" i="9"/>
  <c r="F46" i="9"/>
  <c r="AX45" i="9"/>
  <c r="AI45" i="9"/>
  <c r="R45" i="9"/>
  <c r="B45" i="9"/>
  <c r="AV44" i="9"/>
  <c r="AF44" i="9"/>
  <c r="Q44" i="9"/>
  <c r="A44" i="9"/>
  <c r="AS43" i="9"/>
  <c r="AD43" i="9"/>
  <c r="O43" i="9"/>
  <c r="BI42" i="9"/>
  <c r="AR42" i="9"/>
  <c r="AB42" i="9"/>
  <c r="M42" i="9"/>
  <c r="BF41" i="9"/>
  <c r="AQ41" i="9"/>
  <c r="AA41" i="9"/>
  <c r="J41" i="9"/>
  <c r="BD40" i="9"/>
  <c r="AO40" i="9"/>
  <c r="Y40" i="9"/>
  <c r="I40" i="9"/>
  <c r="BB39" i="9"/>
  <c r="AL39" i="9"/>
  <c r="W39" i="9"/>
  <c r="H39" i="9"/>
  <c r="BA38" i="9"/>
  <c r="AJ38" i="9"/>
  <c r="V38" i="9"/>
  <c r="H38" i="9"/>
  <c r="BC37" i="9"/>
  <c r="AN37" i="9"/>
  <c r="Z37" i="9"/>
  <c r="L37" i="9"/>
  <c r="BG36" i="9"/>
  <c r="AR36" i="9"/>
  <c r="AE36" i="9"/>
  <c r="Q36" i="9"/>
  <c r="D36" i="9"/>
  <c r="AZ35" i="9"/>
  <c r="AM35" i="9"/>
  <c r="Z35" i="9"/>
  <c r="M35" i="9"/>
  <c r="BI34" i="9"/>
  <c r="AV34" i="9"/>
  <c r="AI34" i="9"/>
  <c r="V34" i="9"/>
  <c r="I34" i="9"/>
  <c r="BD33" i="9"/>
  <c r="AQ33" i="9"/>
  <c r="AD33" i="9"/>
  <c r="Q33" i="9"/>
  <c r="D33" i="9"/>
  <c r="AZ32" i="9"/>
  <c r="AM32" i="9"/>
  <c r="Z32" i="9"/>
  <c r="M32" i="9"/>
  <c r="BI31" i="9"/>
  <c r="AV31" i="9"/>
  <c r="AH31" i="9"/>
  <c r="U31" i="9"/>
  <c r="H31" i="9"/>
  <c r="BD30" i="9"/>
  <c r="AQ30" i="9"/>
  <c r="AD30" i="9"/>
  <c r="Q30" i="9"/>
  <c r="D30" i="9"/>
  <c r="AZ29" i="9"/>
  <c r="AM29" i="9"/>
  <c r="Z29" i="9"/>
  <c r="L29" i="9"/>
  <c r="BH28" i="9"/>
  <c r="AU28" i="9"/>
  <c r="AH28" i="9"/>
  <c r="U28" i="9"/>
  <c r="H28" i="9"/>
  <c r="BD27" i="9"/>
  <c r="AQ27" i="9"/>
  <c r="AD27" i="9"/>
  <c r="Q27" i="9"/>
  <c r="D27" i="9"/>
  <c r="AY26" i="9"/>
  <c r="AL26" i="9"/>
  <c r="Y26" i="9"/>
  <c r="L26" i="9"/>
  <c r="BH25" i="9"/>
  <c r="AU25" i="9"/>
  <c r="AH25" i="9"/>
  <c r="U25" i="9"/>
  <c r="H25" i="9"/>
  <c r="BD24" i="9"/>
  <c r="AQ24" i="9"/>
  <c r="AC24" i="9"/>
  <c r="P24" i="9"/>
  <c r="C24" i="9"/>
  <c r="AY23" i="9"/>
  <c r="AL23" i="9"/>
  <c r="Y23" i="9"/>
  <c r="L23" i="9"/>
  <c r="BH22" i="9"/>
  <c r="AU22" i="9"/>
  <c r="AI22" i="9"/>
  <c r="W22" i="9"/>
  <c r="K22" i="9"/>
  <c r="BH21" i="9"/>
  <c r="AV21" i="9"/>
  <c r="AJ21" i="9"/>
  <c r="X21" i="9"/>
  <c r="L21" i="9"/>
  <c r="BI20" i="9"/>
  <c r="AW20" i="9"/>
  <c r="AK20" i="9"/>
  <c r="Y20" i="9"/>
  <c r="M20" i="9"/>
  <c r="A20" i="9"/>
  <c r="AX19" i="9"/>
  <c r="AL19" i="9"/>
  <c r="Z19" i="9"/>
  <c r="N19" i="9"/>
  <c r="B19" i="9"/>
  <c r="AY18" i="9"/>
  <c r="AM18" i="9"/>
  <c r="AA18" i="9"/>
  <c r="O18" i="9"/>
  <c r="C18" i="9"/>
  <c r="AZ17" i="9"/>
  <c r="AN17" i="9"/>
  <c r="AB17" i="9"/>
  <c r="P17" i="9"/>
  <c r="D17" i="9"/>
  <c r="BA16" i="9"/>
  <c r="AO16" i="9"/>
  <c r="AC16" i="9"/>
  <c r="Q16" i="9"/>
  <c r="E16" i="9"/>
  <c r="BB15" i="9"/>
  <c r="AP15" i="9"/>
  <c r="AD15" i="9"/>
  <c r="R15" i="9"/>
  <c r="F15" i="9"/>
  <c r="BC14" i="9"/>
  <c r="AQ14" i="9"/>
  <c r="AE14" i="9"/>
  <c r="S14" i="9"/>
  <c r="G14" i="9"/>
  <c r="BD13" i="9"/>
  <c r="AR13" i="9"/>
  <c r="AF13" i="9"/>
  <c r="T13" i="9"/>
  <c r="H13" i="9"/>
  <c r="BE12" i="9"/>
  <c r="AS12" i="9"/>
  <c r="AG12" i="9"/>
  <c r="U12" i="9"/>
  <c r="I12" i="9"/>
  <c r="BF11" i="9"/>
  <c r="AT11" i="9"/>
  <c r="AH11" i="9"/>
  <c r="V11" i="9"/>
  <c r="J11" i="9"/>
  <c r="BG10" i="9"/>
  <c r="AU10" i="9"/>
  <c r="AI10" i="9"/>
  <c r="W10" i="9"/>
  <c r="K10" i="9"/>
  <c r="BH9" i="9"/>
  <c r="AV9" i="9"/>
  <c r="AJ9" i="9"/>
  <c r="X9" i="9"/>
  <c r="L9" i="9"/>
  <c r="BI8" i="9"/>
  <c r="AW8" i="9"/>
  <c r="AK8" i="9"/>
  <c r="Y8" i="9"/>
  <c r="M8" i="9"/>
  <c r="A8" i="9"/>
  <c r="AX7" i="9"/>
  <c r="AL7" i="9"/>
  <c r="AZ66" i="9"/>
  <c r="H66" i="9"/>
  <c r="AD65" i="9"/>
  <c r="BB64" i="9"/>
  <c r="R64" i="9"/>
  <c r="AQ63" i="9"/>
  <c r="G63" i="9"/>
  <c r="AF62" i="9"/>
  <c r="BE61" i="9"/>
  <c r="U61" i="9"/>
  <c r="AT60" i="9"/>
  <c r="J60" i="9"/>
  <c r="AK59" i="9"/>
  <c r="O59" i="9"/>
  <c r="AX58" i="9"/>
  <c r="X58" i="9"/>
  <c r="BG57" i="9"/>
  <c r="AL57" i="9"/>
  <c r="L57" i="9"/>
  <c r="AU56" i="9"/>
  <c r="Z56" i="9"/>
  <c r="BI55" i="9"/>
  <c r="AH55" i="9"/>
  <c r="N55" i="9"/>
  <c r="AY54" i="9"/>
  <c r="AE54" i="9"/>
  <c r="G54" i="9"/>
  <c r="AX53" i="9"/>
  <c r="Z53" i="9"/>
  <c r="F53" i="9"/>
  <c r="AQ52" i="9"/>
  <c r="X52" i="9"/>
  <c r="BI51" i="9"/>
  <c r="AP51" i="9"/>
  <c r="R51" i="9"/>
  <c r="BH50" i="9"/>
  <c r="AM50" i="9"/>
  <c r="U50" i="9"/>
  <c r="C50" i="9"/>
  <c r="AQ49" i="9"/>
  <c r="X49" i="9"/>
  <c r="G49" i="9"/>
  <c r="AT48" i="9"/>
  <c r="AB48" i="9"/>
  <c r="J48" i="9"/>
  <c r="AW47" i="9"/>
  <c r="AF47" i="9"/>
  <c r="M47" i="9"/>
  <c r="BF46" i="9"/>
  <c r="AL46" i="9"/>
  <c r="V46" i="9"/>
  <c r="D46" i="9"/>
  <c r="AW45" i="9"/>
  <c r="AH45" i="9"/>
  <c r="P45" i="9"/>
  <c r="A45" i="9"/>
  <c r="AU44" i="9"/>
  <c r="AE44" i="9"/>
  <c r="P44" i="9"/>
  <c r="BH43" i="9"/>
  <c r="AR43" i="9"/>
  <c r="AC43" i="9"/>
  <c r="N43" i="9"/>
  <c r="BG42" i="9"/>
  <c r="AP42" i="9"/>
  <c r="AA42" i="9"/>
  <c r="K42" i="9"/>
  <c r="BE41" i="9"/>
  <c r="AP41" i="9"/>
  <c r="X41" i="9"/>
  <c r="I41" i="9"/>
  <c r="BC40" i="9"/>
  <c r="AN40" i="9"/>
  <c r="X40" i="9"/>
  <c r="G40" i="9"/>
  <c r="BA39" i="9"/>
  <c r="AK39" i="9"/>
  <c r="V39" i="9"/>
  <c r="G39" i="9"/>
  <c r="AX38" i="9"/>
  <c r="AI38" i="9"/>
  <c r="U38" i="9"/>
  <c r="G38" i="9"/>
  <c r="BB37" i="9"/>
  <c r="AM37" i="9"/>
  <c r="Y37" i="9"/>
  <c r="K37" i="9"/>
  <c r="BE36" i="9"/>
  <c r="AQ36" i="9"/>
  <c r="AC36" i="9"/>
  <c r="P36" i="9"/>
  <c r="C36" i="9"/>
  <c r="AY35" i="9"/>
  <c r="AL35" i="9"/>
  <c r="Y35" i="9"/>
  <c r="L35" i="9"/>
  <c r="BH34" i="9"/>
  <c r="AU34" i="9"/>
  <c r="AH34" i="9"/>
  <c r="U34" i="9"/>
  <c r="G34" i="9"/>
  <c r="BC33" i="9"/>
  <c r="AP33" i="9"/>
  <c r="AC33" i="9"/>
  <c r="P33" i="9"/>
  <c r="C33" i="9"/>
  <c r="AY32" i="9"/>
  <c r="AL32" i="9"/>
  <c r="Y32" i="9"/>
  <c r="L32" i="9"/>
  <c r="BH31" i="9"/>
  <c r="AT31" i="9"/>
  <c r="AG31" i="9"/>
  <c r="T31" i="9"/>
  <c r="G31" i="9"/>
  <c r="BC30" i="9"/>
  <c r="AP30" i="9"/>
  <c r="AC30" i="9"/>
  <c r="P30" i="9"/>
  <c r="C30" i="9"/>
  <c r="AY29" i="9"/>
  <c r="AL29" i="9"/>
  <c r="X29" i="9"/>
  <c r="K29" i="9"/>
  <c r="BG28" i="9"/>
  <c r="AT28" i="9"/>
  <c r="AG28" i="9"/>
  <c r="T28" i="9"/>
  <c r="G28" i="9"/>
  <c r="BC27" i="9"/>
  <c r="AP27" i="9"/>
  <c r="AC27" i="9"/>
  <c r="P27" i="9"/>
  <c r="B27" i="9"/>
  <c r="AX26" i="9"/>
  <c r="AK26" i="9"/>
  <c r="X26" i="9"/>
  <c r="K26" i="9"/>
  <c r="BG25" i="9"/>
  <c r="AT25" i="9"/>
  <c r="AG25" i="9"/>
  <c r="T25" i="9"/>
  <c r="G25" i="9"/>
  <c r="BC24" i="9"/>
  <c r="AO24" i="9"/>
  <c r="AB24" i="9"/>
  <c r="O24" i="9"/>
  <c r="B24" i="9"/>
  <c r="AX23" i="9"/>
  <c r="AK23" i="9"/>
  <c r="X23" i="9"/>
  <c r="K23" i="9"/>
  <c r="BG22" i="9"/>
  <c r="AT22" i="9"/>
  <c r="AH22" i="9"/>
  <c r="V22" i="9"/>
  <c r="J22" i="9"/>
  <c r="BG21" i="9"/>
  <c r="AU21" i="9"/>
  <c r="AI21" i="9"/>
  <c r="W21" i="9"/>
  <c r="K21" i="9"/>
  <c r="BH20" i="9"/>
  <c r="AV20" i="9"/>
  <c r="AJ20" i="9"/>
  <c r="X20" i="9"/>
  <c r="L20" i="9"/>
  <c r="BI19" i="9"/>
  <c r="AW19" i="9"/>
  <c r="AK19" i="9"/>
  <c r="Y19" i="9"/>
  <c r="M19" i="9"/>
  <c r="A19" i="9"/>
  <c r="AX18" i="9"/>
  <c r="AL18" i="9"/>
  <c r="Z18" i="9"/>
  <c r="N18" i="9"/>
  <c r="B18" i="9"/>
  <c r="AY17" i="9"/>
  <c r="AM17" i="9"/>
  <c r="AA17" i="9"/>
  <c r="O17" i="9"/>
  <c r="C17" i="9"/>
  <c r="AZ16" i="9"/>
  <c r="AN16" i="9"/>
  <c r="AB16" i="9"/>
  <c r="P16" i="9"/>
  <c r="D16" i="9"/>
  <c r="BA15" i="9"/>
  <c r="AO15" i="9"/>
  <c r="AC15" i="9"/>
  <c r="Q15" i="9"/>
  <c r="E15" i="9"/>
  <c r="BB14" i="9"/>
  <c r="AP14" i="9"/>
  <c r="AD14" i="9"/>
  <c r="R14" i="9"/>
  <c r="F14" i="9"/>
  <c r="BC13" i="9"/>
  <c r="AQ13" i="9"/>
  <c r="AE13" i="9"/>
  <c r="S13" i="9"/>
  <c r="G13" i="9"/>
  <c r="BD12" i="9"/>
  <c r="AR12" i="9"/>
  <c r="AF12" i="9"/>
  <c r="T12" i="9"/>
  <c r="H12" i="9"/>
  <c r="BE11" i="9"/>
  <c r="AS11" i="9"/>
  <c r="AG11" i="9"/>
  <c r="U11" i="9"/>
  <c r="I11" i="9"/>
  <c r="BF10" i="9"/>
  <c r="AT10" i="9"/>
  <c r="AH10" i="9"/>
  <c r="V10" i="9"/>
  <c r="J10" i="9"/>
  <c r="BG9" i="9"/>
  <c r="AU9" i="9"/>
  <c r="AI9" i="9"/>
  <c r="W9" i="9"/>
  <c r="K9" i="9"/>
  <c r="BH8" i="9"/>
  <c r="AV8" i="9"/>
  <c r="AJ8" i="9"/>
  <c r="X8" i="9"/>
  <c r="L8" i="9"/>
  <c r="BI7" i="9"/>
  <c r="AW7" i="9"/>
  <c r="AK7" i="9"/>
  <c r="Y7" i="9"/>
  <c r="M7" i="9"/>
  <c r="A7" i="9"/>
  <c r="AX6" i="9"/>
  <c r="AL6" i="9"/>
  <c r="Z6" i="9"/>
  <c r="N6" i="9"/>
  <c r="B6" i="9"/>
  <c r="AY5" i="9"/>
  <c r="AM5" i="9"/>
  <c r="AA5" i="9"/>
  <c r="O5" i="9"/>
  <c r="C5" i="9"/>
  <c r="AZ4" i="9"/>
  <c r="AN4" i="9"/>
  <c r="AB4" i="9"/>
  <c r="P4" i="9"/>
  <c r="D4" i="9"/>
  <c r="BA3" i="9"/>
  <c r="AO3" i="9"/>
  <c r="AC3" i="9"/>
  <c r="Q3" i="9"/>
  <c r="E3" i="9"/>
  <c r="BB2" i="9"/>
  <c r="AP2" i="9"/>
  <c r="AD2" i="9"/>
  <c r="R2" i="9"/>
  <c r="F2" i="9"/>
  <c r="BC1" i="9"/>
  <c r="AQ1" i="9"/>
  <c r="AE1" i="9"/>
  <c r="S1" i="9"/>
  <c r="G1" i="9"/>
  <c r="AY66" i="9"/>
  <c r="G66" i="9"/>
  <c r="AC65" i="9"/>
  <c r="BA64" i="9"/>
  <c r="Q64" i="9"/>
  <c r="AP63" i="9"/>
  <c r="F63" i="9"/>
  <c r="AE62" i="9"/>
  <c r="BD61" i="9"/>
  <c r="T61" i="9"/>
  <c r="AS60" i="9"/>
  <c r="I60" i="9"/>
  <c r="AJ59" i="9"/>
  <c r="I59" i="9"/>
  <c r="AW58" i="9"/>
  <c r="W58" i="9"/>
  <c r="BF57" i="9"/>
  <c r="AK57" i="9"/>
  <c r="K57" i="9"/>
  <c r="AS56" i="9"/>
  <c r="R56" i="9"/>
  <c r="BH55" i="9"/>
  <c r="AG55" i="9"/>
  <c r="G55" i="9"/>
  <c r="AX54" i="9"/>
  <c r="Z54" i="9"/>
  <c r="F54" i="9"/>
  <c r="AQ53" i="9"/>
  <c r="X53" i="9"/>
  <c r="BI52" i="9"/>
  <c r="AP52" i="9"/>
  <c r="R52" i="9"/>
  <c r="BG51" i="9"/>
  <c r="AI51" i="9"/>
  <c r="Q51" i="9"/>
  <c r="BG50" i="9"/>
  <c r="AL50" i="9"/>
  <c r="T50" i="9"/>
  <c r="B50" i="9"/>
  <c r="AP49" i="9"/>
  <c r="W49" i="9"/>
  <c r="F49" i="9"/>
  <c r="AS48" i="9"/>
  <c r="Z48" i="9"/>
  <c r="I48" i="9"/>
  <c r="AV47" i="9"/>
  <c r="AD47" i="9"/>
  <c r="L47" i="9"/>
  <c r="BC46" i="9"/>
  <c r="AK46" i="9"/>
  <c r="U46" i="9"/>
  <c r="C46" i="9"/>
  <c r="AV45" i="9"/>
  <c r="AE45" i="9"/>
  <c r="O45" i="9"/>
  <c r="BI44" i="9"/>
  <c r="AS44" i="9"/>
  <c r="AD44" i="9"/>
  <c r="N44" i="9"/>
  <c r="BF43" i="9"/>
  <c r="AQ43" i="9"/>
  <c r="AB43" i="9"/>
  <c r="M43" i="9"/>
  <c r="BE42" i="9"/>
  <c r="AO42" i="9"/>
  <c r="Z42" i="9"/>
  <c r="J42" i="9"/>
  <c r="BD41" i="9"/>
  <c r="AN41" i="9"/>
  <c r="W41" i="9"/>
  <c r="H41" i="9"/>
  <c r="BB40" i="9"/>
  <c r="AM40" i="9"/>
  <c r="V40" i="9"/>
  <c r="F40" i="9"/>
  <c r="AZ39" i="9"/>
  <c r="AJ39" i="9"/>
  <c r="U39" i="9"/>
  <c r="E39" i="9"/>
  <c r="AW38" i="9"/>
  <c r="AH38" i="9"/>
  <c r="T38" i="9"/>
  <c r="F38" i="9"/>
  <c r="AZ37" i="9"/>
  <c r="AL37" i="9"/>
  <c r="X37" i="9"/>
  <c r="I37" i="9"/>
  <c r="BD36" i="9"/>
  <c r="AO36" i="9"/>
  <c r="AB36" i="9"/>
  <c r="O36" i="9"/>
  <c r="B36" i="9"/>
  <c r="AX35" i="9"/>
  <c r="AK35" i="9"/>
  <c r="X35" i="9"/>
  <c r="K35" i="9"/>
  <c r="BG34" i="9"/>
  <c r="AT34" i="9"/>
  <c r="AG34" i="9"/>
  <c r="S34" i="9"/>
  <c r="F34" i="9"/>
  <c r="BB33" i="9"/>
  <c r="AO33" i="9"/>
  <c r="AB33" i="9"/>
  <c r="O33" i="9"/>
  <c r="B33" i="9"/>
  <c r="AX32" i="9"/>
  <c r="AK32" i="9"/>
  <c r="X32" i="9"/>
  <c r="K32" i="9"/>
  <c r="BF31" i="9"/>
  <c r="AS31" i="9"/>
  <c r="AF31" i="9"/>
  <c r="S31" i="9"/>
  <c r="F31" i="9"/>
  <c r="BB30" i="9"/>
  <c r="AO30" i="9"/>
  <c r="AB30" i="9"/>
  <c r="O30" i="9"/>
  <c r="B30" i="9"/>
  <c r="AX29" i="9"/>
  <c r="AJ29" i="9"/>
  <c r="W29" i="9"/>
  <c r="J29" i="9"/>
  <c r="BF28" i="9"/>
  <c r="AS28" i="9"/>
  <c r="AF28" i="9"/>
  <c r="S28" i="9"/>
  <c r="F28" i="9"/>
  <c r="BB27" i="9"/>
  <c r="AO27" i="9"/>
  <c r="AB27" i="9"/>
  <c r="N27" i="9"/>
  <c r="A27" i="9"/>
  <c r="AW26" i="9"/>
  <c r="AJ26" i="9"/>
  <c r="W26" i="9"/>
  <c r="J26" i="9"/>
  <c r="BF25" i="9"/>
  <c r="AS25" i="9"/>
  <c r="AF25" i="9"/>
  <c r="S25" i="9"/>
  <c r="F25" i="9"/>
  <c r="BA24" i="9"/>
  <c r="AN24" i="9"/>
  <c r="AA24" i="9"/>
  <c r="N24" i="9"/>
  <c r="A24" i="9"/>
  <c r="AW23" i="9"/>
  <c r="AJ23" i="9"/>
  <c r="W23" i="9"/>
  <c r="J23" i="9"/>
  <c r="BF22" i="9"/>
  <c r="AS22" i="9"/>
  <c r="AG22" i="9"/>
  <c r="U22" i="9"/>
  <c r="I22" i="9"/>
  <c r="BF21" i="9"/>
  <c r="AT21" i="9"/>
  <c r="AH21" i="9"/>
  <c r="V21" i="9"/>
  <c r="J21" i="9"/>
  <c r="BG20" i="9"/>
  <c r="AU20" i="9"/>
  <c r="AI20" i="9"/>
  <c r="W20" i="9"/>
  <c r="K20" i="9"/>
  <c r="BH19" i="9"/>
  <c r="AV19" i="9"/>
  <c r="AJ19" i="9"/>
  <c r="X19" i="9"/>
  <c r="L19" i="9"/>
  <c r="BI18" i="9"/>
  <c r="AW18" i="9"/>
  <c r="AK18" i="9"/>
  <c r="Y18" i="9"/>
  <c r="M18" i="9"/>
  <c r="A18" i="9"/>
  <c r="AX17" i="9"/>
  <c r="AL17" i="9"/>
  <c r="Z17" i="9"/>
  <c r="N17" i="9"/>
  <c r="B17" i="9"/>
  <c r="AY16" i="9"/>
  <c r="AM16" i="9"/>
  <c r="AA16" i="9"/>
  <c r="O16" i="9"/>
  <c r="C16" i="9"/>
  <c r="AZ15" i="9"/>
  <c r="AN15" i="9"/>
  <c r="AB15" i="9"/>
  <c r="P15" i="9"/>
  <c r="D15" i="9"/>
  <c r="BA14" i="9"/>
  <c r="AO14" i="9"/>
  <c r="AC14" i="9"/>
  <c r="Q14" i="9"/>
  <c r="E14" i="9"/>
  <c r="BB13" i="9"/>
  <c r="AP13" i="9"/>
  <c r="AD13" i="9"/>
  <c r="R13" i="9"/>
  <c r="F13" i="9"/>
  <c r="BC12" i="9"/>
  <c r="AQ12" i="9"/>
  <c r="AE12" i="9"/>
  <c r="S12" i="9"/>
  <c r="G12" i="9"/>
  <c r="BD11" i="9"/>
  <c r="AR11" i="9"/>
  <c r="AF11" i="9"/>
  <c r="T11" i="9"/>
  <c r="H11" i="9"/>
  <c r="BE10" i="9"/>
  <c r="AS10" i="9"/>
  <c r="AG10" i="9"/>
  <c r="U10" i="9"/>
  <c r="I10" i="9"/>
  <c r="BF9" i="9"/>
  <c r="AT9" i="9"/>
  <c r="AH9" i="9"/>
  <c r="V9" i="9"/>
  <c r="J9" i="9"/>
  <c r="BG8" i="9"/>
  <c r="AU8" i="9"/>
  <c r="AI8" i="9"/>
  <c r="W8" i="9"/>
  <c r="K8" i="9"/>
  <c r="BH7" i="9"/>
  <c r="AV7" i="9"/>
  <c r="AJ7" i="9"/>
  <c r="X7" i="9"/>
  <c r="L7" i="9"/>
  <c r="BI6" i="9"/>
  <c r="AW6" i="9"/>
  <c r="AK6" i="9"/>
  <c r="Y6" i="9"/>
  <c r="M6" i="9"/>
  <c r="A6" i="9"/>
  <c r="AX5" i="9"/>
  <c r="AL5" i="9"/>
  <c r="Z5" i="9"/>
  <c r="N5" i="9"/>
  <c r="B5" i="9"/>
  <c r="AY4" i="9"/>
  <c r="AM4" i="9"/>
  <c r="AA4" i="9"/>
  <c r="O4" i="9"/>
  <c r="C4" i="9"/>
  <c r="AZ3" i="9"/>
  <c r="AN3" i="9"/>
  <c r="AB3" i="9"/>
  <c r="P3" i="9"/>
  <c r="D3" i="9"/>
  <c r="BA2" i="9"/>
  <c r="AO2" i="9"/>
  <c r="AC2" i="9"/>
  <c r="Q2" i="9"/>
  <c r="E2" i="9"/>
  <c r="BB1" i="9"/>
  <c r="AP1" i="9"/>
  <c r="AD1" i="9"/>
  <c r="R1" i="9"/>
  <c r="F1" i="9"/>
  <c r="AX66" i="9"/>
  <c r="F66" i="9"/>
  <c r="AB65" i="9"/>
  <c r="AZ64" i="9"/>
  <c r="P64" i="9"/>
  <c r="AO63" i="9"/>
  <c r="E63" i="9"/>
  <c r="AD62" i="9"/>
  <c r="BC61" i="9"/>
  <c r="S61" i="9"/>
  <c r="AR60" i="9"/>
  <c r="H60" i="9"/>
  <c r="AI59" i="9"/>
  <c r="H59" i="9"/>
  <c r="AV58" i="9"/>
  <c r="V58" i="9"/>
  <c r="BD57" i="9"/>
  <c r="AC57" i="9"/>
  <c r="J57" i="9"/>
  <c r="AR56" i="9"/>
  <c r="Q56" i="9"/>
  <c r="BF55" i="9"/>
  <c r="AE55" i="9"/>
  <c r="F55" i="9"/>
  <c r="AW54" i="9"/>
  <c r="Y54" i="9"/>
  <c r="E54" i="9"/>
  <c r="AP53" i="9"/>
  <c r="W53" i="9"/>
  <c r="BH52" i="9"/>
  <c r="AO52" i="9"/>
  <c r="Q52" i="9"/>
  <c r="BF51" i="9"/>
  <c r="AH51" i="9"/>
  <c r="P51" i="9"/>
  <c r="BF50" i="9"/>
  <c r="AJ50" i="9"/>
  <c r="S50" i="9"/>
  <c r="BI49" i="9"/>
  <c r="AN49" i="9"/>
  <c r="V49" i="9"/>
  <c r="D49" i="9"/>
  <c r="AR48" i="9"/>
  <c r="Y48" i="9"/>
  <c r="H48" i="9"/>
  <c r="AU47" i="9"/>
  <c r="AC47" i="9"/>
  <c r="K47" i="9"/>
  <c r="AZ46" i="9"/>
  <c r="AJ46" i="9"/>
  <c r="S46" i="9"/>
  <c r="B46" i="9"/>
  <c r="AU45" i="9"/>
  <c r="AC45" i="9"/>
  <c r="N45" i="9"/>
  <c r="BH44" i="9"/>
  <c r="AR44" i="9"/>
  <c r="AC44" i="9"/>
  <c r="L44" i="9"/>
  <c r="BE43" i="9"/>
  <c r="AP43" i="9"/>
  <c r="AA43" i="9"/>
  <c r="L43" i="9"/>
  <c r="BC42" i="9"/>
  <c r="AN42" i="9"/>
  <c r="Y42" i="9"/>
  <c r="I42" i="9"/>
  <c r="BC41" i="9"/>
  <c r="AL41" i="9"/>
  <c r="V41" i="9"/>
  <c r="G41" i="9"/>
  <c r="BA40" i="9"/>
  <c r="AK40" i="9"/>
  <c r="T40" i="9"/>
  <c r="E40" i="9"/>
  <c r="AX39" i="9"/>
  <c r="AI39" i="9"/>
  <c r="T39" i="9"/>
  <c r="B39" i="9"/>
  <c r="AV38" i="9"/>
  <c r="AG38" i="9"/>
  <c r="S38" i="9"/>
  <c r="E38" i="9"/>
  <c r="AY37" i="9"/>
  <c r="AK37" i="9"/>
  <c r="V37" i="9"/>
  <c r="H37" i="9"/>
  <c r="BC36" i="9"/>
  <c r="AN36" i="9"/>
  <c r="AA36" i="9"/>
  <c r="N36" i="9"/>
  <c r="A36" i="9"/>
  <c r="AW35" i="9"/>
  <c r="AJ35" i="9"/>
  <c r="W35" i="9"/>
  <c r="J35" i="9"/>
  <c r="BF34" i="9"/>
  <c r="AS34" i="9"/>
  <c r="AE34" i="9"/>
  <c r="R34" i="9"/>
  <c r="E34" i="9"/>
  <c r="BA33" i="9"/>
  <c r="AN33" i="9"/>
  <c r="AA33" i="9"/>
  <c r="N33" i="9"/>
  <c r="A33" i="9"/>
  <c r="AW32" i="9"/>
  <c r="AJ32" i="9"/>
  <c r="W32" i="9"/>
  <c r="I32" i="9"/>
  <c r="BE31" i="9"/>
  <c r="AR31" i="9"/>
  <c r="AE31" i="9"/>
  <c r="R31" i="9"/>
  <c r="E31" i="9"/>
  <c r="BA30" i="9"/>
  <c r="AN30" i="9"/>
  <c r="AA30" i="9"/>
  <c r="N30" i="9"/>
  <c r="A30" i="9"/>
  <c r="AV29" i="9"/>
  <c r="AI29" i="9"/>
  <c r="V29" i="9"/>
  <c r="I29" i="9"/>
  <c r="BE28" i="9"/>
  <c r="AR28" i="9"/>
  <c r="AE28" i="9"/>
  <c r="R28" i="9"/>
  <c r="E28" i="9"/>
  <c r="BA27" i="9"/>
  <c r="AN27" i="9"/>
  <c r="Z27" i="9"/>
  <c r="M27" i="9"/>
  <c r="BI26" i="9"/>
  <c r="AV26" i="9"/>
  <c r="AI26" i="9"/>
  <c r="V26" i="9"/>
  <c r="I26" i="9"/>
  <c r="BE25" i="9"/>
  <c r="AR25" i="9"/>
  <c r="AE25" i="9"/>
  <c r="R25" i="9"/>
  <c r="D25" i="9"/>
  <c r="AZ24" i="9"/>
  <c r="AM24" i="9"/>
  <c r="Z24" i="9"/>
  <c r="M24" i="9"/>
  <c r="BI23" i="9"/>
  <c r="AV23" i="9"/>
  <c r="AI23" i="9"/>
  <c r="V23" i="9"/>
  <c r="I23" i="9"/>
  <c r="BE22" i="9"/>
  <c r="AR22" i="9"/>
  <c r="AF22" i="9"/>
  <c r="T22" i="9"/>
  <c r="H22" i="9"/>
  <c r="BE21" i="9"/>
  <c r="AS21" i="9"/>
  <c r="AG21" i="9"/>
  <c r="U21" i="9"/>
  <c r="I21" i="9"/>
  <c r="BF20" i="9"/>
  <c r="AT20" i="9"/>
  <c r="AH20" i="9"/>
  <c r="V20" i="9"/>
  <c r="J20" i="9"/>
  <c r="BG19" i="9"/>
  <c r="AU19" i="9"/>
  <c r="AI19" i="9"/>
  <c r="W19" i="9"/>
  <c r="K19" i="9"/>
  <c r="BH18" i="9"/>
  <c r="AV18" i="9"/>
  <c r="AJ18" i="9"/>
  <c r="X18" i="9"/>
  <c r="L18" i="9"/>
  <c r="BI17" i="9"/>
  <c r="AW17" i="9"/>
  <c r="AK17" i="9"/>
  <c r="Y17" i="9"/>
  <c r="M17" i="9"/>
  <c r="A17" i="9"/>
  <c r="AX16" i="9"/>
  <c r="AL16" i="9"/>
  <c r="Z16" i="9"/>
  <c r="N16" i="9"/>
  <c r="B16" i="9"/>
  <c r="AY15" i="9"/>
  <c r="AM15" i="9"/>
  <c r="AA15" i="9"/>
  <c r="O15" i="9"/>
  <c r="C15" i="9"/>
  <c r="AZ14" i="9"/>
  <c r="AN14" i="9"/>
  <c r="AB14" i="9"/>
  <c r="P14" i="9"/>
  <c r="D14" i="9"/>
  <c r="BA13" i="9"/>
  <c r="AO13" i="9"/>
  <c r="AC13" i="9"/>
  <c r="Q13" i="9"/>
  <c r="E13" i="9"/>
  <c r="BB12" i="9"/>
  <c r="AP12" i="9"/>
  <c r="AD12" i="9"/>
  <c r="R12" i="9"/>
  <c r="F12" i="9"/>
  <c r="BC11" i="9"/>
  <c r="AQ11" i="9"/>
  <c r="AE11" i="9"/>
  <c r="S11" i="9"/>
  <c r="G11" i="9"/>
  <c r="BD10" i="9"/>
  <c r="AR10" i="9"/>
  <c r="AF10" i="9"/>
  <c r="T10" i="9"/>
  <c r="H10" i="9"/>
  <c r="BE9" i="9"/>
  <c r="AS9" i="9"/>
  <c r="AG9" i="9"/>
  <c r="U9" i="9"/>
  <c r="I9" i="9"/>
  <c r="BF8" i="9"/>
  <c r="AT8" i="9"/>
  <c r="AH8" i="9"/>
  <c r="V8" i="9"/>
  <c r="J8" i="9"/>
  <c r="BG7" i="9"/>
  <c r="AU7" i="9"/>
  <c r="AI7" i="9"/>
  <c r="W7" i="9"/>
  <c r="K7" i="9"/>
  <c r="BH6" i="9"/>
  <c r="AV6" i="9"/>
  <c r="AJ6" i="9"/>
  <c r="X6" i="9"/>
  <c r="L6" i="9"/>
  <c r="BI5" i="9"/>
  <c r="AW5" i="9"/>
  <c r="AK5" i="9"/>
  <c r="Y5" i="9"/>
  <c r="M5" i="9"/>
  <c r="A5" i="9"/>
  <c r="AX4" i="9"/>
  <c r="AL4" i="9"/>
  <c r="Z4" i="9"/>
  <c r="N4" i="9"/>
  <c r="B4" i="9"/>
  <c r="AY3" i="9"/>
  <c r="AM3" i="9"/>
  <c r="AA3" i="9"/>
  <c r="O3" i="9"/>
  <c r="C3" i="9"/>
  <c r="AZ2" i="9"/>
  <c r="AN2" i="9"/>
  <c r="AB2" i="9"/>
  <c r="P2" i="9"/>
  <c r="D2" i="9"/>
  <c r="BA1" i="9"/>
  <c r="AO1" i="9"/>
  <c r="AC1" i="9"/>
  <c r="Q1" i="9"/>
  <c r="E1" i="9"/>
  <c r="AQ66" i="9"/>
  <c r="D66" i="9"/>
  <c r="U65" i="9"/>
  <c r="AT64" i="9"/>
  <c r="J64" i="9"/>
  <c r="AI63" i="9"/>
  <c r="BH62" i="9"/>
  <c r="X62" i="9"/>
  <c r="AW61" i="9"/>
  <c r="M61" i="9"/>
  <c r="AL60" i="9"/>
  <c r="B60" i="9"/>
  <c r="AH59" i="9"/>
  <c r="F59" i="9"/>
  <c r="AN58" i="9"/>
  <c r="U58" i="9"/>
  <c r="BC57" i="9"/>
  <c r="AB57" i="9"/>
  <c r="H57" i="9"/>
  <c r="AP56" i="9"/>
  <c r="P56" i="9"/>
  <c r="AY55" i="9"/>
  <c r="AD55" i="9"/>
  <c r="E55" i="9"/>
  <c r="AU54" i="9"/>
  <c r="W54" i="9"/>
  <c r="D54" i="9"/>
  <c r="AO53" i="9"/>
  <c r="U53" i="9"/>
  <c r="BF52" i="9"/>
  <c r="AN52" i="9"/>
  <c r="P52" i="9"/>
  <c r="BE51" i="9"/>
  <c r="AG51" i="9"/>
  <c r="N51" i="9"/>
  <c r="BB50" i="9"/>
  <c r="AI50" i="9"/>
  <c r="R50" i="9"/>
  <c r="BE49" i="9"/>
  <c r="AM49" i="9"/>
  <c r="U49" i="9"/>
  <c r="BH48" i="9"/>
  <c r="AQ48" i="9"/>
  <c r="X48" i="9"/>
  <c r="B48" i="9"/>
  <c r="AT47" i="9"/>
  <c r="AA47" i="9"/>
  <c r="I47" i="9"/>
  <c r="AY46" i="9"/>
  <c r="AI46" i="9"/>
  <c r="R46" i="9"/>
  <c r="A46" i="9"/>
  <c r="AR45" i="9"/>
  <c r="AB45" i="9"/>
  <c r="M45" i="9"/>
  <c r="BG44" i="9"/>
  <c r="AQ44" i="9"/>
  <c r="AA44" i="9"/>
  <c r="K44" i="9"/>
  <c r="BD43" i="9"/>
  <c r="AO43" i="9"/>
  <c r="Z43" i="9"/>
  <c r="I43" i="9"/>
  <c r="BB42" i="9"/>
  <c r="AM42" i="9"/>
  <c r="W42" i="9"/>
  <c r="H42" i="9"/>
  <c r="BA41" i="9"/>
  <c r="AJ41" i="9"/>
  <c r="U41" i="9"/>
  <c r="F41" i="9"/>
  <c r="AZ40" i="9"/>
  <c r="AI40" i="9"/>
  <c r="S40" i="9"/>
  <c r="D40" i="9"/>
  <c r="AW39" i="9"/>
  <c r="AH39" i="9"/>
  <c r="R39" i="9"/>
  <c r="A39" i="9"/>
  <c r="AU38" i="9"/>
  <c r="AF38" i="9"/>
  <c r="R38" i="9"/>
  <c r="C38" i="9"/>
  <c r="AX37" i="9"/>
  <c r="AI37" i="9"/>
  <c r="U37" i="9"/>
  <c r="G37" i="9"/>
  <c r="BA36" i="9"/>
  <c r="AM36" i="9"/>
  <c r="Z36" i="9"/>
  <c r="M36" i="9"/>
  <c r="BI35" i="9"/>
  <c r="AV35" i="9"/>
  <c r="AI35" i="9"/>
  <c r="V35" i="9"/>
  <c r="I35" i="9"/>
  <c r="BE34" i="9"/>
  <c r="AQ34" i="9"/>
  <c r="AD34" i="9"/>
  <c r="Q34" i="9"/>
  <c r="D34" i="9"/>
  <c r="AZ33" i="9"/>
  <c r="AM33" i="9"/>
  <c r="Z33" i="9"/>
  <c r="M33" i="9"/>
  <c r="BI32" i="9"/>
  <c r="AV32" i="9"/>
  <c r="AI32" i="9"/>
  <c r="U32" i="9"/>
  <c r="H32" i="9"/>
  <c r="BD31" i="9"/>
  <c r="AQ31" i="9"/>
  <c r="AD31" i="9"/>
  <c r="Q31" i="9"/>
  <c r="D31" i="9"/>
  <c r="AZ30" i="9"/>
  <c r="AM30" i="9"/>
  <c r="Z30" i="9"/>
  <c r="M30" i="9"/>
  <c r="BH29" i="9"/>
  <c r="AU29" i="9"/>
  <c r="AH29" i="9"/>
  <c r="U29" i="9"/>
  <c r="H29" i="9"/>
  <c r="BD28" i="9"/>
  <c r="AQ28" i="9"/>
  <c r="AD28" i="9"/>
  <c r="Q28" i="9"/>
  <c r="D28" i="9"/>
  <c r="AZ27" i="9"/>
  <c r="AL27" i="9"/>
  <c r="Y27" i="9"/>
  <c r="L27" i="9"/>
  <c r="BH26" i="9"/>
  <c r="AU26" i="9"/>
  <c r="AH26" i="9"/>
  <c r="U26" i="9"/>
  <c r="H26" i="9"/>
  <c r="BD25" i="9"/>
  <c r="AQ25" i="9"/>
  <c r="AD25" i="9"/>
  <c r="P25" i="9"/>
  <c r="C25" i="9"/>
  <c r="AY24" i="9"/>
  <c r="AL24" i="9"/>
  <c r="Y24" i="9"/>
  <c r="L24" i="9"/>
  <c r="BH23" i="9"/>
  <c r="AU23" i="9"/>
  <c r="AH23" i="9"/>
  <c r="U23" i="9"/>
  <c r="H23" i="9"/>
  <c r="BC22" i="9"/>
  <c r="AQ22" i="9"/>
  <c r="AE22" i="9"/>
  <c r="S22" i="9"/>
  <c r="G22" i="9"/>
  <c r="BD21" i="9"/>
  <c r="AR21" i="9"/>
  <c r="AF21" i="9"/>
  <c r="T21" i="9"/>
  <c r="H21" i="9"/>
  <c r="BE20" i="9"/>
  <c r="AS20" i="9"/>
  <c r="AG20" i="9"/>
  <c r="U20" i="9"/>
  <c r="I20" i="9"/>
  <c r="BF19" i="9"/>
  <c r="AT19" i="9"/>
  <c r="AH19" i="9"/>
  <c r="V19" i="9"/>
  <c r="J19" i="9"/>
  <c r="BG18" i="9"/>
  <c r="AU18" i="9"/>
  <c r="AI18" i="9"/>
  <c r="W18" i="9"/>
  <c r="K18" i="9"/>
  <c r="BH17" i="9"/>
  <c r="AV17" i="9"/>
  <c r="AJ17" i="9"/>
  <c r="X17" i="9"/>
  <c r="L17" i="9"/>
  <c r="BI16" i="9"/>
  <c r="AW16" i="9"/>
  <c r="AK16" i="9"/>
  <c r="Y16" i="9"/>
  <c r="M16" i="9"/>
  <c r="A16" i="9"/>
  <c r="AX15" i="9"/>
  <c r="AL15" i="9"/>
  <c r="Z15" i="9"/>
  <c r="N15" i="9"/>
  <c r="B15" i="9"/>
  <c r="AY14" i="9"/>
  <c r="AM14" i="9"/>
  <c r="AA14" i="9"/>
  <c r="O14" i="9"/>
  <c r="C14" i="9"/>
  <c r="AZ13" i="9"/>
  <c r="AN13" i="9"/>
  <c r="AB13" i="9"/>
  <c r="P13" i="9"/>
  <c r="D13" i="9"/>
  <c r="BA12" i="9"/>
  <c r="AO12" i="9"/>
  <c r="AC12" i="9"/>
  <c r="Q12" i="9"/>
  <c r="E12" i="9"/>
  <c r="BB11" i="9"/>
  <c r="AP11" i="9"/>
  <c r="AD11" i="9"/>
  <c r="R11" i="9"/>
  <c r="F11" i="9"/>
  <c r="BC10" i="9"/>
  <c r="AQ10" i="9"/>
  <c r="AE10" i="9"/>
  <c r="S10" i="9"/>
  <c r="G10" i="9"/>
  <c r="BD9" i="9"/>
  <c r="AR9" i="9"/>
  <c r="AF9" i="9"/>
  <c r="T9" i="9"/>
  <c r="H9" i="9"/>
  <c r="BE8" i="9"/>
  <c r="AS8" i="9"/>
  <c r="AG8" i="9"/>
  <c r="U8" i="9"/>
  <c r="I8" i="9"/>
  <c r="BF7" i="9"/>
  <c r="AT7" i="9"/>
  <c r="AH7" i="9"/>
  <c r="V7" i="9"/>
  <c r="J7" i="9"/>
  <c r="BG6" i="9"/>
  <c r="AU6" i="9"/>
  <c r="AI6" i="9"/>
  <c r="W6" i="9"/>
  <c r="K6" i="9"/>
  <c r="BH5" i="9"/>
  <c r="AV5" i="9"/>
  <c r="AJ5" i="9"/>
  <c r="X5" i="9"/>
  <c r="L5" i="9"/>
  <c r="BI4" i="9"/>
  <c r="AW4" i="9"/>
  <c r="AK4" i="9"/>
  <c r="Y4" i="9"/>
  <c r="M4" i="9"/>
  <c r="A4" i="9"/>
  <c r="AX3" i="9"/>
  <c r="AL3" i="9"/>
  <c r="Z3" i="9"/>
  <c r="N3" i="9"/>
  <c r="B3" i="9"/>
  <c r="AY2" i="9"/>
  <c r="AM2" i="9"/>
  <c r="AA2" i="9"/>
  <c r="O2" i="9"/>
  <c r="C2" i="9"/>
  <c r="AZ1" i="9"/>
  <c r="AN1" i="9"/>
  <c r="AB1" i="9"/>
  <c r="P1" i="9"/>
  <c r="D1" i="9"/>
  <c r="AC66" i="9"/>
  <c r="AY65" i="9"/>
  <c r="H65" i="9"/>
  <c r="AG64" i="9"/>
  <c r="BF63" i="9"/>
  <c r="V63" i="9"/>
  <c r="AU62" i="9"/>
  <c r="K62" i="9"/>
  <c r="AJ61" i="9"/>
  <c r="BI60" i="9"/>
  <c r="Y60" i="9"/>
  <c r="AX59" i="9"/>
  <c r="V59" i="9"/>
  <c r="A59" i="9"/>
  <c r="AJ58" i="9"/>
  <c r="J58" i="9"/>
  <c r="AR57" i="9"/>
  <c r="X57" i="9"/>
  <c r="BG56" i="9"/>
  <c r="AF56" i="9"/>
  <c r="L56" i="9"/>
  <c r="AT55" i="9"/>
  <c r="S55" i="9"/>
  <c r="A55" i="9"/>
  <c r="AL54" i="9"/>
  <c r="R54" i="9"/>
  <c r="BC53" i="9"/>
  <c r="AJ53" i="9"/>
  <c r="L53" i="9"/>
  <c r="BB52" i="9"/>
  <c r="AD52" i="9"/>
  <c r="J52" i="9"/>
  <c r="AU51" i="9"/>
  <c r="AC51" i="9"/>
  <c r="F51" i="9"/>
  <c r="AV50" i="9"/>
  <c r="AE50" i="9"/>
  <c r="I50" i="9"/>
  <c r="AZ49" i="9"/>
  <c r="AH49" i="9"/>
  <c r="L49" i="9"/>
  <c r="BD48" i="9"/>
  <c r="AK48" i="9"/>
  <c r="P48" i="9"/>
  <c r="BG47" i="9"/>
  <c r="AO47" i="9"/>
  <c r="T47" i="9"/>
  <c r="B47" i="9"/>
  <c r="AU46" i="9"/>
  <c r="AD46" i="9"/>
  <c r="L46" i="9"/>
  <c r="BC45" i="9"/>
  <c r="AM45" i="9"/>
  <c r="X45" i="9"/>
  <c r="H45" i="9"/>
  <c r="BA44" i="9"/>
  <c r="AK44" i="9"/>
  <c r="U44" i="9"/>
  <c r="F44" i="9"/>
  <c r="AZ43" i="9"/>
  <c r="AJ43" i="9"/>
  <c r="S43" i="9"/>
  <c r="D43" i="9"/>
  <c r="AX42" i="9"/>
  <c r="AH42" i="9"/>
  <c r="R42" i="9"/>
  <c r="B42" i="9"/>
  <c r="AU41" i="9"/>
  <c r="AF41" i="9"/>
  <c r="Q41" i="9"/>
  <c r="BI40" i="9"/>
  <c r="AS40" i="9"/>
  <c r="AD40" i="9"/>
  <c r="O40" i="9"/>
  <c r="BH39" i="9"/>
  <c r="AR39" i="9"/>
  <c r="AB39" i="9"/>
  <c r="L39" i="9"/>
  <c r="BF38" i="9"/>
  <c r="AQ38" i="9"/>
  <c r="Z38" i="9"/>
  <c r="L38" i="9"/>
  <c r="BG37" i="9"/>
  <c r="AS37" i="9"/>
  <c r="AE37" i="9"/>
  <c r="P37" i="9"/>
  <c r="B37" i="9"/>
  <c r="AW36" i="9"/>
  <c r="AI36" i="9"/>
  <c r="V36" i="9"/>
  <c r="I36" i="9"/>
  <c r="BE35" i="9"/>
  <c r="AR35" i="9"/>
  <c r="AD35" i="9"/>
  <c r="Q35" i="9"/>
  <c r="D35" i="9"/>
  <c r="AZ34" i="9"/>
  <c r="AM34" i="9"/>
  <c r="Z34" i="9"/>
  <c r="M34" i="9"/>
  <c r="BI33" i="9"/>
  <c r="AV33" i="9"/>
  <c r="AI33" i="9"/>
  <c r="V33" i="9"/>
  <c r="H33" i="9"/>
  <c r="BD32" i="9"/>
  <c r="AQ32" i="9"/>
  <c r="AD32" i="9"/>
  <c r="Q32" i="9"/>
  <c r="D32" i="9"/>
  <c r="AZ31" i="9"/>
  <c r="AM31" i="9"/>
  <c r="Z31" i="9"/>
  <c r="M31" i="9"/>
  <c r="BI30" i="9"/>
  <c r="AU30" i="9"/>
  <c r="AH30" i="9"/>
  <c r="U30" i="9"/>
  <c r="H30" i="9"/>
  <c r="BD29" i="9"/>
  <c r="AQ29" i="9"/>
  <c r="AD29" i="9"/>
  <c r="Q29" i="9"/>
  <c r="D29" i="9"/>
  <c r="AZ28" i="9"/>
  <c r="AM28" i="9"/>
  <c r="Y28" i="9"/>
  <c r="L28" i="9"/>
  <c r="BH27" i="9"/>
  <c r="AU27" i="9"/>
  <c r="AH27" i="9"/>
  <c r="U27" i="9"/>
  <c r="H27" i="9"/>
  <c r="BD26" i="9"/>
  <c r="AQ26" i="9"/>
  <c r="AD26" i="9"/>
  <c r="Q26" i="9"/>
  <c r="C26" i="9"/>
  <c r="AY25" i="9"/>
  <c r="AL25" i="9"/>
  <c r="Y25" i="9"/>
  <c r="L25" i="9"/>
  <c r="BH24" i="9"/>
  <c r="AU24" i="9"/>
  <c r="AH24" i="9"/>
  <c r="U24" i="9"/>
  <c r="H24" i="9"/>
  <c r="BD23" i="9"/>
  <c r="AP23" i="9"/>
  <c r="AC23" i="9"/>
  <c r="P23" i="9"/>
  <c r="C23" i="9"/>
  <c r="AY22" i="9"/>
  <c r="AM22" i="9"/>
  <c r="AA22" i="9"/>
  <c r="O22" i="9"/>
  <c r="C22" i="9"/>
  <c r="AZ21" i="9"/>
  <c r="AN21" i="9"/>
  <c r="AB21" i="9"/>
  <c r="P21" i="9"/>
  <c r="D21" i="9"/>
  <c r="BA20" i="9"/>
  <c r="AO20" i="9"/>
  <c r="AC20" i="9"/>
  <c r="Q20" i="9"/>
  <c r="E20" i="9"/>
  <c r="BB19" i="9"/>
  <c r="AP19" i="9"/>
  <c r="AD19" i="9"/>
  <c r="R19" i="9"/>
  <c r="F19" i="9"/>
  <c r="BC18" i="9"/>
  <c r="AQ18" i="9"/>
  <c r="AE18" i="9"/>
  <c r="S18" i="9"/>
  <c r="G18" i="9"/>
  <c r="BD17" i="9"/>
  <c r="AR17" i="9"/>
  <c r="AF17" i="9"/>
  <c r="T17" i="9"/>
  <c r="H17" i="9"/>
  <c r="BE16" i="9"/>
  <c r="AS16" i="9"/>
  <c r="AG16" i="9"/>
  <c r="U16" i="9"/>
  <c r="I16" i="9"/>
  <c r="BF15" i="9"/>
  <c r="AT15" i="9"/>
  <c r="AH15" i="9"/>
  <c r="V15" i="9"/>
  <c r="J15" i="9"/>
  <c r="BG14" i="9"/>
  <c r="AU14" i="9"/>
  <c r="AI14" i="9"/>
  <c r="W14" i="9"/>
  <c r="K14" i="9"/>
  <c r="BH13" i="9"/>
  <c r="AV13" i="9"/>
  <c r="AJ13" i="9"/>
  <c r="X13" i="9"/>
  <c r="L13" i="9"/>
  <c r="BI12" i="9"/>
  <c r="AW12" i="9"/>
  <c r="AK12" i="9"/>
  <c r="Y12" i="9"/>
  <c r="M12" i="9"/>
  <c r="A12" i="9"/>
  <c r="AX11" i="9"/>
  <c r="AL11" i="9"/>
  <c r="Z11" i="9"/>
  <c r="N11" i="9"/>
  <c r="B11" i="9"/>
  <c r="AY10" i="9"/>
  <c r="AM10" i="9"/>
  <c r="AA10" i="9"/>
  <c r="O10" i="9"/>
  <c r="C10" i="9"/>
  <c r="AZ9" i="9"/>
  <c r="AN9" i="9"/>
  <c r="AB9" i="9"/>
  <c r="P9" i="9"/>
  <c r="D9" i="9"/>
  <c r="BA8" i="9"/>
  <c r="AO8" i="9"/>
  <c r="AC8" i="9"/>
  <c r="Q8" i="9"/>
  <c r="E8" i="9"/>
  <c r="BB7" i="9"/>
  <c r="AP7" i="9"/>
  <c r="AD7" i="9"/>
  <c r="R7" i="9"/>
  <c r="F7" i="9"/>
  <c r="BC6" i="9"/>
  <c r="AQ6" i="9"/>
  <c r="AE6" i="9"/>
  <c r="S6" i="9"/>
  <c r="G6" i="9"/>
  <c r="BD5" i="9"/>
  <c r="AR5" i="9"/>
  <c r="AF5" i="9"/>
  <c r="AB66" i="9"/>
  <c r="AN64" i="9"/>
  <c r="W63" i="9"/>
  <c r="H62" i="9"/>
  <c r="AC60" i="9"/>
  <c r="U59" i="9"/>
  <c r="S58" i="9"/>
  <c r="Y57" i="9"/>
  <c r="AC56" i="9"/>
  <c r="V55" i="9"/>
  <c r="AK54" i="9"/>
  <c r="AN53" i="9"/>
  <c r="BC52" i="9"/>
  <c r="D52" i="9"/>
  <c r="K51" i="9"/>
  <c r="AD50" i="9"/>
  <c r="AK49" i="9"/>
  <c r="BE48" i="9"/>
  <c r="M48" i="9"/>
  <c r="Y47" i="9"/>
  <c r="AT46" i="9"/>
  <c r="BI45" i="9"/>
  <c r="Y45" i="9"/>
  <c r="AX44" i="9"/>
  <c r="H44" i="9"/>
  <c r="AG43" i="9"/>
  <c r="BA42" i="9"/>
  <c r="T42" i="9"/>
  <c r="AS41" i="9"/>
  <c r="D41" i="9"/>
  <c r="AC40" i="9"/>
  <c r="AV39" i="9"/>
  <c r="M39" i="9"/>
  <c r="AM38" i="9"/>
  <c r="BI37" i="9"/>
  <c r="AD37" i="9"/>
  <c r="AZ36" i="9"/>
  <c r="W36" i="9"/>
  <c r="BB35" i="9"/>
  <c r="T35" i="9"/>
  <c r="AY34" i="9"/>
  <c r="P34" i="9"/>
  <c r="AW33" i="9"/>
  <c r="S33" i="9"/>
  <c r="AS32" i="9"/>
  <c r="P32" i="9"/>
  <c r="AP31" i="9"/>
  <c r="N31" i="9"/>
  <c r="AS30" i="9"/>
  <c r="J30" i="9"/>
  <c r="AP29" i="9"/>
  <c r="G29" i="9"/>
  <c r="AN28" i="9"/>
  <c r="J28" i="9"/>
  <c r="AJ27" i="9"/>
  <c r="G27" i="9"/>
  <c r="AG26" i="9"/>
  <c r="E26" i="9"/>
  <c r="AJ25" i="9"/>
  <c r="A25" i="9"/>
  <c r="AG24" i="9"/>
  <c r="BG23" i="9"/>
  <c r="AD23" i="9"/>
  <c r="A23" i="9"/>
  <c r="AC22" i="9"/>
  <c r="B22" i="9"/>
  <c r="AE21" i="9"/>
  <c r="E21" i="9"/>
  <c r="AM20" i="9"/>
  <c r="G20" i="9"/>
  <c r="AO19" i="9"/>
  <c r="I19" i="9"/>
  <c r="AR18" i="9"/>
  <c r="Q18" i="9"/>
  <c r="AT17" i="9"/>
  <c r="S17" i="9"/>
  <c r="AV16" i="9"/>
  <c r="V16" i="9"/>
  <c r="BD15" i="9"/>
  <c r="X15" i="9"/>
  <c r="BF14" i="9"/>
  <c r="Z14" i="9"/>
  <c r="BI13" i="9"/>
  <c r="AH13" i="9"/>
  <c r="B13" i="9"/>
  <c r="AJ12" i="9"/>
  <c r="D12" i="9"/>
  <c r="AM11" i="9"/>
  <c r="L11" i="9"/>
  <c r="AO10" i="9"/>
  <c r="N10" i="9"/>
  <c r="AQ9" i="9"/>
  <c r="Q9" i="9"/>
  <c r="AY8" i="9"/>
  <c r="S8" i="9"/>
  <c r="BA7" i="9"/>
  <c r="Z7" i="9"/>
  <c r="B7" i="9"/>
  <c r="AM6" i="9"/>
  <c r="O6" i="9"/>
  <c r="AZ5" i="9"/>
  <c r="AB5" i="9"/>
  <c r="G5" i="9"/>
  <c r="AT4" i="9"/>
  <c r="X4" i="9"/>
  <c r="G4" i="9"/>
  <c r="AT3" i="9"/>
  <c r="X3" i="9"/>
  <c r="F3" i="9"/>
  <c r="AT2" i="9"/>
  <c r="X2" i="9"/>
  <c r="B2" i="9"/>
  <c r="AT1" i="9"/>
  <c r="X1" i="9"/>
  <c r="B1" i="9"/>
  <c r="Z66" i="9"/>
  <c r="BB65" i="9"/>
  <c r="AH64" i="9"/>
  <c r="S63" i="9"/>
  <c r="AN61" i="9"/>
  <c r="X60" i="9"/>
  <c r="E59" i="9"/>
  <c r="K58" i="9"/>
  <c r="O57" i="9"/>
  <c r="N56" i="9"/>
  <c r="R55" i="9"/>
  <c r="V54" i="9"/>
  <c r="AL53" i="9"/>
  <c r="AT52" i="9"/>
  <c r="AX51" i="9"/>
  <c r="E51" i="9"/>
  <c r="Q50" i="9"/>
  <c r="AI49" i="9"/>
  <c r="BA48" i="9"/>
  <c r="BI47" i="9"/>
  <c r="R47" i="9"/>
  <c r="AH46" i="9"/>
  <c r="BD45" i="9"/>
  <c r="V45" i="9"/>
  <c r="AN44" i="9"/>
  <c r="E44" i="9"/>
  <c r="Y43" i="9"/>
  <c r="AY42" i="9"/>
  <c r="O42" i="9"/>
  <c r="AH41" i="9"/>
  <c r="BG40" i="9"/>
  <c r="R40" i="9"/>
  <c r="AT39" i="9"/>
  <c r="J39" i="9"/>
  <c r="AD38" i="9"/>
  <c r="BF37" i="9"/>
  <c r="T37" i="9"/>
  <c r="AX36" i="9"/>
  <c r="T36" i="9"/>
  <c r="AT35" i="9"/>
  <c r="P35" i="9"/>
  <c r="AP34" i="9"/>
  <c r="N34" i="9"/>
  <c r="AT33" i="9"/>
  <c r="K33" i="9"/>
  <c r="AP32" i="9"/>
  <c r="G32" i="9"/>
  <c r="AN31" i="9"/>
  <c r="J31" i="9"/>
  <c r="AK30" i="9"/>
  <c r="G30" i="9"/>
  <c r="AG29" i="9"/>
  <c r="E29" i="9"/>
  <c r="AJ28" i="9"/>
  <c r="A28" i="9"/>
  <c r="AG27" i="9"/>
  <c r="BG26" i="9"/>
  <c r="AE26" i="9"/>
  <c r="A26" i="9"/>
  <c r="AA25" i="9"/>
  <c r="BG24" i="9"/>
  <c r="X24" i="9"/>
  <c r="BE23" i="9"/>
  <c r="AA23" i="9"/>
  <c r="BA22" i="9"/>
  <c r="Z22" i="9"/>
  <c r="BC21" i="9"/>
  <c r="AC21" i="9"/>
  <c r="B21" i="9"/>
  <c r="AE20" i="9"/>
  <c r="D20" i="9"/>
  <c r="AG19" i="9"/>
  <c r="G19" i="9"/>
  <c r="AO18" i="9"/>
  <c r="I18" i="9"/>
  <c r="AQ17" i="9"/>
  <c r="K17" i="9"/>
  <c r="AT16" i="9"/>
  <c r="S16" i="9"/>
  <c r="AV15" i="9"/>
  <c r="U15" i="9"/>
  <c r="AX14" i="9"/>
  <c r="X14" i="9"/>
  <c r="BF13" i="9"/>
  <c r="Z13" i="9"/>
  <c r="BH12" i="9"/>
  <c r="AB12" i="9"/>
  <c r="B12" i="9"/>
  <c r="AJ11" i="9"/>
  <c r="D11" i="9"/>
  <c r="AL10" i="9"/>
  <c r="F10" i="9"/>
  <c r="AO9" i="9"/>
  <c r="N9" i="9"/>
  <c r="AQ8" i="9"/>
  <c r="P8" i="9"/>
  <c r="AS7" i="9"/>
  <c r="T7" i="9"/>
  <c r="BE6" i="9"/>
  <c r="AG6" i="9"/>
  <c r="I6" i="9"/>
  <c r="AT5" i="9"/>
  <c r="V5" i="9"/>
  <c r="D5" i="9"/>
  <c r="AR4" i="9"/>
  <c r="V4" i="9"/>
  <c r="BI3" i="9"/>
  <c r="AR3" i="9"/>
  <c r="V3" i="9"/>
  <c r="BI2" i="9"/>
  <c r="AQ2" i="9"/>
  <c r="V2" i="9"/>
  <c r="BI1" i="9"/>
  <c r="AM1" i="9"/>
  <c r="V1" i="9"/>
  <c r="A1" i="9"/>
  <c r="BA65" i="9"/>
  <c r="AF64" i="9"/>
  <c r="BB62" i="9"/>
  <c r="AK61" i="9"/>
  <c r="V60" i="9"/>
  <c r="C59" i="9"/>
  <c r="I58" i="9"/>
  <c r="A57" i="9"/>
  <c r="M56" i="9"/>
  <c r="Q55" i="9"/>
  <c r="T54" i="9"/>
  <c r="AI53" i="9"/>
  <c r="AM52" i="9"/>
  <c r="AW51" i="9"/>
  <c r="D51" i="9"/>
  <c r="O50" i="9"/>
  <c r="AG49" i="9"/>
  <c r="AO48" i="9"/>
  <c r="BH47" i="9"/>
  <c r="Q47" i="9"/>
  <c r="AG46" i="9"/>
  <c r="BA45" i="9"/>
  <c r="L45" i="9"/>
  <c r="AL44" i="9"/>
  <c r="D44" i="9"/>
  <c r="V43" i="9"/>
  <c r="AW42" i="9"/>
  <c r="G42" i="9"/>
  <c r="AG41" i="9"/>
  <c r="BF40" i="9"/>
  <c r="Q40" i="9"/>
  <c r="AP39" i="9"/>
  <c r="BI38" i="9"/>
  <c r="AC38" i="9"/>
  <c r="BE37" i="9"/>
  <c r="S37" i="9"/>
  <c r="AV36" i="9"/>
  <c r="L36" i="9"/>
  <c r="AS35" i="9"/>
  <c r="O35" i="9"/>
  <c r="AO34" i="9"/>
  <c r="L34" i="9"/>
  <c r="AL33" i="9"/>
  <c r="J33" i="9"/>
  <c r="AO32" i="9"/>
  <c r="F32" i="9"/>
  <c r="AL31" i="9"/>
  <c r="C31" i="9"/>
  <c r="AI30" i="9"/>
  <c r="F30" i="9"/>
  <c r="AF29" i="9"/>
  <c r="C29" i="9"/>
  <c r="AC28" i="9"/>
  <c r="BI27" i="9"/>
  <c r="AF27" i="9"/>
  <c r="BF26" i="9"/>
  <c r="AC26" i="9"/>
  <c r="BC25" i="9"/>
  <c r="Z25" i="9"/>
  <c r="BF24" i="9"/>
  <c r="W24" i="9"/>
  <c r="BB23" i="9"/>
  <c r="T23" i="9"/>
  <c r="AZ22" i="9"/>
  <c r="Y22" i="9"/>
  <c r="BB21" i="9"/>
  <c r="AA21" i="9"/>
  <c r="BD20" i="9"/>
  <c r="AD20" i="9"/>
  <c r="C20" i="9"/>
  <c r="AF19" i="9"/>
  <c r="E19" i="9"/>
  <c r="AH18" i="9"/>
  <c r="H18" i="9"/>
  <c r="AP17" i="9"/>
  <c r="J17" i="9"/>
  <c r="AR16" i="9"/>
  <c r="L16" i="9"/>
  <c r="AU15" i="9"/>
  <c r="T15" i="9"/>
  <c r="AW14" i="9"/>
  <c r="V14" i="9"/>
  <c r="AY13" i="9"/>
  <c r="Y13" i="9"/>
  <c r="BG12" i="9"/>
  <c r="AA12" i="9"/>
  <c r="BI11" i="9"/>
  <c r="AC11" i="9"/>
  <c r="C11" i="9"/>
  <c r="AK10" i="9"/>
  <c r="E10" i="9"/>
  <c r="AM9" i="9"/>
  <c r="G9" i="9"/>
  <c r="AP8" i="9"/>
  <c r="O8" i="9"/>
  <c r="AR7" i="9"/>
  <c r="S7" i="9"/>
  <c r="BD6" i="9"/>
  <c r="AF6" i="9"/>
  <c r="H6" i="9"/>
  <c r="AS5" i="9"/>
  <c r="U5" i="9"/>
  <c r="BH4" i="9"/>
  <c r="AQ4" i="9"/>
  <c r="U4" i="9"/>
  <c r="BH3" i="9"/>
  <c r="AP3" i="9"/>
  <c r="U3" i="9"/>
  <c r="BH2" i="9"/>
  <c r="AL2" i="9"/>
  <c r="U2" i="9"/>
  <c r="BH1" i="9"/>
  <c r="AL1" i="9"/>
  <c r="T1" i="9"/>
  <c r="AZ65" i="9"/>
  <c r="AD64" i="9"/>
  <c r="AY62" i="9"/>
  <c r="AI61" i="9"/>
  <c r="BE59" i="9"/>
  <c r="B59" i="9"/>
  <c r="G58" i="9"/>
  <c r="BI56" i="9"/>
  <c r="D56" i="9"/>
  <c r="D55" i="9"/>
  <c r="S54" i="9"/>
  <c r="AC53" i="9"/>
  <c r="AF52" i="9"/>
  <c r="AT51" i="9"/>
  <c r="BA50" i="9"/>
  <c r="J50" i="9"/>
  <c r="AB49" i="9"/>
  <c r="AN48" i="9"/>
  <c r="BF47" i="9"/>
  <c r="F47" i="9"/>
  <c r="AE46" i="9"/>
  <c r="AZ45" i="9"/>
  <c r="K45" i="9"/>
  <c r="AJ44" i="9"/>
  <c r="BC43" i="9"/>
  <c r="T43" i="9"/>
  <c r="AU42" i="9"/>
  <c r="E42" i="9"/>
  <c r="AE41" i="9"/>
  <c r="AY40" i="9"/>
  <c r="P40" i="9"/>
  <c r="AO39" i="9"/>
  <c r="BH38" i="9"/>
  <c r="Y38" i="9"/>
  <c r="AV37" i="9"/>
  <c r="R37" i="9"/>
  <c r="AU36" i="9"/>
  <c r="K36" i="9"/>
  <c r="AP35" i="9"/>
  <c r="H35" i="9"/>
  <c r="AN34" i="9"/>
  <c r="K34" i="9"/>
  <c r="AK33" i="9"/>
  <c r="G33" i="9"/>
  <c r="AG32" i="9"/>
  <c r="E32" i="9"/>
  <c r="AK31" i="9"/>
  <c r="B31" i="9"/>
  <c r="AG30" i="9"/>
  <c r="BG29" i="9"/>
  <c r="AE29" i="9"/>
  <c r="B29" i="9"/>
  <c r="AB28" i="9"/>
  <c r="BG27" i="9"/>
  <c r="X27" i="9"/>
  <c r="BE26" i="9"/>
  <c r="AA26" i="9"/>
  <c r="BB25" i="9"/>
  <c r="X25" i="9"/>
  <c r="AX24" i="9"/>
  <c r="V24" i="9"/>
  <c r="BA23" i="9"/>
  <c r="R23" i="9"/>
  <c r="AX22" i="9"/>
  <c r="R22" i="9"/>
  <c r="BA21" i="9"/>
  <c r="Z21" i="9"/>
  <c r="BC20" i="9"/>
  <c r="AB20" i="9"/>
  <c r="BE19" i="9"/>
  <c r="AE19" i="9"/>
  <c r="D19" i="9"/>
  <c r="AG18" i="9"/>
  <c r="F18" i="9"/>
  <c r="AI17" i="9"/>
  <c r="I17" i="9"/>
  <c r="AQ16" i="9"/>
  <c r="K16" i="9"/>
  <c r="AS15" i="9"/>
  <c r="M15" i="9"/>
  <c r="AV14" i="9"/>
  <c r="U14" i="9"/>
  <c r="AX13" i="9"/>
  <c r="W13" i="9"/>
  <c r="AZ12" i="9"/>
  <c r="Z12" i="9"/>
  <c r="BH11" i="9"/>
  <c r="AB11" i="9"/>
  <c r="A11" i="9"/>
  <c r="AD10" i="9"/>
  <c r="D10" i="9"/>
  <c r="AL9" i="9"/>
  <c r="F9" i="9"/>
  <c r="AN8" i="9"/>
  <c r="H8" i="9"/>
  <c r="AQ7" i="9"/>
  <c r="Q7" i="9"/>
  <c r="BB6" i="9"/>
  <c r="AD6" i="9"/>
  <c r="F6" i="9"/>
  <c r="AQ5" i="9"/>
  <c r="T5" i="9"/>
  <c r="BG4" i="9"/>
  <c r="AO4" i="9"/>
  <c r="T4" i="9"/>
  <c r="BG3" i="9"/>
  <c r="AK3" i="9"/>
  <c r="T3" i="9"/>
  <c r="BG2" i="9"/>
  <c r="AK2" i="9"/>
  <c r="S2" i="9"/>
  <c r="BG1" i="9"/>
  <c r="AK1" i="9"/>
  <c r="O1" i="9"/>
  <c r="AQ65" i="9"/>
  <c r="A64" i="9"/>
  <c r="AT62" i="9"/>
  <c r="G61" i="9"/>
  <c r="AY59" i="9"/>
  <c r="BB58" i="9"/>
  <c r="AZ57" i="9"/>
  <c r="BE56" i="9"/>
  <c r="AX55" i="9"/>
  <c r="B55" i="9"/>
  <c r="K54" i="9"/>
  <c r="O53" i="9"/>
  <c r="AC52" i="9"/>
  <c r="AF51" i="9"/>
  <c r="AX50" i="9"/>
  <c r="G50" i="9"/>
  <c r="S49" i="9"/>
  <c r="AJ48" i="9"/>
  <c r="AS47" i="9"/>
  <c r="C47" i="9"/>
  <c r="Z46" i="9"/>
  <c r="AO45" i="9"/>
  <c r="G45" i="9"/>
  <c r="Y44" i="9"/>
  <c r="BA43" i="9"/>
  <c r="Q43" i="9"/>
  <c r="AK42" i="9"/>
  <c r="A42" i="9"/>
  <c r="T41" i="9"/>
  <c r="AT40" i="9"/>
  <c r="L40" i="9"/>
  <c r="AE39" i="9"/>
  <c r="BE38" i="9"/>
  <c r="Q38" i="9"/>
  <c r="AT37" i="9"/>
  <c r="N37" i="9"/>
  <c r="AK36" i="9"/>
  <c r="H36" i="9"/>
  <c r="AH35" i="9"/>
  <c r="E35" i="9"/>
  <c r="AK34" i="9"/>
  <c r="B34" i="9"/>
  <c r="AH33" i="9"/>
  <c r="BH32" i="9"/>
  <c r="AE32" i="9"/>
  <c r="B32" i="9"/>
  <c r="AB31" i="9"/>
  <c r="BG30" i="9"/>
  <c r="Y30" i="9"/>
  <c r="BE29" i="9"/>
  <c r="AB29" i="9"/>
  <c r="BB28" i="9"/>
  <c r="X28" i="9"/>
  <c r="AX27" i="9"/>
  <c r="V27" i="9"/>
  <c r="BB26" i="9"/>
  <c r="S26" i="9"/>
  <c r="AX25" i="9"/>
  <c r="O25" i="9"/>
  <c r="AV24" i="9"/>
  <c r="S24" i="9"/>
  <c r="AS23" i="9"/>
  <c r="O23" i="9"/>
  <c r="AP22" i="9"/>
  <c r="P22" i="9"/>
  <c r="AX21" i="9"/>
  <c r="R21" i="9"/>
  <c r="AZ20" i="9"/>
  <c r="T20" i="9"/>
  <c r="BC19" i="9"/>
  <c r="AB19" i="9"/>
  <c r="BE18" i="9"/>
  <c r="AD18" i="9"/>
  <c r="BG17" i="9"/>
  <c r="AG17" i="9"/>
  <c r="F17" i="9"/>
  <c r="AI16" i="9"/>
  <c r="H16" i="9"/>
  <c r="AK15" i="9"/>
  <c r="K15" i="9"/>
  <c r="AS14" i="9"/>
  <c r="M14" i="9"/>
  <c r="AU13" i="9"/>
  <c r="O13" i="9"/>
  <c r="AX12" i="9"/>
  <c r="W12" i="9"/>
  <c r="AZ11" i="9"/>
  <c r="Y11" i="9"/>
  <c r="BB10" i="9"/>
  <c r="AB10" i="9"/>
  <c r="A10" i="9"/>
  <c r="AD9" i="9"/>
  <c r="C9" i="9"/>
  <c r="AF8" i="9"/>
  <c r="F8" i="9"/>
  <c r="AN7" i="9"/>
  <c r="N7" i="9"/>
  <c r="AY6" i="9"/>
  <c r="AA6" i="9"/>
  <c r="C6" i="9"/>
  <c r="AN5" i="9"/>
  <c r="R5" i="9"/>
  <c r="BE4" i="9"/>
  <c r="AI4" i="9"/>
  <c r="Q4" i="9"/>
  <c r="BE3" i="9"/>
  <c r="AI3" i="9"/>
  <c r="M3" i="9"/>
  <c r="BE2" i="9"/>
  <c r="AI2" i="9"/>
  <c r="M2" i="9"/>
  <c r="BD1" i="9"/>
  <c r="AI1" i="9"/>
  <c r="M1" i="9"/>
  <c r="O65" i="9"/>
  <c r="BG63" i="9"/>
  <c r="AR62" i="9"/>
  <c r="D61" i="9"/>
  <c r="AW59" i="9"/>
  <c r="AM58" i="9"/>
  <c r="AY57" i="9"/>
  <c r="BD56" i="9"/>
  <c r="AW55" i="9"/>
  <c r="BI54" i="9"/>
  <c r="C54" i="9"/>
  <c r="N53" i="9"/>
  <c r="AB52" i="9"/>
  <c r="AE51" i="9"/>
  <c r="AU50" i="9"/>
  <c r="BD49" i="9"/>
  <c r="M49" i="9"/>
  <c r="AF48" i="9"/>
  <c r="AR47" i="9"/>
  <c r="A47" i="9"/>
  <c r="P46" i="9"/>
  <c r="AN45" i="9"/>
  <c r="E45" i="9"/>
  <c r="X44" i="9"/>
  <c r="AY43" i="9"/>
  <c r="G43" i="9"/>
  <c r="AI42" i="9"/>
  <c r="BH41" i="9"/>
  <c r="S41" i="9"/>
  <c r="AR40" i="9"/>
  <c r="C40" i="9"/>
  <c r="AC39" i="9"/>
  <c r="BD38" i="9"/>
  <c r="O38" i="9"/>
  <c r="AR37" i="9"/>
  <c r="F37" i="9"/>
  <c r="AJ36" i="9"/>
  <c r="G36" i="9"/>
  <c r="AG35" i="9"/>
  <c r="C35" i="9"/>
  <c r="AC34" i="9"/>
  <c r="A34" i="9"/>
  <c r="AF33" i="9"/>
  <c r="BG32" i="9"/>
  <c r="AC32" i="9"/>
  <c r="BC31" i="9"/>
  <c r="AA31" i="9"/>
  <c r="BF30" i="9"/>
  <c r="W30" i="9"/>
  <c r="BC29" i="9"/>
  <c r="T29" i="9"/>
  <c r="BA28" i="9"/>
  <c r="W28" i="9"/>
  <c r="AW27" i="9"/>
  <c r="T27" i="9"/>
  <c r="AT26" i="9"/>
  <c r="R26" i="9"/>
  <c r="AW25" i="9"/>
  <c r="N25" i="9"/>
  <c r="AT24" i="9"/>
  <c r="K24" i="9"/>
  <c r="AR23" i="9"/>
  <c r="N23" i="9"/>
  <c r="AO22" i="9"/>
  <c r="N22" i="9"/>
  <c r="AQ21" i="9"/>
  <c r="Q21" i="9"/>
  <c r="AY20" i="9"/>
  <c r="S20" i="9"/>
  <c r="BA19" i="9"/>
  <c r="U19" i="9"/>
  <c r="BD18" i="9"/>
  <c r="AC18" i="9"/>
  <c r="BF17" i="9"/>
  <c r="AE17" i="9"/>
  <c r="BH16" i="9"/>
  <c r="AH16" i="9"/>
  <c r="G16" i="9"/>
  <c r="AJ15" i="9"/>
  <c r="I15" i="9"/>
  <c r="AL14" i="9"/>
  <c r="L14" i="9"/>
  <c r="AT13" i="9"/>
  <c r="N13" i="9"/>
  <c r="AV12" i="9"/>
  <c r="P12" i="9"/>
  <c r="AY11" i="9"/>
  <c r="X11" i="9"/>
  <c r="BA10" i="9"/>
  <c r="Z10" i="9"/>
  <c r="BC9" i="9"/>
  <c r="AC9" i="9"/>
  <c r="B9" i="9"/>
  <c r="AE8" i="9"/>
  <c r="D8" i="9"/>
  <c r="AG7" i="9"/>
  <c r="I7" i="9"/>
  <c r="AT6" i="9"/>
  <c r="V6" i="9"/>
  <c r="BG5" i="9"/>
  <c r="AI5" i="9"/>
  <c r="P5" i="9"/>
  <c r="BD4" i="9"/>
  <c r="AH4" i="9"/>
  <c r="L4" i="9"/>
  <c r="BD3" i="9"/>
  <c r="AH3" i="9"/>
  <c r="L3" i="9"/>
  <c r="BC2" i="9"/>
  <c r="AH2" i="9"/>
  <c r="L2" i="9"/>
  <c r="AY1" i="9"/>
  <c r="AH1" i="9"/>
  <c r="L1" i="9"/>
  <c r="AF66" i="9"/>
  <c r="I65" i="9"/>
  <c r="BC63" i="9"/>
  <c r="O62" i="9"/>
  <c r="BH60" i="9"/>
  <c r="AG59" i="9"/>
  <c r="AK58" i="9"/>
  <c r="AO57" i="9"/>
  <c r="AN56" i="9"/>
  <c r="AS55" i="9"/>
  <c r="AT54" i="9"/>
  <c r="BD53" i="9"/>
  <c r="I53" i="9"/>
  <c r="M52" i="9"/>
  <c r="AB51" i="9"/>
  <c r="AH50" i="9"/>
  <c r="BB49" i="9"/>
  <c r="J49" i="9"/>
  <c r="V48" i="9"/>
  <c r="AM47" i="9"/>
  <c r="AX46" i="9"/>
  <c r="N46" i="9"/>
  <c r="AK45" i="9"/>
  <c r="BD44" i="9"/>
  <c r="T44" i="9"/>
  <c r="AN43" i="9"/>
  <c r="E43" i="9"/>
  <c r="AE42" i="9"/>
  <c r="AX41" i="9"/>
  <c r="P41" i="9"/>
  <c r="AG40" i="9"/>
  <c r="BI39" i="9"/>
  <c r="Y39" i="9"/>
  <c r="AS38" i="9"/>
  <c r="K38" i="9"/>
  <c r="AH37" i="9"/>
  <c r="C37" i="9"/>
  <c r="AG36" i="9"/>
  <c r="BG35" i="9"/>
  <c r="AC35" i="9"/>
  <c r="BC34" i="9"/>
  <c r="AA34" i="9"/>
  <c r="BG33" i="9"/>
  <c r="X33" i="9"/>
  <c r="BC32" i="9"/>
  <c r="T32" i="9"/>
  <c r="BA31" i="9"/>
  <c r="X31" i="9"/>
  <c r="AX30" i="9"/>
  <c r="T30" i="9"/>
  <c r="AT29" i="9"/>
  <c r="R29" i="9"/>
  <c r="AW28" i="9"/>
  <c r="O28" i="9"/>
  <c r="AT27" i="9"/>
  <c r="K27" i="9"/>
  <c r="AR26" i="9"/>
  <c r="N26" i="9"/>
  <c r="AN25" i="9"/>
  <c r="K25" i="9"/>
  <c r="AK24" i="9"/>
  <c r="I24" i="9"/>
  <c r="AN23" i="9"/>
  <c r="E23" i="9"/>
  <c r="AL22" i="9"/>
  <c r="F22" i="9"/>
  <c r="AO21" i="9"/>
  <c r="N21" i="9"/>
  <c r="AQ20" i="9"/>
  <c r="P20" i="9"/>
  <c r="AS19" i="9"/>
  <c r="S19" i="9"/>
  <c r="BA18" i="9"/>
  <c r="U18" i="9"/>
  <c r="BC17" i="9"/>
  <c r="W17" i="9"/>
  <c r="BF16" i="9"/>
  <c r="AE16" i="9"/>
  <c r="BH15" i="9"/>
  <c r="AG15" i="9"/>
  <c r="A15" i="9"/>
  <c r="AJ14" i="9"/>
  <c r="I14" i="9"/>
  <c r="AL13" i="9"/>
  <c r="K13" i="9"/>
  <c r="AN12" i="9"/>
  <c r="N12" i="9"/>
  <c r="AV11" i="9"/>
  <c r="P11" i="9"/>
  <c r="AX10" i="9"/>
  <c r="R10" i="9"/>
  <c r="BA9" i="9"/>
  <c r="Z9" i="9"/>
  <c r="BC8" i="9"/>
  <c r="AB8" i="9"/>
  <c r="BE7" i="9"/>
  <c r="AE7" i="9"/>
  <c r="G7" i="9"/>
  <c r="AR6" i="9"/>
  <c r="T6" i="9"/>
  <c r="BE5" i="9"/>
  <c r="AG5" i="9"/>
  <c r="J5" i="9"/>
  <c r="BA4" i="9"/>
  <c r="AF4" i="9"/>
  <c r="J4" i="9"/>
  <c r="AW3" i="9"/>
  <c r="AF3" i="9"/>
  <c r="J3" i="9"/>
  <c r="AW2" i="9"/>
  <c r="AE2" i="9"/>
  <c r="J2" i="9"/>
  <c r="AW1" i="9"/>
  <c r="AA1" i="9"/>
  <c r="J1" i="9"/>
  <c r="AK64" i="9"/>
  <c r="A61" i="9"/>
  <c r="AH58" i="9"/>
  <c r="C56" i="9"/>
  <c r="BB53" i="9"/>
  <c r="BD51" i="9"/>
  <c r="BC49" i="9"/>
  <c r="N48" i="9"/>
  <c r="AB46" i="9"/>
  <c r="BC44" i="9"/>
  <c r="AF43" i="9"/>
  <c r="AY41" i="9"/>
  <c r="AE40" i="9"/>
  <c r="BG38" i="9"/>
  <c r="AG37" i="9"/>
  <c r="U36" i="9"/>
  <c r="B35" i="9"/>
  <c r="AX33" i="9"/>
  <c r="AF32" i="9"/>
  <c r="P31" i="9"/>
  <c r="I30" i="9"/>
  <c r="AY28" i="9"/>
  <c r="AK27" i="9"/>
  <c r="T26" i="9"/>
  <c r="J25" i="9"/>
  <c r="BF23" i="9"/>
  <c r="AN22" i="9"/>
  <c r="AL21" i="9"/>
  <c r="AA20" i="9"/>
  <c r="Q19" i="9"/>
  <c r="J18" i="9"/>
  <c r="BG16" i="9"/>
  <c r="BE15" i="9"/>
  <c r="AT14" i="9"/>
  <c r="AK13" i="9"/>
  <c r="AI12" i="9"/>
  <c r="Q11" i="9"/>
  <c r="P10" i="9"/>
  <c r="E9" i="9"/>
  <c r="BD7" i="9"/>
  <c r="BF6" i="9"/>
  <c r="BF5" i="9"/>
  <c r="H5" i="9"/>
  <c r="S4" i="9"/>
  <c r="AD3" i="9"/>
  <c r="AS2" i="9"/>
  <c r="AX1" i="9"/>
  <c r="C1" i="9"/>
  <c r="D64" i="9"/>
  <c r="BF60" i="9"/>
  <c r="L58" i="9"/>
  <c r="AV55" i="9"/>
  <c r="BA53" i="9"/>
  <c r="AS51" i="9"/>
  <c r="AY49" i="9"/>
  <c r="A48" i="9"/>
  <c r="O46" i="9"/>
  <c r="AY44" i="9"/>
  <c r="R43" i="9"/>
  <c r="AV41" i="9"/>
  <c r="AB40" i="9"/>
  <c r="AT38" i="9"/>
  <c r="AF37" i="9"/>
  <c r="J36" i="9"/>
  <c r="BB34" i="9"/>
  <c r="AU33" i="9"/>
  <c r="AB32" i="9"/>
  <c r="O31" i="9"/>
  <c r="BF29" i="9"/>
  <c r="AP28" i="9"/>
  <c r="AI27" i="9"/>
  <c r="O26" i="9"/>
  <c r="B25" i="9"/>
  <c r="AT23" i="9"/>
  <c r="AK22" i="9"/>
  <c r="AD21" i="9"/>
  <c r="R20" i="9"/>
  <c r="P19" i="9"/>
  <c r="E18" i="9"/>
  <c r="BD16" i="9"/>
  <c r="AW15" i="9"/>
  <c r="AK14" i="9"/>
  <c r="AI13" i="9"/>
  <c r="X12" i="9"/>
  <c r="O11" i="9"/>
  <c r="M10" i="9"/>
  <c r="BD8" i="9"/>
  <c r="BC7" i="9"/>
  <c r="BA6" i="9"/>
  <c r="BC5" i="9"/>
  <c r="F5" i="9"/>
  <c r="K4" i="9"/>
  <c r="Y3" i="9"/>
  <c r="AJ2" i="9"/>
  <c r="AV1" i="9"/>
  <c r="BE63" i="9"/>
  <c r="AF60" i="9"/>
  <c r="BA57" i="9"/>
  <c r="AQ55" i="9"/>
  <c r="AM53" i="9"/>
  <c r="AD51" i="9"/>
  <c r="AW49" i="9"/>
  <c r="BE47" i="9"/>
  <c r="J46" i="9"/>
  <c r="AP44" i="9"/>
  <c r="F43" i="9"/>
  <c r="AT41" i="9"/>
  <c r="M40" i="9"/>
  <c r="AR38" i="9"/>
  <c r="AB37" i="9"/>
  <c r="BH35" i="9"/>
  <c r="BA34" i="9"/>
  <c r="AJ33" i="9"/>
  <c r="S32" i="9"/>
  <c r="L31" i="9"/>
  <c r="BB29" i="9"/>
  <c r="AO28" i="9"/>
  <c r="W27" i="9"/>
  <c r="G26" i="9"/>
  <c r="BI24" i="9"/>
  <c r="AO23" i="9"/>
  <c r="AD22" i="9"/>
  <c r="S21" i="9"/>
  <c r="O20" i="9"/>
  <c r="H19" i="9"/>
  <c r="BE17" i="9"/>
  <c r="BC16" i="9"/>
  <c r="AR15" i="9"/>
  <c r="AH14" i="9"/>
  <c r="AA13" i="9"/>
  <c r="O12" i="9"/>
  <c r="M11" i="9"/>
  <c r="B10" i="9"/>
  <c r="BB8" i="9"/>
  <c r="AZ7" i="9"/>
  <c r="AS6" i="9"/>
  <c r="BB5" i="9"/>
  <c r="BF4" i="9"/>
  <c r="I4" i="9"/>
  <c r="W3" i="9"/>
  <c r="AG2" i="9"/>
  <c r="AU1" i="9"/>
  <c r="AC63" i="9"/>
  <c r="Z60" i="9"/>
  <c r="AQ57" i="9"/>
  <c r="AC55" i="9"/>
  <c r="T53" i="9"/>
  <c r="U51" i="9"/>
  <c r="AJ49" i="9"/>
  <c r="AP47" i="9"/>
  <c r="I46" i="9"/>
  <c r="AI44" i="9"/>
  <c r="C43" i="9"/>
  <c r="AI41" i="9"/>
  <c r="A40" i="9"/>
  <c r="AP38" i="9"/>
  <c r="O37" i="9"/>
  <c r="BF35" i="9"/>
  <c r="AX34" i="9"/>
  <c r="Y33" i="9"/>
  <c r="R32" i="9"/>
  <c r="A31" i="9"/>
  <c r="AS29" i="9"/>
  <c r="AK28" i="9"/>
  <c r="S27" i="9"/>
  <c r="F26" i="9"/>
  <c r="AW24" i="9"/>
  <c r="AG23" i="9"/>
  <c r="AB22" i="9"/>
  <c r="O21" i="9"/>
  <c r="H20" i="9"/>
  <c r="BF18" i="9"/>
  <c r="BB17" i="9"/>
  <c r="AU16" i="9"/>
  <c r="AI15" i="9"/>
  <c r="AG14" i="9"/>
  <c r="V13" i="9"/>
  <c r="L12" i="9"/>
  <c r="E11" i="9"/>
  <c r="BB9" i="9"/>
  <c r="AZ8" i="9"/>
  <c r="AO7" i="9"/>
  <c r="AP6" i="9"/>
  <c r="AU5" i="9"/>
  <c r="BC4" i="9"/>
  <c r="H4" i="9"/>
  <c r="R3" i="9"/>
  <c r="Z2" i="9"/>
  <c r="AR1" i="9"/>
  <c r="Z63" i="9"/>
  <c r="BB59" i="9"/>
  <c r="AA57" i="9"/>
  <c r="U55" i="9"/>
  <c r="K53" i="9"/>
  <c r="M51" i="9"/>
  <c r="T49" i="9"/>
  <c r="AI47" i="9"/>
  <c r="BG45" i="9"/>
  <c r="W44" i="9"/>
  <c r="B43" i="9"/>
  <c r="AD41" i="9"/>
  <c r="BG39" i="9"/>
  <c r="AE38" i="9"/>
  <c r="D37" i="9"/>
  <c r="BD35" i="9"/>
  <c r="AL34" i="9"/>
  <c r="W33" i="9"/>
  <c r="O32" i="9"/>
  <c r="AY30" i="9"/>
  <c r="AR29" i="9"/>
  <c r="AA28" i="9"/>
  <c r="J27" i="9"/>
  <c r="B26" i="9"/>
  <c r="AS24" i="9"/>
  <c r="AF23" i="9"/>
  <c r="Q22" i="9"/>
  <c r="G21" i="9"/>
  <c r="F20" i="9"/>
  <c r="BB18" i="9"/>
  <c r="AU17" i="9"/>
  <c r="AJ16" i="9"/>
  <c r="AF15" i="9"/>
  <c r="Y14" i="9"/>
  <c r="M13" i="9"/>
  <c r="K12" i="9"/>
  <c r="BI10" i="9"/>
  <c r="AY9" i="9"/>
  <c r="AR8" i="9"/>
  <c r="AF7" i="9"/>
  <c r="AO6" i="9"/>
  <c r="AP5" i="9"/>
  <c r="AV4" i="9"/>
  <c r="E4" i="9"/>
  <c r="K3" i="9"/>
  <c r="Y2" i="9"/>
  <c r="AJ1" i="9"/>
  <c r="U63" i="9"/>
  <c r="AV59" i="9"/>
  <c r="Z57" i="9"/>
  <c r="C55" i="9"/>
  <c r="BE52" i="9"/>
  <c r="G51" i="9"/>
  <c r="K49" i="9"/>
  <c r="Z47" i="9"/>
  <c r="AP45" i="9"/>
  <c r="S44" i="9"/>
  <c r="AZ42" i="9"/>
  <c r="R41" i="9"/>
  <c r="BE39" i="9"/>
  <c r="X38" i="9"/>
  <c r="A37" i="9"/>
  <c r="AU35" i="9"/>
  <c r="AB34" i="9"/>
  <c r="T33" i="9"/>
  <c r="C32" i="9"/>
  <c r="AW30" i="9"/>
  <c r="AO29" i="9"/>
  <c r="P28" i="9"/>
  <c r="I27" i="9"/>
  <c r="AZ25" i="9"/>
  <c r="AJ24" i="9"/>
  <c r="AB23" i="9"/>
  <c r="M22" i="9"/>
  <c r="F21" i="9"/>
  <c r="BD19" i="9"/>
  <c r="AT18" i="9"/>
  <c r="AS17" i="9"/>
  <c r="AF16" i="9"/>
  <c r="Y15" i="9"/>
  <c r="N14" i="9"/>
  <c r="J13" i="9"/>
  <c r="C12" i="9"/>
  <c r="AZ10" i="9"/>
  <c r="AX9" i="9"/>
  <c r="AM8" i="9"/>
  <c r="AC7" i="9"/>
  <c r="AH6" i="9"/>
  <c r="AH5" i="9"/>
  <c r="AU4" i="9"/>
  <c r="BF3" i="9"/>
  <c r="I3" i="9"/>
  <c r="W2" i="9"/>
  <c r="AF1" i="9"/>
  <c r="L65" i="9"/>
  <c r="J62" i="9"/>
  <c r="BC58" i="9"/>
  <c r="AG56" i="9"/>
  <c r="AI54" i="9"/>
  <c r="O52" i="9"/>
  <c r="AF50" i="9"/>
  <c r="AL48" i="9"/>
  <c r="AW46" i="9"/>
  <c r="W45" i="9"/>
  <c r="AW43" i="9"/>
  <c r="U42" i="9"/>
  <c r="AV40" i="9"/>
  <c r="P39" i="9"/>
  <c r="BH37" i="9"/>
  <c r="AH36" i="9"/>
  <c r="U35" i="9"/>
  <c r="C34" i="9"/>
  <c r="BB32" i="9"/>
  <c r="AO31" i="9"/>
  <c r="V30" i="9"/>
  <c r="O29" i="9"/>
  <c r="BF27" i="9"/>
  <c r="AP26" i="9"/>
  <c r="AB25" i="9"/>
  <c r="J24" i="9"/>
  <c r="B23" i="9"/>
  <c r="AY21" i="9"/>
  <c r="AP20" i="9"/>
  <c r="AN19" i="9"/>
  <c r="V18" i="9"/>
  <c r="U17" i="9"/>
  <c r="J16" i="9"/>
  <c r="BI14" i="9"/>
  <c r="BG13" i="9"/>
  <c r="AU12" i="9"/>
  <c r="AN11" i="9"/>
  <c r="AC10" i="9"/>
  <c r="S9" i="9"/>
  <c r="R8" i="9"/>
  <c r="H7" i="9"/>
  <c r="Q6" i="9"/>
  <c r="S5" i="9"/>
  <c r="AE4" i="9"/>
  <c r="AS3" i="9"/>
  <c r="AX2" i="9"/>
  <c r="G2" i="9"/>
  <c r="N1" i="9"/>
  <c r="AS65" i="9"/>
  <c r="AI58" i="9"/>
  <c r="BA52" i="9"/>
  <c r="W48" i="9"/>
  <c r="I44" i="9"/>
  <c r="C41" i="9"/>
  <c r="AQ37" i="9"/>
  <c r="X34" i="9"/>
  <c r="AC31" i="9"/>
  <c r="M28" i="9"/>
  <c r="AK25" i="9"/>
  <c r="AW22" i="9"/>
  <c r="AR19" i="9"/>
  <c r="R17" i="9"/>
  <c r="J14" i="9"/>
  <c r="AO11" i="9"/>
  <c r="O9" i="9"/>
  <c r="U6" i="9"/>
  <c r="AC4" i="9"/>
  <c r="N2" i="9"/>
  <c r="K39" i="9"/>
  <c r="T18" i="9"/>
  <c r="W1" i="9"/>
  <c r="M38" i="9"/>
  <c r="Q23" i="9"/>
  <c r="P7" i="9"/>
  <c r="C42" i="9"/>
  <c r="AH17" i="9"/>
  <c r="BF2" i="9"/>
  <c r="G65" i="9"/>
  <c r="W57" i="9"/>
  <c r="AE52" i="9"/>
  <c r="Q48" i="9"/>
  <c r="G44" i="9"/>
  <c r="AQ40" i="9"/>
  <c r="BI36" i="9"/>
  <c r="O34" i="9"/>
  <c r="Y31" i="9"/>
  <c r="K28" i="9"/>
  <c r="W25" i="9"/>
  <c r="E22" i="9"/>
  <c r="AQ19" i="9"/>
  <c r="G17" i="9"/>
  <c r="B14" i="9"/>
  <c r="AK11" i="9"/>
  <c r="AD8" i="9"/>
  <c r="R6" i="9"/>
  <c r="W4" i="9"/>
  <c r="K2" i="9"/>
  <c r="X50" i="9"/>
  <c r="AS26" i="9"/>
  <c r="AY12" i="9"/>
  <c r="AD59" i="9"/>
  <c r="AR32" i="9"/>
  <c r="AO26" i="9"/>
  <c r="L15" i="9"/>
  <c r="K1" i="9"/>
  <c r="Z45" i="9"/>
  <c r="AF26" i="9"/>
  <c r="H15" i="9"/>
  <c r="H1" i="9"/>
  <c r="E65" i="9"/>
  <c r="BH56" i="9"/>
  <c r="L52" i="9"/>
  <c r="U47" i="9"/>
  <c r="BB43" i="9"/>
  <c r="AF40" i="9"/>
  <c r="AY36" i="9"/>
  <c r="BH33" i="9"/>
  <c r="AT30" i="9"/>
  <c r="C28" i="9"/>
  <c r="M25" i="9"/>
  <c r="D22" i="9"/>
  <c r="AC19" i="9"/>
  <c r="X16" i="9"/>
  <c r="A14" i="9"/>
  <c r="AA11" i="9"/>
  <c r="AA8" i="9"/>
  <c r="J6" i="9"/>
  <c r="BB3" i="9"/>
  <c r="I2" i="9"/>
  <c r="AF35" i="9"/>
  <c r="H3" i="9"/>
  <c r="AB35" i="9"/>
  <c r="BB31" i="9"/>
  <c r="AV62" i="9"/>
  <c r="AO56" i="9"/>
  <c r="I52" i="9"/>
  <c r="E47" i="9"/>
  <c r="AM43" i="9"/>
  <c r="AU39" i="9"/>
  <c r="AL36" i="9"/>
  <c r="AY33" i="9"/>
  <c r="AL30" i="9"/>
  <c r="AV27" i="9"/>
  <c r="AI24" i="9"/>
  <c r="A22" i="9"/>
  <c r="T19" i="9"/>
  <c r="W16" i="9"/>
  <c r="AW13" i="9"/>
  <c r="AW10" i="9"/>
  <c r="T8" i="9"/>
  <c r="E6" i="9"/>
  <c r="AV3" i="9"/>
  <c r="A2" i="9"/>
  <c r="AG61" i="9"/>
  <c r="AU32" i="9"/>
  <c r="BB20" i="9"/>
  <c r="K5" i="9"/>
  <c r="P42" i="9"/>
  <c r="AM12" i="9"/>
  <c r="W59" i="9"/>
  <c r="P29" i="9"/>
  <c r="AE9" i="9"/>
  <c r="R62" i="9"/>
  <c r="AD56" i="9"/>
  <c r="AY50" i="9"/>
  <c r="BI46" i="9"/>
  <c r="AL43" i="9"/>
  <c r="AG39" i="9"/>
  <c r="Y36" i="9"/>
  <c r="L33" i="9"/>
  <c r="AF30" i="9"/>
  <c r="AS27" i="9"/>
  <c r="AF24" i="9"/>
  <c r="AP21" i="9"/>
  <c r="AS18" i="9"/>
  <c r="T16" i="9"/>
  <c r="AM13" i="9"/>
  <c r="AP10" i="9"/>
  <c r="G8" i="9"/>
  <c r="AE5" i="9"/>
  <c r="AU3" i="9"/>
  <c r="BF1" i="9"/>
  <c r="V42" i="9"/>
  <c r="Q10" i="9"/>
  <c r="AM54" i="9"/>
  <c r="S29" i="9"/>
  <c r="R18" i="9"/>
  <c r="A3" i="9"/>
  <c r="Q54" i="9"/>
  <c r="R35" i="9"/>
  <c r="AN20" i="9"/>
  <c r="AS4" i="9"/>
  <c r="L62" i="9"/>
  <c r="O56" i="9"/>
  <c r="AT50" i="9"/>
  <c r="AV46" i="9"/>
  <c r="AL42" i="9"/>
  <c r="Z39" i="9"/>
  <c r="X36" i="9"/>
  <c r="F33" i="9"/>
  <c r="S30" i="9"/>
  <c r="F27" i="9"/>
  <c r="T24" i="9"/>
  <c r="AM21" i="9"/>
  <c r="AP18" i="9"/>
  <c r="BI15" i="9"/>
  <c r="C13" i="9"/>
  <c r="AN10" i="9"/>
  <c r="C8" i="9"/>
  <c r="AD5" i="9"/>
  <c r="AJ3" i="9"/>
  <c r="Z1" i="9"/>
  <c r="AL45" i="9"/>
  <c r="E24" i="9"/>
  <c r="U7" i="9"/>
  <c r="AA45" i="9"/>
  <c r="AP9" i="9"/>
  <c r="J38" i="9"/>
  <c r="AL12" i="9"/>
  <c r="AQ61" i="9"/>
  <c r="BB54" i="9"/>
  <c r="AG50" i="9"/>
  <c r="AS46" i="9"/>
  <c r="AG42" i="9"/>
  <c r="N39" i="9"/>
  <c r="AO35" i="9"/>
  <c r="BE32" i="9"/>
  <c r="K30" i="9"/>
  <c r="BC26" i="9"/>
  <c r="G24" i="9"/>
  <c r="C21" i="9"/>
  <c r="AF18" i="9"/>
  <c r="BG15" i="9"/>
  <c r="A13" i="9"/>
  <c r="Y10" i="9"/>
  <c r="AB7" i="9"/>
  <c r="W5" i="9"/>
  <c r="AG3" i="9"/>
  <c r="Y1" i="9"/>
  <c r="AN54" i="9"/>
  <c r="AC29" i="9"/>
  <c r="W15" i="9"/>
  <c r="H50" i="9"/>
  <c r="AR20" i="9"/>
  <c r="I5" i="9"/>
  <c r="BG48" i="9"/>
  <c r="F23" i="9"/>
  <c r="E7" i="9"/>
  <c r="BD52" i="9"/>
  <c r="AX31" i="9"/>
  <c r="BE14" i="9"/>
  <c r="B38" i="9"/>
  <c r="BF48" i="9"/>
  <c r="F29" i="9"/>
  <c r="BA11" i="9"/>
  <c r="AJ4" i="9"/>
  <c r="AG4" i="9"/>
  <c r="BC48" i="9"/>
  <c r="BC28" i="9"/>
  <c r="AW11" i="9"/>
  <c r="J45" i="9"/>
  <c r="AP25" i="9"/>
  <c r="AA9" i="9"/>
  <c r="BB22" i="9"/>
  <c r="AF20" i="9"/>
  <c r="AD66" i="9"/>
  <c r="BE44" i="9"/>
  <c r="AM25" i="9"/>
  <c r="R9" i="9"/>
  <c r="AC6" i="9"/>
  <c r="AE66" i="9"/>
  <c r="AZ19" i="9"/>
  <c r="N41" i="9"/>
  <c r="D23" i="9"/>
  <c r="D7" i="9"/>
  <c r="E41" i="9"/>
  <c r="AU37" i="9"/>
  <c r="T59" i="9"/>
  <c r="F35" i="9"/>
  <c r="AD17" i="9"/>
  <c r="AV2" i="9"/>
  <c r="AL58" i="9"/>
  <c r="Y34" i="9"/>
  <c r="V17" i="9"/>
  <c r="AU2" i="9"/>
  <c r="BE53" i="9"/>
  <c r="AY31" i="9"/>
  <c r="BH14" i="9"/>
  <c r="BC67" i="31" l="1"/>
  <c r="BE3" i="31"/>
  <c r="D2" i="37"/>
  <c r="BB67" i="28"/>
  <c r="BD3" i="28"/>
  <c r="BE3" i="28" s="1"/>
  <c r="BD67" i="30"/>
  <c r="BG67" i="30" s="1"/>
  <c r="BF3" i="30"/>
  <c r="BG3" i="30"/>
  <c r="BI3" i="30" s="1"/>
  <c r="BC67" i="29"/>
  <c r="BE3" i="29"/>
  <c r="BH3" i="30" l="1"/>
  <c r="BF67" i="30"/>
  <c r="BH67" i="30" s="1"/>
  <c r="BD67" i="28"/>
  <c r="BE67" i="28" s="1"/>
  <c r="BE67" i="29"/>
  <c r="BF67" i="29" s="1"/>
  <c r="BF3" i="29"/>
  <c r="D66" i="37"/>
  <c r="F2" i="37"/>
  <c r="BE67" i="31"/>
  <c r="BF67" i="31" s="1"/>
  <c r="BF3" i="31"/>
  <c r="F66" i="37" l="1"/>
  <c r="G2" i="37"/>
  <c r="G66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tc={1f69a37b-2144-432f-96b0-5b596b0ef80f}</author>
    <author>tc={08db34fa-1736-45a5-93af-31d02b3fd4b7}</author>
    <author>tc={a6c8a743-5962-4313-b01b-c1f5c4e0c9e7}</author>
    <author/>
    <author>tc={d658fb14-92a3-4088-833a-9627914c1a64}</author>
    <author>tc={1c0fdffc-9a73-40fe-8bec-6e1e9acb4770}</author>
    <author>tc={5920c7cb-6b3b-412b-a9ac-08d9d13e7b3e}</author>
    <author>tc={a9a10d3a-8376-4bee-95f1-78f9485b63dc}</author>
  </authors>
  <commentList>
    <comment ref="B3" authorId="0" shapeId="0" xr:uid="{1F69A37B-2144-432F-96B0-5B596B0E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4" authorId="1" shapeId="0" xr:uid="{08DB34FA-1736-45A5-93AF-31D02B3FD4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 on 24th July 2025</t>
      </text>
    </comment>
    <comment ref="B5" authorId="2" shapeId="0" xr:uid="{A6C8A743-5962-4313-B01B-C1F5C4E0C9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Cleared in bank on 24th July 2025</t>
      </text>
    </comment>
    <comment ref="Z5" authorId="3" shapeId="0" xr:uid="{00000000-0006-0000-1A00-000001000000}">
      <text>
        <r>
          <rPr>
            <sz val="11"/>
            <color rgb="FF000000"/>
            <rFont val="Calibri"/>
            <family val="2"/>
            <scheme val="minor"/>
          </rPr>
          <t>UPS repair</t>
        </r>
      </text>
    </comment>
    <comment ref="AD8" authorId="3" shapeId="0" xr:uid="{00000000-0006-0000-1A00-000002000000}">
      <text>
        <r>
          <rPr>
            <sz val="11"/>
            <color rgb="FF000000"/>
            <rFont val="Calibri"/>
            <family val="2"/>
            <scheme val="minor"/>
          </rPr>
          <t xml:space="preserve">Bescom Tip for changing fuse
</t>
        </r>
      </text>
    </comment>
    <comment ref="AT9" authorId="4" shapeId="0" xr:uid="{D658FB14-92A3-4088-833A-9627914C1A64}">
      <text>
        <t>[Threaded comment]
Your version of Excel allows you to read this threaded comment; however, any edits to it will get removed if the file is opened in a newer version of Excel. Learn more: https://go.microsoft.com/fwlink/?linkid=870924
Comment:
    Drain covers on the exit path way</t>
      </text>
    </comment>
    <comment ref="BA10" authorId="5" shapeId="0" xr:uid="{1C0FDFFC-9A73-40FE-8BEC-6E1E9ACB477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Sofa Disposal</t>
      </text>
    </comment>
    <comment ref="BB10" authorId="6" shapeId="0" xr:uid="{5920C7CB-6B3B-412B-A9AC-08D9D13E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Removing hardened dirt and sludge using machine (D.Sireesha)</t>
      </text>
    </comment>
    <comment ref="AF12" authorId="7" shapeId="0" xr:uid="{A9A10D3A-8376-4BEE-95F1-78F9485B63DC}">
      <text>
        <t>[Threaded comment]
Your version of Excel allows you to read this threaded comment; however, any edits to it will get removed if the file is opened in a newer version of Excel. Learn more: https://go.microsoft.com/fwlink/?linkid=870924
Comment:
    8,500 for cleaning the front garden area after moving garbage bins into the garbage cabin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tc={32f316c2-cc01-49ef-9843-5dee0e2e6ef3}</author>
    <author>tc={26ed8b01-2f16-4479-9cea-8ae23f845bfd}</author>
    <author>tc={71c95b2a-dc7b-425a-adac-af74d1e71f56}</author>
    <author>tc={6c32c142-e983-461b-9fa2-e49883266a51}</author>
    <author>tc={5441273c-065c-4d5b-9c58-251a1ae6acb1}</author>
  </authors>
  <commentList>
    <comment ref="S4" authorId="0" shapeId="0" xr:uid="{32F316C2-CC01-49EF-9843-5DEE0E2E6E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paid June maintenance by 31st July 2025 and also have previous deficit of -18,450.35 as of 7th Aug 2025 when preparing July bills</t>
      </text>
    </comment>
    <comment ref="S36" authorId="1" shapeId="0" xr:uid="{26ED8B01-2F16-4479-9CEA-8AE23F84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and also have total deficit of -29,270.59 as on 7th Aug 2025 when July bill is being prepared.</t>
      </text>
    </comment>
    <comment ref="S44" authorId="2" shapeId="0" xr:uid="{71C95B2A-DC7B-425A-ADAC-AF74D1E71F56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-31,307.80 as on 7th Aug 2025 when July bill is being prepared</t>
      </text>
    </comment>
    <comment ref="S48" authorId="3" shapeId="0" xr:uid="{6C32C142-E983-461B-9FA2-E49883266A5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July 2025 and also have a total deficit of -20,778.47 as on 7th Aug 2025 when July bill is being prepared</t>
      </text>
    </comment>
    <comment ref="S52" authorId="4" shapeId="0" xr:uid="{5441273C-065C-4D5B-9C58-251A1AE6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pay June maintenance by 31st of July 2025 and have total deficit of -18,326.58 as on 7th Aug 2025 when July Bill is being prepared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2300-000001000000}">
      <text>
        <r>
          <rPr>
            <sz val="11"/>
            <color rgb="FF000000"/>
            <rFont val="Calibri"/>
            <family val="2"/>
            <scheme val="minor"/>
          </rPr>
          <t>F16</t>
        </r>
      </text>
    </comment>
  </commentList>
</comments>
</file>

<file path=xl/sharedStrings.xml><?xml version="1.0" encoding="utf-8"?>
<sst xmlns="http://schemas.openxmlformats.org/spreadsheetml/2006/main" count="6082" uniqueCount="552">
  <si>
    <t>APR 2025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</si>
  <si>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</si>
  <si>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</si>
  <si>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</si>
  <si>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</si>
  <si>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</si>
  <si>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</si>
  <si>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</si>
  <si>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</si>
  <si>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</si>
  <si>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</si>
  <si>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</si>
  <si>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</si>
  <si>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</si>
  <si>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</si>
  <si>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</si>
  <si>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- 2022-2023 (Rs)</t>
  </si>
  <si>
    <t>TOTAL EXPENSE TO BE PAID (Rs)</t>
  </si>
  <si>
    <t>CH</t>
  </si>
  <si>
    <t>MPFOWA</t>
  </si>
  <si>
    <t>GYM</t>
  </si>
  <si>
    <t>TOTAL FIXED EXPENSE</t>
  </si>
  <si>
    <t>BSMT</t>
  </si>
  <si>
    <t>TOTAL WATER EXPENSE</t>
  </si>
  <si>
    <t>F1</t>
  </si>
  <si>
    <t>Shailesh Srivastava / Azeem Nawaz</t>
  </si>
  <si>
    <t>F2</t>
  </si>
  <si>
    <t>Shanthanu</t>
  </si>
  <si>
    <t>RENT PER METER (Rs)</t>
  </si>
  <si>
    <t>F3</t>
  </si>
  <si>
    <t>Samrat Kar</t>
  </si>
  <si>
    <t>COMMON AREA METER RENT(Rs)</t>
  </si>
  <si>
    <t>F4</t>
  </si>
  <si>
    <t>Renu R</t>
  </si>
  <si>
    <t>COMMON AREA METER RENT/FLAT (Rs)</t>
  </si>
  <si>
    <t>F5</t>
  </si>
  <si>
    <t>Vamsidhar Bethanabatla / Madhuri Anumula</t>
  </si>
  <si>
    <t>F6</t>
  </si>
  <si>
    <t>Meghana Viral Shah and Vviral Shah (Owner) / Sangeet and Swagat (Tenent)</t>
  </si>
  <si>
    <t>BALANCE IN ACCOUNT ON 30-Apr-2023</t>
  </si>
  <si>
    <t>F7</t>
  </si>
  <si>
    <t>Vimal NK</t>
  </si>
  <si>
    <t>TOTAL NON MAINTENANCE CORPUS COLLECTION</t>
  </si>
  <si>
    <t>F8</t>
  </si>
  <si>
    <t>Sujeet Kumar (Tenant)/Sreejith Menon (Owner)</t>
  </si>
  <si>
    <t>TOTAL FD DONE</t>
  </si>
  <si>
    <t>F9</t>
  </si>
  <si>
    <t>Vijay Suswaram (Owner)  /   Divya Shikha (Tenant)</t>
  </si>
  <si>
    <t>AMOUNT AVAILABLE FOR NON MAINTENANCE CORPUS IN CURRENT AC</t>
  </si>
  <si>
    <t>F10</t>
  </si>
  <si>
    <t>Aby Thomas</t>
  </si>
  <si>
    <t>Pending vendor payments</t>
  </si>
  <si>
    <t>F11</t>
  </si>
  <si>
    <t>Niwin Anto</t>
  </si>
  <si>
    <t>AMOUNT AVAILABLE FOR MAINTENANCE</t>
  </si>
  <si>
    <t>F12</t>
  </si>
  <si>
    <t>Anirudh Singh</t>
  </si>
  <si>
    <t>TOTAL EXPENSE FOR THE MONTH</t>
  </si>
  <si>
    <t>F13</t>
  </si>
  <si>
    <t>Sanchay Saxena</t>
  </si>
  <si>
    <t>Maintenance deficit</t>
  </si>
  <si>
    <t>F14</t>
  </si>
  <si>
    <t>Hemant Patel</t>
  </si>
  <si>
    <t>F15</t>
  </si>
  <si>
    <t>Senthil.Vijayaragavan</t>
  </si>
  <si>
    <t>F16</t>
  </si>
  <si>
    <t>Sreeja Sudharma</t>
  </si>
  <si>
    <t>G1</t>
  </si>
  <si>
    <t>Venkataramanan C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</si>
  <si>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</si>
  <si>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</si>
  <si>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</si>
  <si>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</si>
  <si>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</si>
  <si>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</si>
  <si>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</si>
  <si>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</si>
  <si>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</si>
  <si>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Mohit Daga</t>
  </si>
  <si>
    <t>G7</t>
  </si>
  <si>
    <t>Prince Richfield</t>
  </si>
  <si>
    <t>G8</t>
  </si>
  <si>
    <t>Ranjithkumar R / Sameer (tenant) / Princy (tenant)</t>
  </si>
  <si>
    <t>G9</t>
  </si>
  <si>
    <t>Chandramouli</t>
  </si>
  <si>
    <t>G10</t>
  </si>
  <si>
    <t xml:space="preserve">Cijo Jacob / Thara Joy </t>
  </si>
  <si>
    <t>G11</t>
  </si>
  <si>
    <t>Ketan Verlekar</t>
  </si>
  <si>
    <t>G12</t>
  </si>
  <si>
    <t>Shyam Nair</t>
  </si>
  <si>
    <t>G13</t>
  </si>
  <si>
    <t>Ajai.B</t>
  </si>
  <si>
    <t>G14</t>
  </si>
  <si>
    <t>Surajit Borah</t>
  </si>
  <si>
    <t>G15</t>
  </si>
  <si>
    <t>Suresh Nallusamy / Antriksh (tenant)</t>
  </si>
  <si>
    <t>G16</t>
  </si>
  <si>
    <t>Praveen Ganesan</t>
  </si>
  <si>
    <t>S1</t>
  </si>
  <si>
    <t>S.N.Behera</t>
  </si>
  <si>
    <t>S2</t>
  </si>
  <si>
    <t>Sonal Singh</t>
  </si>
  <si>
    <t>S3</t>
  </si>
  <si>
    <t>Koteswararao</t>
  </si>
  <si>
    <t>S4</t>
  </si>
  <si>
    <t xml:space="preserve">Swaminathan </t>
  </si>
  <si>
    <t>S5</t>
  </si>
  <si>
    <t>Abhishek Gopalakrishnan</t>
  </si>
  <si>
    <t>S6</t>
  </si>
  <si>
    <t>Vivek Dhingra / Pratyush Das</t>
  </si>
  <si>
    <t>S7</t>
  </si>
  <si>
    <t>Harish B</t>
  </si>
  <si>
    <t>S8</t>
  </si>
  <si>
    <t>Irudayaraj Alwin</t>
  </si>
  <si>
    <t>S9</t>
  </si>
  <si>
    <t>Pawan GS</t>
  </si>
  <si>
    <t>S10</t>
  </si>
  <si>
    <t>Lakshmikanth</t>
  </si>
  <si>
    <t>S11</t>
  </si>
  <si>
    <t>Gowrish Patnaik / Somananth GM</t>
  </si>
  <si>
    <t>S12</t>
  </si>
  <si>
    <t>Saovik Mondal</t>
  </si>
  <si>
    <t>S13</t>
  </si>
  <si>
    <t>Ramadevi S.</t>
  </si>
  <si>
    <t>S14</t>
  </si>
  <si>
    <t>Nishant Upadhyay(Owner)/ Fabian (Tenant)</t>
  </si>
  <si>
    <t>S15</t>
  </si>
  <si>
    <t>Manas Dasgupta</t>
  </si>
  <si>
    <t>S16</t>
  </si>
  <si>
    <t>Devendra Singh Rawat / Nancy</t>
  </si>
  <si>
    <t>T1</t>
  </si>
  <si>
    <t>Prashant Sikdar</t>
  </si>
  <si>
    <t>T2</t>
  </si>
  <si>
    <t>Kunal Mehta</t>
  </si>
  <si>
    <t>T3</t>
  </si>
  <si>
    <t>Kapil Garg</t>
  </si>
  <si>
    <t>T4</t>
  </si>
  <si>
    <t>Vijet Alva (Owner)    -    Masood (Tenant)</t>
  </si>
  <si>
    <t>T5</t>
  </si>
  <si>
    <t>Ganesh Iyer and Latha Iyer( owner) Richa (Tenant)</t>
  </si>
  <si>
    <t>T6</t>
  </si>
  <si>
    <t>Mythili Ramesh</t>
  </si>
  <si>
    <t>T7</t>
  </si>
  <si>
    <t>Vinyas Ramachandra / Shwetha Marnamikatta / Katari Siva Rama Raju</t>
  </si>
  <si>
    <t>T8</t>
  </si>
  <si>
    <t>Lalit Kumar Sharma</t>
  </si>
  <si>
    <t>T9</t>
  </si>
  <si>
    <t>Nishith Sahu and Priyanka Rani (Owner)/ Anmol Verma (Tenant)</t>
  </si>
  <si>
    <t>T10</t>
  </si>
  <si>
    <t>T11</t>
  </si>
  <si>
    <t>Arvind Balasubramanian</t>
  </si>
  <si>
    <t>T12</t>
  </si>
  <si>
    <t>Prasenjit</t>
  </si>
  <si>
    <t>T13</t>
  </si>
  <si>
    <t>Rahul Kumar</t>
  </si>
  <si>
    <t>T14</t>
  </si>
  <si>
    <t>Jeya / Kanda / Satya (tenant)/Vinuta (tenant)</t>
  </si>
  <si>
    <t>T15</t>
  </si>
  <si>
    <t>Trevor</t>
  </si>
  <si>
    <t>T16</t>
  </si>
  <si>
    <t>Madhusoodanan P.R.</t>
  </si>
  <si>
    <t>TOTAL</t>
  </si>
  <si>
    <t>Amount</t>
  </si>
  <si>
    <t>Date</t>
  </si>
  <si>
    <t>Total</t>
  </si>
  <si>
    <t>N. Geetha</t>
  </si>
  <si>
    <t>MAY 2025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</si>
  <si>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</si>
  <si>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</si>
  <si>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</si>
  <si>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</si>
  <si>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</si>
  <si>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</si>
  <si>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</si>
  <si>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</si>
  <si>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</si>
  <si>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</si>
  <si>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POLYCARBONATE SHEET REPAIR</t>
  </si>
  <si>
    <t>TOTAL EXPENSE TO BE PAID</t>
  </si>
  <si>
    <t>RENT PER METER</t>
  </si>
  <si>
    <t>COMMON AREA METER RENT</t>
  </si>
  <si>
    <t>COMMON AREA METER RENT/FLAT</t>
  </si>
  <si>
    <t>BALANCE IN ACCOUNT TILL 31MAY2023</t>
  </si>
  <si>
    <t>AMOUNT AVAILABLE FOR NON MAINTENANCE CORPUS</t>
  </si>
  <si>
    <t>Maintenance Deficit</t>
  </si>
  <si>
    <t>JUN 2025 EXPENSES</t>
  </si>
  <si>
    <t>WATER USED IN LTRS (L)</t>
  </si>
  <si>
    <t>CLUB BOOKING FEE</t>
  </si>
  <si>
    <t>POLYCARBONATE PROJECT CANCELLATION CREDIT AMOUNT</t>
  </si>
  <si>
    <t>BALANCE IN ACCOUNT ON 30-JUN-2023</t>
  </si>
  <si>
    <t>Ankur Agarwal</t>
  </si>
  <si>
    <t>JUL 2025 EXPENSES</t>
  </si>
  <si>
    <t>BALANCE IN ACCOUNT ON 31-JULY-2023</t>
  </si>
  <si>
    <t>Expense Head</t>
  </si>
  <si>
    <t>Water consumption (Litres)</t>
  </si>
  <si>
    <t>Water consumption (%age of total)</t>
  </si>
  <si>
    <t>Water meter rent</t>
  </si>
  <si>
    <t>Common meter rent (eq. distributed)</t>
  </si>
  <si>
    <t>Total water related expense</t>
  </si>
  <si>
    <t>Society Parking Rent</t>
  </si>
  <si>
    <t>Clubhouse booking fee</t>
  </si>
  <si>
    <t>Moving in/out charges</t>
  </si>
  <si>
    <t>Gym usage fee</t>
  </si>
  <si>
    <t>STP SLUDGE CLEANING
BALAJI</t>
  </si>
  <si>
    <t>STP MAINTENANCE</t>
  </si>
  <si>
    <t>STP MATERIALS</t>
  </si>
  <si>
    <t>STP REPAIR</t>
  </si>
  <si>
    <t xml:space="preserve">COMMON 
ELECTRICITY BILL
</t>
  </si>
  <si>
    <t>BECOM Service tax</t>
  </si>
  <si>
    <t>SECURITY SERVICES</t>
  </si>
  <si>
    <t>GARBAGE REMOVAL</t>
  </si>
  <si>
    <t>PETTY CASH</t>
  </si>
  <si>
    <t>ELEVATOR MAINTENANCE</t>
  </si>
  <si>
    <t>MOTOR REPAIR</t>
  </si>
  <si>
    <t>PLUMBING MATERIAL</t>
  </si>
  <si>
    <t>ELECTRICITY MATERIAL</t>
  </si>
  <si>
    <t>TRANSFORMER REPAIR</t>
  </si>
  <si>
    <t>GENERATOR MAINTENANCE
EPITOME</t>
  </si>
  <si>
    <t>GARDENING</t>
  </si>
  <si>
    <t>PLUMBER WAGE</t>
  </si>
  <si>
    <t>ELECTRICIAN WAGE</t>
  </si>
  <si>
    <t>MANAGER WAGE</t>
  </si>
  <si>
    <t>TANK AND SUMP CLEANING</t>
  </si>
  <si>
    <t>SECURITY WATER EXPENSES GREENMART</t>
  </si>
  <si>
    <t>SWIMMING POOL MOTOR REPAIR</t>
  </si>
  <si>
    <t>CCTV REPAIR</t>
  </si>
  <si>
    <t>CCTV monitor</t>
  </si>
  <si>
    <t xml:space="preserve">WATER PIPE </t>
  </si>
  <si>
    <t>RAILING FOR STAIRCASE</t>
  </si>
  <si>
    <t>Play area sand</t>
  </si>
  <si>
    <t>BARBED WIRE REPAIR</t>
  </si>
  <si>
    <t>DRIED LEAVES REMOVAL</t>
  </si>
  <si>
    <t>DRAIN CLEANING</t>
  </si>
  <si>
    <t>Security room &amp; Play area painting</t>
  </si>
  <si>
    <t>Play area sand removal &amp; cracks filling</t>
  </si>
  <si>
    <t>Front garden cleaning and red soil filling</t>
  </si>
  <si>
    <t>Landscaping work for STP water disposal</t>
  </si>
  <si>
    <t>ACCOUNTING</t>
  </si>
  <si>
    <t>Lift Painting</t>
  </si>
  <si>
    <t>Lift wiring sepration</t>
  </si>
  <si>
    <t>Earthing repair</t>
  </si>
  <si>
    <t>Pest Control</t>
  </si>
  <si>
    <t>Freshwater pipe repair</t>
  </si>
  <si>
    <t>NBH device replacement</t>
  </si>
  <si>
    <t>NBH VMS</t>
  </si>
  <si>
    <t>REPAIRS</t>
  </si>
  <si>
    <t>Cricket Net</t>
  </si>
  <si>
    <t>LOOK AHEAD EXPENSE</t>
  </si>
  <si>
    <t>Rear bondary cleaning</t>
  </si>
  <si>
    <t>9,7,8,11 series terrace pipe repairs</t>
  </si>
  <si>
    <t>Speed Breaker near the gate</t>
  </si>
  <si>
    <t>Gym Equipment Repairs</t>
  </si>
  <si>
    <t>Additional Waste Disposal</t>
  </si>
  <si>
    <t>Swimming Pool Cleaning</t>
  </si>
  <si>
    <t>HOUSE KEEPING MATERIALS</t>
  </si>
  <si>
    <t>DRINKING WATER
SLN WATER SUP</t>
  </si>
  <si>
    <t>AUG 2025 EXPENSES</t>
  </si>
  <si>
    <t>COMMON AREA METER RENT + WATER EXPENSE+ FLAT METER RENT</t>
  </si>
  <si>
    <t>BALANCE IN ACCOUNT ON 31-AUG-2022</t>
  </si>
  <si>
    <t>TOTAL WATER METER RENT (INR)</t>
  </si>
  <si>
    <t>Debashis Ghoshal / Manisha Ghoshal</t>
  </si>
  <si>
    <t>SEPTEMBER 2025 EXPENSES</t>
  </si>
  <si>
    <t>METER RENT (INR)</t>
  </si>
  <si>
    <t>COMMON AREA METER RENT (INR)</t>
  </si>
  <si>
    <t>BALANCE IN ACCOUNT ON 30-SEP-2022</t>
  </si>
  <si>
    <t>9-Sep-0205</t>
  </si>
  <si>
    <t>OCTOBER 2025 EXPENSES</t>
  </si>
  <si>
    <t>CLUB HOUSE BOOKING FEE</t>
  </si>
  <si>
    <t>BALANCE IN ACCOUNT ON 31-OCT-2023</t>
  </si>
  <si>
    <t>Vamsidhar Bethanabatla / Madhuri Anumula / Pulkit Gupta</t>
  </si>
  <si>
    <t>NOVEMBER 2025 EXPENSES</t>
  </si>
  <si>
    <t>OWNERSHIP TRANSFER FEE</t>
  </si>
  <si>
    <t xml:space="preserve">TOTAL WATER METER RENT </t>
  </si>
  <si>
    <t>BALANCE IN ACCOUNT ON 30-NOV-2023</t>
  </si>
  <si>
    <t>Richa Singh</t>
  </si>
  <si>
    <t>Sreejith Menon (Owner)</t>
  </si>
  <si>
    <t>Geetha. N</t>
  </si>
  <si>
    <t>Shonali Deokule / Reshma</t>
  </si>
  <si>
    <t>DECEMBER 2025 EXPENSES</t>
  </si>
  <si>
    <t>TOTAL WATER METER RENT</t>
  </si>
  <si>
    <t>BALANCE IN ACCOUNT ON 31-DEC-2023</t>
  </si>
  <si>
    <t>Vijay Suswaram (Owner)  /   Divya Shikha (Tenant) / Harshvardhan</t>
  </si>
  <si>
    <t>Senthil.Vijayaragavan / Soumya K</t>
  </si>
  <si>
    <t>Manikandan Natarajan / Mahesh K</t>
  </si>
  <si>
    <t>Gowrish Patnaik / Somananth GM / Keerthivasan</t>
  </si>
  <si>
    <t>Chaitanya / Vaishnavi Suthapalli</t>
  </si>
  <si>
    <t>JANUARY 2026 EXPENSES</t>
  </si>
  <si>
    <t>BALANCE IN ACCOUNT ON 31-Jan-2023</t>
  </si>
  <si>
    <t>Mahesh K (tenant)</t>
  </si>
  <si>
    <t>Abhishek G/Mayank Phophaliya</t>
  </si>
  <si>
    <t>Mahesh K</t>
  </si>
  <si>
    <t>Shonali Deokule / Reshma (tenant)</t>
  </si>
  <si>
    <t>FEBRUARY 2026 EXPENSES</t>
  </si>
  <si>
    <t>BALANCE IN ACCOUNT ON 28-Feb-2023</t>
  </si>
  <si>
    <t>MARCH 2026 EXPENSES</t>
  </si>
  <si>
    <t>Ramadevi S / Sanchay Saxena</t>
  </si>
  <si>
    <t>Senthil.Vijayaragavan / Soumya</t>
  </si>
  <si>
    <t>Sonal Singh / Javed</t>
  </si>
  <si>
    <t>Swaminathan / Ankit Chandra (tenant)</t>
  </si>
  <si>
    <t>Chaitanya Suthapalli / Vaishnavi Suthapalli / Ajay Chouhan</t>
  </si>
  <si>
    <t>MONTHS</t>
  </si>
  <si>
    <t>VARIABLE EXPENSE</t>
  </si>
  <si>
    <t>FIXED EXPENSE</t>
  </si>
  <si>
    <t>GROSS EXPENSE</t>
  </si>
  <si>
    <t>GROSS VARIABLE EXPENSE</t>
  </si>
  <si>
    <t>GROSS FIXED EXPENSE</t>
  </si>
  <si>
    <t>WATER METER RENT</t>
  </si>
  <si>
    <t>TOTAL EXPENSE</t>
  </si>
  <si>
    <t>APRIL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</si>
  <si>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</si>
  <si>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</si>
  <si>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</si>
  <si>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</si>
  <si>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</si>
  <si>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</si>
  <si>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</si>
  <si>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</si>
  <si>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</si>
  <si>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</si>
  <si>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</si>
  <si>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Tallied till 19 Sep'23</t>
  </si>
  <si>
    <t>COLLECTION CARRY OVER 
(Mar2013-Mar2022)</t>
  </si>
  <si>
    <t>2013-25 Pending Maintenance</t>
  </si>
  <si>
    <t>TOTAL COLLECTION
(Apr2025 to Mar2026)</t>
  </si>
  <si>
    <t>TOTAL EXPENSE
(Apr2025 to Mar2026)</t>
  </si>
  <si>
    <t>TOTAL LATE FEE
(Apr2025 to Mar2026)</t>
  </si>
  <si>
    <t>TOTAL COLLECTION - EXPENSE
(Apr2025 to Mar2026)</t>
  </si>
  <si>
    <t>Balance
(2013 till date)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</si>
  <si>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</si>
  <si>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</si>
  <si>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</si>
  <si>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</si>
  <si>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</si>
  <si>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</si>
  <si>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</si>
  <si>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ramazen1@gmail.com</t>
  </si>
  <si>
    <t>Ramamurthy Pachaiyappan</t>
  </si>
  <si>
    <t>jyothij1979@gmail.com</t>
  </si>
  <si>
    <t>Srinath / Tenant - Mohit Daga</t>
  </si>
  <si>
    <t>Sonal Singhal</t>
  </si>
  <si>
    <t>manikandan.nj@gmail.com</t>
  </si>
  <si>
    <t>Manikandan NG</t>
  </si>
  <si>
    <t>esky2524@gmail.com</t>
  </si>
  <si>
    <t>Previous owner - Rohith. New owner name not known</t>
  </si>
  <si>
    <t>Total Collection
(May 2025 to March 2026)</t>
  </si>
  <si>
    <t>FY 2025-26 Balance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</si>
  <si>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</si>
  <si>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</si>
  <si>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</si>
  <si>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</si>
  <si>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</si>
  <si>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</si>
  <si>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</si>
  <si>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</si>
  <si>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</si>
  <si>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</si>
  <si>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</si>
  <si>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</si>
  <si>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GEN</t>
  </si>
  <si>
    <t>Iron Man</t>
  </si>
  <si>
    <t>CLUB HOUS COLLECTION</t>
  </si>
  <si>
    <t>TOTAL COLLECTION</t>
  </si>
  <si>
    <t>TOTAL LATE FEE</t>
  </si>
  <si>
    <t>COLLECTION-EXPENSE</t>
  </si>
  <si>
    <t>ARREARS PENDING</t>
  </si>
  <si>
    <t>F01</t>
  </si>
  <si>
    <t xml:space="preserve">Shailesh </t>
  </si>
  <si>
    <t>F02</t>
  </si>
  <si>
    <t xml:space="preserve">Ramamurthy P </t>
  </si>
  <si>
    <t>F03</t>
  </si>
  <si>
    <t>F04</t>
  </si>
  <si>
    <t>F05</t>
  </si>
  <si>
    <t>Priyabrat Mahapatro</t>
  </si>
  <si>
    <t>F06</t>
  </si>
  <si>
    <t>Viral Shah</t>
  </si>
  <si>
    <t>F07</t>
  </si>
  <si>
    <t>F08</t>
  </si>
  <si>
    <t>Sreejith Menon</t>
  </si>
  <si>
    <t>F09</t>
  </si>
  <si>
    <t>Vijay Suswaram</t>
  </si>
  <si>
    <t>Ameet Talwalkar</t>
  </si>
  <si>
    <t>Debashish Ghoshal</t>
  </si>
  <si>
    <t>Sreeniwasa Rao / S Rama Devi</t>
  </si>
  <si>
    <t>Malini Balasubramaniam</t>
  </si>
  <si>
    <t>G01</t>
  </si>
  <si>
    <t>G02</t>
  </si>
  <si>
    <t>Venkat Atukuri</t>
  </si>
  <si>
    <t>G03</t>
  </si>
  <si>
    <t>G04</t>
  </si>
  <si>
    <t>G05</t>
  </si>
  <si>
    <t>Abhishek Srawan</t>
  </si>
  <si>
    <t>G06</t>
  </si>
  <si>
    <t xml:space="preserve">Mohit Daga/Sreenath </t>
  </si>
  <si>
    <t>G07</t>
  </si>
  <si>
    <t>G08</t>
  </si>
  <si>
    <t>Ranjith Kumar</t>
  </si>
  <si>
    <t>G09</t>
  </si>
  <si>
    <t>Cijo Jacob</t>
  </si>
  <si>
    <t>Ketan Vinay Prabhuverlekar</t>
  </si>
  <si>
    <t>Suresh Nallusamy</t>
  </si>
  <si>
    <t>Premalatha</t>
  </si>
  <si>
    <t>S01</t>
  </si>
  <si>
    <t>S02</t>
  </si>
  <si>
    <t>S03</t>
  </si>
  <si>
    <t>Suresh Kr Nataraja</t>
  </si>
  <si>
    <t>S04</t>
  </si>
  <si>
    <t>Swaminathan R</t>
  </si>
  <si>
    <t>S05</t>
  </si>
  <si>
    <t>S06</t>
  </si>
  <si>
    <t>Vivek Dhingra</t>
  </si>
  <si>
    <t>S07</t>
  </si>
  <si>
    <t>S08</t>
  </si>
  <si>
    <t>S09</t>
  </si>
  <si>
    <t>Rohit Sadanand</t>
  </si>
  <si>
    <t>Gowrish Patnaik</t>
  </si>
  <si>
    <t>Srinivasa Rao / S Rama Devi</t>
  </si>
  <si>
    <t>Nishant Upadhyay</t>
  </si>
  <si>
    <t>Devendra Singh Rawat</t>
  </si>
  <si>
    <t>T01</t>
  </si>
  <si>
    <t>T02</t>
  </si>
  <si>
    <t>Kunal Raj</t>
  </si>
  <si>
    <t>T03</t>
  </si>
  <si>
    <t>T04</t>
  </si>
  <si>
    <t>Ranjit Patnaik</t>
  </si>
  <si>
    <t>T05</t>
  </si>
  <si>
    <t>Ganesh Iyer</t>
  </si>
  <si>
    <t>T06</t>
  </si>
  <si>
    <t>T07</t>
  </si>
  <si>
    <t>Vinyas Ramachandran</t>
  </si>
  <si>
    <t>T08</t>
  </si>
  <si>
    <t>T09</t>
  </si>
  <si>
    <t xml:space="preserve">Nishith Sahu </t>
  </si>
  <si>
    <t>Vamsidhar</t>
  </si>
  <si>
    <t>Chaitanya Suthapalli / Vaishnavi Suthapalli</t>
  </si>
  <si>
    <t>Prasenjit Chakraborty</t>
  </si>
  <si>
    <t>Sonali Deokule</t>
  </si>
  <si>
    <t>Jeyarani Jeganathan</t>
  </si>
  <si>
    <t>Flat</t>
  </si>
  <si>
    <t>Name</t>
  </si>
  <si>
    <t>Go?</t>
  </si>
  <si>
    <t>Conditions?</t>
  </si>
  <si>
    <t>Azeem Nawaz / Shailesh Srivastava</t>
  </si>
  <si>
    <t>Y</t>
  </si>
  <si>
    <t>Ramamurthy P / Shantanu Singh</t>
  </si>
  <si>
    <t>N</t>
  </si>
  <si>
    <t>PRIYABRATA MOHAPATRA</t>
  </si>
  <si>
    <t>Viral Sailesh Shah</t>
  </si>
  <si>
    <t>K sateesh Kumar/ Sreejith Menon</t>
  </si>
  <si>
    <t>N.Geetha</t>
  </si>
  <si>
    <t>Anirudh Singh / Debashish Ghoshal</t>
  </si>
  <si>
    <t>Deepak .P / Sreeniwasa Rao / S Rama Devi</t>
  </si>
  <si>
    <t>Senthil.Vijayaragavan / Malini Balasubramaniam</t>
  </si>
  <si>
    <t>Venkat Atukuri / Kaushik 9900523388</t>
  </si>
  <si>
    <t>Mayank Phophaliya / Abhishek Srawan</t>
  </si>
  <si>
    <t>R.Ganesh Babu / Ranjith Kumar Ra</t>
  </si>
  <si>
    <t>Bishnu / Chandramouli / Ankur Agarwal</t>
  </si>
  <si>
    <t>Ajai Balachandran</t>
  </si>
  <si>
    <t>Alka Singh / Suresh Nallusamy (6305967349)</t>
  </si>
  <si>
    <t>Premalatha / Praveen Ganesan (owner) 9442827674/ Ganesan Srirangam</t>
  </si>
  <si>
    <t>Koteswararao / Suresh Kr Nataraja / Manikandan Natarajan</t>
  </si>
  <si>
    <t>Swaminathan R / Vijayalakshmi G / Ankit Chandra (9006212132)</t>
  </si>
  <si>
    <t>Priya Prabhu / Vivek Dhingra</t>
  </si>
  <si>
    <t>Lakshmikanth / Rohit Sadanand / Aman Raj from Nov 2021</t>
  </si>
  <si>
    <t>Nishant Upadhyay / Anuj Sehgal</t>
  </si>
  <si>
    <t>Devendra Singh Rawat / Nancy / Sadhana R</t>
  </si>
  <si>
    <t>Kunal Raj Mehta</t>
  </si>
  <si>
    <t>Vijet Alva / Masood Ali Mohammad</t>
  </si>
  <si>
    <t>Karthikeyan Rajendran / Lata Iyer / Ganesh Iyer</t>
  </si>
  <si>
    <t>Mahak / Vinyas Ramachandran</t>
  </si>
  <si>
    <t>Lalit Kumar Sharma / Jaishree Sharma</t>
  </si>
  <si>
    <t>Nishith Sahoo / Mohit CH / Anmol Verma</t>
  </si>
  <si>
    <t>Chaitanya Suthapalli / Vaishnavi Suthapalli / Rahul Kumar - 7349095255</t>
  </si>
  <si>
    <t>MAJ PRASENJIT CHAKRAVARTY</t>
  </si>
  <si>
    <t>Godwin / Jeyarani Jeganathan</t>
  </si>
  <si>
    <t>Maintenance</t>
  </si>
  <si>
    <t>Project Balance since 2013</t>
  </si>
  <si>
    <t>Maintenance + Project Balance since 2013 including Mar'25 expense</t>
  </si>
  <si>
    <t>Feb'25 Expense</t>
  </si>
  <si>
    <t>Mar'25 Expense</t>
  </si>
  <si>
    <t>Balance till Oct'24</t>
  </si>
  <si>
    <t>Nov'24-Feb'25 Expenses</t>
  </si>
  <si>
    <t>Nov'24-Feb'25 Collection</t>
  </si>
  <si>
    <t>As per CA's records</t>
  </si>
  <si>
    <t>As per our records</t>
  </si>
  <si>
    <t>TO BE PAID</t>
  </si>
  <si>
    <t>Flat F1</t>
  </si>
  <si>
    <t>Flat F2</t>
  </si>
  <si>
    <t>Flat F3</t>
  </si>
  <si>
    <t>Flat F4</t>
  </si>
  <si>
    <t>Flat F5</t>
  </si>
  <si>
    <t>Flat F6</t>
  </si>
  <si>
    <t>Flat F7</t>
  </si>
  <si>
    <t>Flat F8</t>
  </si>
  <si>
    <t>Flat F9</t>
  </si>
  <si>
    <t>Flat F10</t>
  </si>
  <si>
    <t>Flat F11</t>
  </si>
  <si>
    <t>Flat F12</t>
  </si>
  <si>
    <t>Flat F13</t>
  </si>
  <si>
    <t>Flat F14</t>
  </si>
  <si>
    <t>Flat F15</t>
  </si>
  <si>
    <t>Flat F16</t>
  </si>
  <si>
    <t>Flat G1</t>
  </si>
  <si>
    <t>Flat G2</t>
  </si>
  <si>
    <t>Flat G3</t>
  </si>
  <si>
    <t>Flat G4</t>
  </si>
  <si>
    <t>Flat G5</t>
  </si>
  <si>
    <t>Flat G6</t>
  </si>
  <si>
    <t>Flat G7</t>
  </si>
  <si>
    <t>Flat G8</t>
  </si>
  <si>
    <t>Flat G9</t>
  </si>
  <si>
    <t>Flat G10</t>
  </si>
  <si>
    <t>Flat G11</t>
  </si>
  <si>
    <t>Flat G12</t>
  </si>
  <si>
    <t>Flat G13</t>
  </si>
  <si>
    <t>Flat G14</t>
  </si>
  <si>
    <t>Flat G15</t>
  </si>
  <si>
    <t>Flat G16</t>
  </si>
  <si>
    <t>Flat S1</t>
  </si>
  <si>
    <t>Flat S2</t>
  </si>
  <si>
    <t>Flat S3</t>
  </si>
  <si>
    <t>Flat S4</t>
  </si>
  <si>
    <t>Flat S5</t>
  </si>
  <si>
    <t>Flat S6</t>
  </si>
  <si>
    <t>Flat S7</t>
  </si>
  <si>
    <t>Flat S8</t>
  </si>
  <si>
    <t>Flat S9</t>
  </si>
  <si>
    <t>Flat S10</t>
  </si>
  <si>
    <t>Flat S11</t>
  </si>
  <si>
    <t>Flat S12</t>
  </si>
  <si>
    <t>Flat S13</t>
  </si>
  <si>
    <t>Flat S14</t>
  </si>
  <si>
    <t>Flat S15</t>
  </si>
  <si>
    <t>Flat S16</t>
  </si>
  <si>
    <t>Flat T1</t>
  </si>
  <si>
    <t>Flat T2</t>
  </si>
  <si>
    <t>Flat T3</t>
  </si>
  <si>
    <t>Flat T4</t>
  </si>
  <si>
    <t>Flat T5</t>
  </si>
  <si>
    <t>Flat T6</t>
  </si>
  <si>
    <t>Flat T7</t>
  </si>
  <si>
    <t>Flat T8</t>
  </si>
  <si>
    <t>Flat T9</t>
  </si>
  <si>
    <t>Flat T10</t>
  </si>
  <si>
    <t>Flat T11</t>
  </si>
  <si>
    <t>Flat T12</t>
  </si>
  <si>
    <t>Flat T13</t>
  </si>
  <si>
    <t>Flat T14</t>
  </si>
  <si>
    <t>Flat T15</t>
  </si>
  <si>
    <t>Flat T16</t>
  </si>
  <si>
    <t>Balance from last FY year</t>
  </si>
  <si>
    <t>Total Dues 
(Since FY 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</si>
</sst>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-dd\-yyyy"/>
    <numFmt numFmtId="165" formatCode="d&quot;-&quot;mmm&quot;-&quot;yyyy"/>
    <numFmt numFmtId="166" formatCode="d\-mmm\-yyyy"/>
    <numFmt numFmtId="167" formatCode="dd&quot;-&quot;mm&quot;-&quot;yyyy"/>
    <numFmt numFmtId="168" formatCode="d\-mmmm\-yyyy"/>
    <numFmt numFmtId="169" formatCode="mmm\ yyyy"/>
    <numFmt numFmtId="170" formatCode="mmmm\ yyyy"/>
  </numFmts>
  <fonts count="40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4"/>
      <color theme="1"/>
      <name val="Nunito"/>
    </font>
    <font>
      <sz val="11"/>
      <name val="Calibri"/>
      <family val="2"/>
    </font>
    <font>
      <sz val="11"/>
      <color theme="1"/>
      <name val="Nunito"/>
    </font>
    <font>
      <b/>
      <sz val="11"/>
      <color theme="1"/>
      <name val="Nunito"/>
    </font>
    <font>
      <sz val="12"/>
      <color rgb="FF000000"/>
      <name val="Calibri"/>
      <family val="2"/>
    </font>
    <font>
      <sz val="11"/>
      <color theme="1"/>
      <name val="Nunito"/>
    </font>
    <font>
      <sz val="10"/>
      <color rgb="FF000000"/>
      <name val="Nunito"/>
    </font>
    <font>
      <sz val="8"/>
      <color theme="1"/>
      <name val="Nunito"/>
    </font>
    <font>
      <b/>
      <sz val="11"/>
      <color theme="1"/>
      <name val="Nunito"/>
    </font>
    <font>
      <sz val="11"/>
      <color rgb="FFFF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Nunito"/>
    </font>
    <font>
      <sz val="8"/>
      <color rgb="FF000000"/>
      <name val="Nunito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Nunito"/>
    </font>
    <font>
      <b/>
      <sz val="10"/>
      <color theme="1"/>
      <name val="Nunito"/>
    </font>
    <font>
      <sz val="10"/>
      <color theme="1"/>
      <name val="Nunito"/>
    </font>
    <font>
      <sz val="11"/>
      <color rgb="FF000000"/>
      <name val="Arial"/>
      <family val="2"/>
    </font>
    <font>
      <sz val="9"/>
      <color rgb="FFF7981D"/>
      <name val="Calibri"/>
      <family val="2"/>
      <scheme val="minor"/>
    </font>
    <font>
      <sz val="9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Nunito"/>
    </font>
    <font>
      <sz val="11"/>
      <color rgb="FF000000"/>
      <name val="&quot;docs-Nunito&quot;"/>
    </font>
    <font>
      <b/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741B47"/>
        <bgColor rgb="FF741B47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</fills>
  <borders count="3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9" fillId="0" borderId="17"/>
  </cellStyleXfs>
  <cellXfs count="265">
    <xf numFmtId="0" fontId="0" fillId="0" borderId="0" xfId="0"/>
    <xf numFmtId="4" fontId="1" fillId="0" borderId="1" xfId="0" applyNumberFormat="1" applyFont="1" applyBorder="1"/>
    <xf numFmtId="4" fontId="4" fillId="0" borderId="4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" fontId="4" fillId="0" borderId="5" xfId="0" applyNumberFormat="1" applyFont="1" applyBorder="1" applyAlignment="1">
      <alignment horizontal="center" wrapText="1"/>
    </xf>
    <xf numFmtId="4" fontId="5" fillId="0" borderId="5" xfId="0" applyNumberFormat="1" applyFont="1" applyBorder="1" applyAlignment="1">
      <alignment horizontal="center" wrapText="1"/>
    </xf>
    <xf numFmtId="4" fontId="1" fillId="0" borderId="5" xfId="0" applyNumberFormat="1" applyFont="1" applyBorder="1"/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wrapText="1"/>
    </xf>
    <xf numFmtId="4" fontId="6" fillId="0" borderId="0" xfId="0" applyNumberFormat="1" applyFont="1" applyAlignment="1">
      <alignment horizontal="right"/>
    </xf>
    <xf numFmtId="4" fontId="4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right" wrapText="1"/>
    </xf>
    <xf numFmtId="4" fontId="4" fillId="2" borderId="5" xfId="0" applyNumberFormat="1" applyFont="1" applyFill="1" applyBorder="1" applyAlignment="1">
      <alignment horizontal="right"/>
    </xf>
    <xf numFmtId="4" fontId="7" fillId="0" borderId="5" xfId="0" applyNumberFormat="1" applyFont="1" applyBorder="1" applyAlignment="1">
      <alignment wrapText="1"/>
    </xf>
    <xf numFmtId="4" fontId="4" fillId="0" borderId="1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 wrapText="1"/>
    </xf>
    <xf numFmtId="4" fontId="8" fillId="0" borderId="1" xfId="0" applyNumberFormat="1" applyFont="1" applyBorder="1"/>
    <xf numFmtId="4" fontId="4" fillId="0" borderId="5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wrapText="1"/>
    </xf>
    <xf numFmtId="4" fontId="1" fillId="0" borderId="0" xfId="0" applyNumberFormat="1" applyFont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9" fillId="2" borderId="5" xfId="0" applyNumberFormat="1" applyFont="1" applyFill="1" applyBorder="1" applyAlignment="1">
      <alignment wrapText="1"/>
    </xf>
    <xf numFmtId="4" fontId="9" fillId="2" borderId="5" xfId="0" applyNumberFormat="1" applyFont="1" applyFill="1" applyBorder="1" applyAlignment="1">
      <alignment horizontal="right"/>
    </xf>
    <xf numFmtId="4" fontId="1" fillId="0" borderId="6" xfId="0" applyNumberFormat="1" applyFont="1" applyBorder="1"/>
    <xf numFmtId="4" fontId="1" fillId="0" borderId="6" xfId="0" applyNumberFormat="1" applyFont="1" applyBorder="1" applyAlignment="1">
      <alignment horizontal="right"/>
    </xf>
    <xf numFmtId="4" fontId="10" fillId="2" borderId="5" xfId="0" applyNumberFormat="1" applyFont="1" applyFill="1" applyBorder="1" applyAlignment="1">
      <alignment wrapText="1"/>
    </xf>
    <xf numFmtId="4" fontId="10" fillId="2" borderId="5" xfId="0" applyNumberFormat="1" applyFont="1" applyFill="1" applyBorder="1" applyAlignment="1">
      <alignment horizontal="right"/>
    </xf>
    <xf numFmtId="4" fontId="1" fillId="2" borderId="5" xfId="0" applyNumberFormat="1" applyFont="1" applyFill="1" applyBorder="1"/>
    <xf numFmtId="4" fontId="11" fillId="3" borderId="6" xfId="0" applyNumberFormat="1" applyFont="1" applyFill="1" applyBorder="1" applyAlignment="1">
      <alignment horizontal="center"/>
    </xf>
    <xf numFmtId="4" fontId="7" fillId="0" borderId="6" xfId="0" applyNumberFormat="1" applyFont="1" applyBorder="1" applyAlignment="1">
      <alignment wrapText="1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12" fillId="0" borderId="1" xfId="0" applyNumberFormat="1" applyFont="1" applyBorder="1" applyAlignment="1">
      <alignment wrapText="1"/>
    </xf>
    <xf numFmtId="4" fontId="12" fillId="0" borderId="1" xfId="0" applyNumberFormat="1" applyFont="1" applyBorder="1"/>
    <xf numFmtId="4" fontId="8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/>
    <xf numFmtId="4" fontId="13" fillId="0" borderId="0" xfId="0" applyNumberFormat="1" applyFont="1"/>
    <xf numFmtId="166" fontId="1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3" fillId="0" borderId="0" xfId="0" applyNumberFormat="1" applyFont="1"/>
    <xf numFmtId="4" fontId="12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center"/>
    </xf>
    <xf numFmtId="4" fontId="12" fillId="0" borderId="1" xfId="0" applyNumberFormat="1" applyFont="1" applyBorder="1" applyAlignment="1">
      <alignment horizontal="center"/>
    </xf>
    <xf numFmtId="0" fontId="4" fillId="0" borderId="1" xfId="0" applyFont="1" applyBorder="1"/>
    <xf numFmtId="4" fontId="8" fillId="2" borderId="1" xfId="0" applyNumberFormat="1" applyFont="1" applyFill="1" applyBorder="1" applyAlignment="1">
      <alignment horizontal="right" wrapText="1"/>
    </xf>
    <xf numFmtId="4" fontId="8" fillId="2" borderId="1" xfId="0" applyNumberFormat="1" applyFont="1" applyFill="1" applyBorder="1"/>
    <xf numFmtId="4" fontId="8" fillId="0" borderId="1" xfId="0" applyNumberFormat="1" applyFont="1" applyBorder="1" applyAlignment="1">
      <alignment horizontal="right" wrapText="1"/>
    </xf>
    <xf numFmtId="4" fontId="16" fillId="0" borderId="1" xfId="0" applyNumberFormat="1" applyFont="1" applyBorder="1" applyAlignment="1">
      <alignment wrapText="1"/>
    </xf>
    <xf numFmtId="4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/>
    <xf numFmtId="4" fontId="16" fillId="2" borderId="1" xfId="0" applyNumberFormat="1" applyFont="1" applyFill="1" applyBorder="1" applyAlignment="1">
      <alignment wrapText="1"/>
    </xf>
    <xf numFmtId="4" fontId="16" fillId="2" borderId="1" xfId="0" applyNumberFormat="1" applyFont="1" applyFill="1" applyBorder="1"/>
    <xf numFmtId="4" fontId="12" fillId="2" borderId="1" xfId="0" applyNumberFormat="1" applyFont="1" applyFill="1" applyBorder="1" applyAlignment="1">
      <alignment wrapText="1"/>
    </xf>
    <xf numFmtId="4" fontId="12" fillId="2" borderId="1" xfId="0" applyNumberFormat="1" applyFont="1" applyFill="1" applyBorder="1"/>
    <xf numFmtId="4" fontId="4" fillId="0" borderId="1" xfId="0" applyNumberFormat="1" applyFont="1" applyBorder="1"/>
    <xf numFmtId="4" fontId="12" fillId="0" borderId="1" xfId="0" applyNumberFormat="1" applyFont="1" applyBorder="1" applyAlignment="1">
      <alignment horizontal="lef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3" fillId="0" borderId="0" xfId="0" applyNumberFormat="1" applyFont="1"/>
    <xf numFmtId="4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/>
    <xf numFmtId="167" fontId="13" fillId="4" borderId="0" xfId="0" applyNumberFormat="1" applyFont="1" applyFill="1"/>
    <xf numFmtId="10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4" fontId="8" fillId="2" borderId="1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left" vertical="center" wrapText="1"/>
    </xf>
    <xf numFmtId="10" fontId="12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165" fontId="13" fillId="0" borderId="0" xfId="0" applyNumberFormat="1" applyFont="1"/>
    <xf numFmtId="165" fontId="13" fillId="4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7" fillId="5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4" fontId="13" fillId="6" borderId="0" xfId="0" applyNumberFormat="1" applyFont="1" applyFill="1"/>
    <xf numFmtId="0" fontId="13" fillId="6" borderId="0" xfId="0" applyFont="1" applyFill="1"/>
    <xf numFmtId="4" fontId="17" fillId="6" borderId="0" xfId="0" applyNumberFormat="1" applyFont="1" applyFill="1"/>
    <xf numFmtId="10" fontId="13" fillId="0" borderId="0" xfId="0" applyNumberFormat="1" applyFont="1"/>
    <xf numFmtId="4" fontId="8" fillId="0" borderId="8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left" vertical="center"/>
    </xf>
    <xf numFmtId="4" fontId="8" fillId="2" borderId="8" xfId="0" applyNumberFormat="1" applyFont="1" applyFill="1" applyBorder="1" applyAlignment="1">
      <alignment wrapText="1"/>
    </xf>
    <xf numFmtId="4" fontId="8" fillId="2" borderId="8" xfId="0" applyNumberFormat="1" applyFont="1" applyFill="1" applyBorder="1"/>
    <xf numFmtId="4" fontId="8" fillId="2" borderId="8" xfId="0" applyNumberFormat="1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12" xfId="0" applyNumberFormat="1" applyFont="1" applyBorder="1" applyAlignment="1">
      <alignment horizontal="left" vertical="center"/>
    </xf>
    <xf numFmtId="4" fontId="12" fillId="0" borderId="12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2" borderId="16" xfId="0" applyNumberFormat="1" applyFont="1" applyFill="1" applyBorder="1" applyAlignment="1">
      <alignment wrapText="1"/>
    </xf>
    <xf numFmtId="4" fontId="8" fillId="2" borderId="17" xfId="0" applyNumberFormat="1" applyFont="1" applyFill="1" applyBorder="1"/>
    <xf numFmtId="4" fontId="8" fillId="2" borderId="16" xfId="0" applyNumberFormat="1" applyFont="1" applyFill="1" applyBorder="1" applyAlignment="1">
      <alignment horizontal="center" vertical="center" wrapText="1"/>
    </xf>
    <xf numFmtId="4" fontId="8" fillId="2" borderId="17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/>
    </xf>
    <xf numFmtId="3" fontId="13" fillId="0" borderId="0" xfId="0" applyNumberFormat="1" applyFont="1"/>
    <xf numFmtId="4" fontId="8" fillId="0" borderId="12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wrapText="1"/>
    </xf>
    <xf numFmtId="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7" fillId="0" borderId="0" xfId="0" applyNumberFormat="1" applyFont="1"/>
    <xf numFmtId="4" fontId="8" fillId="0" borderId="19" xfId="0" applyNumberFormat="1" applyFont="1" applyBorder="1" applyAlignment="1">
      <alignment horizontal="center" vertical="center"/>
    </xf>
    <xf numFmtId="4" fontId="1" fillId="0" borderId="20" xfId="0" applyNumberFormat="1" applyFont="1" applyBorder="1"/>
    <xf numFmtId="4" fontId="4" fillId="0" borderId="21" xfId="0" applyNumberFormat="1" applyFont="1" applyBorder="1" applyAlignment="1">
      <alignment horizontal="center"/>
    </xf>
    <xf numFmtId="4" fontId="4" fillId="0" borderId="18" xfId="0" applyNumberFormat="1" applyFont="1" applyBorder="1" applyAlignment="1">
      <alignment wrapText="1"/>
    </xf>
    <xf numFmtId="4" fontId="1" fillId="0" borderId="18" xfId="0" applyNumberFormat="1" applyFont="1" applyBorder="1"/>
    <xf numFmtId="4" fontId="5" fillId="0" borderId="18" xfId="0" applyNumberFormat="1" applyFont="1" applyBorder="1" applyAlignment="1">
      <alignment horizontal="center" wrapText="1"/>
    </xf>
    <xf numFmtId="4" fontId="1" fillId="0" borderId="0" xfId="0" applyNumberFormat="1" applyFont="1"/>
    <xf numFmtId="4" fontId="4" fillId="0" borderId="18" xfId="0" applyNumberFormat="1" applyFont="1" applyBorder="1"/>
    <xf numFmtId="4" fontId="4" fillId="0" borderId="18" xfId="0" applyNumberFormat="1" applyFont="1" applyBorder="1" applyAlignment="1">
      <alignment horizontal="center"/>
    </xf>
    <xf numFmtId="4" fontId="4" fillId="2" borderId="0" xfId="0" applyNumberFormat="1" applyFont="1" applyFill="1" applyAlignment="1">
      <alignment wrapText="1"/>
    </xf>
    <xf numFmtId="4" fontId="4" fillId="2" borderId="0" xfId="0" applyNumberFormat="1" applyFont="1" applyFill="1" applyAlignment="1">
      <alignment horizontal="right"/>
    </xf>
    <xf numFmtId="4" fontId="5" fillId="0" borderId="18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4" fontId="4" fillId="2" borderId="0" xfId="0" applyNumberFormat="1" applyFont="1" applyFill="1" applyAlignment="1">
      <alignment horizontal="center" wrapText="1"/>
    </xf>
    <xf numFmtId="4" fontId="4" fillId="2" borderId="0" xfId="0" applyNumberFormat="1" applyFont="1" applyFill="1" applyAlignment="1">
      <alignment horizontal="center"/>
    </xf>
    <xf numFmtId="4" fontId="1" fillId="0" borderId="21" xfId="0" applyNumberFormat="1" applyFont="1" applyBorder="1"/>
    <xf numFmtId="4" fontId="12" fillId="7" borderId="27" xfId="0" applyNumberFormat="1" applyFont="1" applyFill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/>
    </xf>
    <xf numFmtId="4" fontId="21" fillId="0" borderId="27" xfId="0" applyNumberFormat="1" applyFont="1" applyBorder="1" applyAlignment="1">
      <alignment horizontal="center" vertical="center"/>
    </xf>
    <xf numFmtId="4" fontId="22" fillId="0" borderId="27" xfId="0" applyNumberFormat="1" applyFont="1" applyBorder="1" applyAlignment="1">
      <alignment horizontal="center" vertical="center"/>
    </xf>
    <xf numFmtId="4" fontId="22" fillId="7" borderId="27" xfId="0" applyNumberFormat="1" applyFont="1" applyFill="1" applyBorder="1" applyAlignment="1">
      <alignment horizontal="center" vertical="center"/>
    </xf>
    <xf numFmtId="4" fontId="21" fillId="7" borderId="27" xfId="0" applyNumberFormat="1" applyFont="1" applyFill="1" applyBorder="1" applyAlignment="1">
      <alignment horizontal="center" vertical="center"/>
    </xf>
    <xf numFmtId="4" fontId="21" fillId="6" borderId="27" xfId="0" applyNumberFormat="1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2" fillId="6" borderId="27" xfId="0" applyNumberFormat="1" applyFont="1" applyFill="1" applyBorder="1" applyAlignment="1">
      <alignment horizontal="center" vertical="center"/>
    </xf>
    <xf numFmtId="49" fontId="8" fillId="7" borderId="27" xfId="0" applyNumberFormat="1" applyFont="1" applyFill="1" applyBorder="1" applyAlignment="1">
      <alignment horizontal="center" vertical="center"/>
    </xf>
    <xf numFmtId="4" fontId="8" fillId="7" borderId="27" xfId="0" applyNumberFormat="1" applyFont="1" applyFill="1" applyBorder="1" applyAlignment="1">
      <alignment horizontal="center" vertical="center"/>
    </xf>
    <xf numFmtId="4" fontId="12" fillId="7" borderId="27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" fontId="4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22" fillId="8" borderId="7" xfId="0" applyNumberFormat="1" applyFont="1" applyFill="1" applyBorder="1" applyAlignment="1">
      <alignment horizontal="center" vertical="center" wrapText="1"/>
    </xf>
    <xf numFmtId="4" fontId="22" fillId="9" borderId="27" xfId="0" applyNumberFormat="1" applyFont="1" applyFill="1" applyBorder="1" applyAlignment="1">
      <alignment horizontal="center" vertical="center" wrapText="1"/>
    </xf>
    <xf numFmtId="4" fontId="12" fillId="9" borderId="1" xfId="0" applyNumberFormat="1" applyFont="1" applyFill="1" applyBorder="1" applyAlignment="1">
      <alignment horizontal="center" vertical="center" wrapText="1"/>
    </xf>
    <xf numFmtId="4" fontId="12" fillId="9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" fontId="1" fillId="8" borderId="27" xfId="0" applyNumberFormat="1" applyFont="1" applyFill="1" applyBorder="1"/>
    <xf numFmtId="4" fontId="22" fillId="9" borderId="27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4" fontId="21" fillId="9" borderId="1" xfId="0" applyNumberFormat="1" applyFont="1" applyFill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8" fillId="9" borderId="1" xfId="0" applyNumberFormat="1" applyFont="1" applyFill="1" applyBorder="1" applyAlignment="1">
      <alignment horizontal="center" vertical="center"/>
    </xf>
    <xf numFmtId="4" fontId="8" fillId="9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3" fillId="8" borderId="27" xfId="0" applyNumberFormat="1" applyFont="1" applyFill="1" applyBorder="1" applyAlignment="1">
      <alignment horizontal="center"/>
    </xf>
    <xf numFmtId="4" fontId="8" fillId="9" borderId="3" xfId="0" applyNumberFormat="1" applyFont="1" applyFill="1" applyBorder="1" applyAlignment="1">
      <alignment horizontal="center" vertical="center"/>
    </xf>
    <xf numFmtId="4" fontId="22" fillId="9" borderId="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" fontId="22" fillId="0" borderId="1" xfId="0" applyNumberFormat="1" applyFont="1" applyBorder="1" applyAlignment="1">
      <alignment horizontal="center" vertical="center"/>
    </xf>
    <xf numFmtId="4" fontId="22" fillId="9" borderId="0" xfId="0" applyNumberFormat="1" applyFont="1" applyFill="1" applyAlignment="1">
      <alignment horizontal="center" vertical="center"/>
    </xf>
    <xf numFmtId="4" fontId="25" fillId="0" borderId="0" xfId="0" applyNumberFormat="1" applyFont="1" applyAlignment="1">
      <alignment horizontal="right" vertical="top"/>
    </xf>
    <xf numFmtId="4" fontId="4" fillId="8" borderId="27" xfId="0" applyNumberFormat="1" applyFont="1" applyFill="1" applyBorder="1" applyAlignment="1">
      <alignment horizontal="center"/>
    </xf>
    <xf numFmtId="4" fontId="22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right" vertical="top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17" fillId="0" borderId="0" xfId="0" applyFont="1"/>
    <xf numFmtId="0" fontId="30" fillId="0" borderId="8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" fontId="30" fillId="10" borderId="0" xfId="0" applyNumberFormat="1" applyFont="1" applyFill="1" applyAlignment="1">
      <alignment horizontal="center" vertical="center" wrapText="1"/>
    </xf>
    <xf numFmtId="4" fontId="31" fillId="9" borderId="12" xfId="0" applyNumberFormat="1" applyFont="1" applyFill="1" applyBorder="1" applyAlignment="1">
      <alignment horizontal="center" vertical="center"/>
    </xf>
    <xf numFmtId="4" fontId="30" fillId="9" borderId="13" xfId="0" applyNumberFormat="1" applyFont="1" applyFill="1" applyBorder="1" applyAlignment="1">
      <alignment horizontal="center" vertical="center"/>
    </xf>
    <xf numFmtId="4" fontId="30" fillId="9" borderId="12" xfId="0" applyNumberFormat="1" applyFont="1" applyFill="1" applyBorder="1" applyAlignment="1">
      <alignment horizontal="center" vertical="center"/>
    </xf>
    <xf numFmtId="4" fontId="30" fillId="0" borderId="12" xfId="0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4" fontId="32" fillId="0" borderId="21" xfId="0" applyNumberFormat="1" applyFont="1" applyBorder="1" applyAlignment="1">
      <alignment horizontal="center"/>
    </xf>
    <xf numFmtId="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4" fontId="10" fillId="11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/>
    </xf>
    <xf numFmtId="0" fontId="34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1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4" fontId="8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5" fillId="13" borderId="0" xfId="0" applyFont="1" applyFill="1" applyAlignment="1">
      <alignment horizontal="center" vertical="center"/>
    </xf>
    <xf numFmtId="0" fontId="35" fillId="14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wrapText="1"/>
    </xf>
    <xf numFmtId="0" fontId="36" fillId="16" borderId="0" xfId="0" applyFont="1" applyFill="1"/>
    <xf numFmtId="0" fontId="36" fillId="16" borderId="0" xfId="0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17" borderId="0" xfId="0" applyFont="1" applyFill="1"/>
    <xf numFmtId="0" fontId="25" fillId="0" borderId="0" xfId="0" applyFont="1" applyAlignment="1">
      <alignment vertical="top"/>
    </xf>
    <xf numFmtId="0" fontId="37" fillId="0" borderId="0" xfId="0" applyFont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4" fontId="13" fillId="17" borderId="0" xfId="0" applyNumberFormat="1" applyFont="1" applyFill="1"/>
    <xf numFmtId="4" fontId="22" fillId="0" borderId="7" xfId="1" applyNumberFormat="1" applyFont="1" applyBorder="1" applyAlignment="1">
      <alignment horizontal="center" vertical="center" wrapText="1"/>
    </xf>
    <xf numFmtId="4" fontId="12" fillId="9" borderId="28" xfId="0" applyNumberFormat="1" applyFont="1" applyFill="1" applyBorder="1" applyAlignment="1">
      <alignment horizontal="center" vertical="center" wrapText="1"/>
    </xf>
    <xf numFmtId="4" fontId="25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4" fontId="8" fillId="9" borderId="7" xfId="0" applyNumberFormat="1" applyFont="1" applyFill="1" applyBorder="1" applyAlignment="1">
      <alignment horizontal="center" vertical="center"/>
    </xf>
    <xf numFmtId="4" fontId="22" fillId="9" borderId="7" xfId="0" applyNumberFormat="1" applyFont="1" applyFill="1" applyBorder="1" applyAlignment="1">
      <alignment horizontal="center" vertical="center"/>
    </xf>
    <xf numFmtId="4" fontId="22" fillId="0" borderId="7" xfId="0" applyNumberFormat="1" applyFont="1" applyBorder="1" applyAlignment="1">
      <alignment horizontal="center" vertical="center"/>
    </xf>
    <xf numFmtId="0" fontId="0" fillId="0" borderId="29" xfId="0" applyBorder="1"/>
    <xf numFmtId="4" fontId="0" fillId="0" borderId="29" xfId="0" applyNumberFormat="1" applyBorder="1"/>
    <xf numFmtId="169" fontId="12" fillId="0" borderId="7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9" fontId="12" fillId="9" borderId="2" xfId="0" applyNumberFormat="1" applyFont="1" applyFill="1" applyBorder="1" applyAlignment="1">
      <alignment horizontal="center" vertical="center"/>
    </xf>
    <xf numFmtId="170" fontId="12" fillId="0" borderId="7" xfId="0" applyNumberFormat="1" applyFont="1" applyBorder="1" applyAlignment="1">
      <alignment horizontal="center" vertical="center"/>
    </xf>
    <xf numFmtId="169" fontId="12" fillId="9" borderId="7" xfId="0" applyNumberFormat="1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wrapText="1"/>
    </xf>
    <xf numFmtId="4" fontId="15" fillId="0" borderId="7" xfId="0" applyNumberFormat="1" applyFont="1" applyBorder="1" applyAlignment="1">
      <alignment horizontal="center" vertical="center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9" xfId="0" applyNumberFormat="1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4" fontId="15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4" fontId="15" fillId="0" borderId="0" xfId="0" applyNumberFormat="1" applyFont="1" applyAlignment="1">
      <alignment horizontal="center" vertical="center" wrapText="1"/>
    </xf>
    <xf numFmtId="0" fontId="0" fillId="0" borderId="0" xfId="0"/>
    <xf numFmtId="4" fontId="2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4" fontId="12" fillId="7" borderId="22" xfId="0" applyNumberFormat="1" applyFont="1" applyFill="1" applyBorder="1" applyAlignment="1">
      <alignment horizontal="center" vertical="center" wrapText="1"/>
    </xf>
    <xf numFmtId="0" fontId="3" fillId="0" borderId="26" xfId="0" applyFont="1" applyBorder="1"/>
    <xf numFmtId="49" fontId="12" fillId="7" borderId="22" xfId="0" applyNumberFormat="1" applyFont="1" applyFill="1" applyBorder="1" applyAlignment="1">
      <alignment horizontal="center" vertical="center" wrapText="1"/>
    </xf>
    <xf numFmtId="4" fontId="20" fillId="7" borderId="23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4" fontId="8" fillId="7" borderId="22" xfId="0" applyNumberFormat="1" applyFont="1" applyFill="1" applyBorder="1" applyAlignment="1">
      <alignment horizontal="center" vertical="center" wrapText="1"/>
    </xf>
    <xf numFmtId="0" fontId="35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Normal" xfId="0" builtinId="0"/>
    <cellStyle name="Normal 2" xfId="1" xr:uid="{E1050392-65E8-4776-9AD0-DE73E18649AF}"/>
  </cellStyles>
  <dxfs count="15">
    <dxf>
      <fill>
        <patternFill patternType="solid">
          <fgColor rgb="FFB7E1CD"/>
          <bgColor rgb="FFB7E1CD"/>
        </patternFill>
      </fill>
    </dxf>
    <dxf>
      <font>
        <b/>
        <color rgb="FFFFFF00"/>
      </font>
      <fill>
        <patternFill patternType="solid">
          <fgColor rgb="FFEA9999"/>
          <bgColor rgb="FFEA9999"/>
        </patternFill>
      </fill>
    </dxf>
    <dxf>
      <font>
        <color rgb="FF99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99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 - APRIL 2021 TO MARCH 2022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'ANNUAL-EXPENSE-DETAILS'!$BH$1:$BH$2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NOV 2025</c:v>
                </c:pt>
                <c:pt idx="8">
                  <c:v>DEC 2025</c:v>
                </c:pt>
                <c:pt idx="9">
                  <c:v>JAN 2026</c:v>
                </c:pt>
                <c:pt idx="10">
                  <c:v>FEB 2026</c:v>
                </c:pt>
                <c:pt idx="11">
                  <c:v>MAR 2026</c:v>
                </c:pt>
              </c:strCache>
            </c:strRef>
          </c:cat>
          <c:val>
            <c:numRef>
              <c:f>'ANNUAL-EXPENSE-DETAILS'!$BH$3:$BH$14</c:f>
              <c:numCache>
                <c:formatCode>#,##0.00</c:formatCode>
                <c:ptCount val="12"/>
                <c:pt idx="0">
                  <c:v>352350</c:v>
                </c:pt>
                <c:pt idx="1">
                  <c:v>299810</c:v>
                </c:pt>
                <c:pt idx="2">
                  <c:v>312762</c:v>
                </c:pt>
                <c:pt idx="3">
                  <c:v>369951</c:v>
                </c:pt>
                <c:pt idx="4">
                  <c:v>399241</c:v>
                </c:pt>
                <c:pt idx="5">
                  <c:v>336898</c:v>
                </c:pt>
                <c:pt idx="6">
                  <c:v>429567</c:v>
                </c:pt>
                <c:pt idx="7">
                  <c:v>456034</c:v>
                </c:pt>
                <c:pt idx="8">
                  <c:v>351396</c:v>
                </c:pt>
                <c:pt idx="9">
                  <c:v>347304</c:v>
                </c:pt>
                <c:pt idx="10">
                  <c:v>326672</c:v>
                </c:pt>
                <c:pt idx="11">
                  <c:v>337407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23F-82CB-0365BD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744003"/>
        <c:axId val="595070711"/>
      </c:areaChart>
      <c:catAx>
        <c:axId val="574744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5070711"/>
        <c:crosses val="autoZero"/>
        <c:auto val="1"/>
        <c:lblAlgn val="ctr"/>
        <c:lblOffset val="100"/>
        <c:noMultiLvlLbl val="1"/>
      </c:catAx>
      <c:valAx>
        <c:axId val="59507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47440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PFOWA Finance" id="{2581BDCE-59D6-4AF5-A5EE-EB360A701EA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4-10T14:15:58.00" personId="{2581BDCE-59D6-4AF5-A5EE-EB360A701EA6}" id="{1F69A37B-2144-432F-96B0-5B596B0EF80F}">
    <text>Cleared in bank on 24th July 2025</text>
  </threadedComment>
  <threadedComment ref="B4" dT="2026-04-10T14:17:46.00" personId="{2581BDCE-59D6-4AF5-A5EE-EB360A701EA6}" id="{08DB34FA-1736-45A5-93AF-31D02B3FD4B7}">
    <text>Cleared in bank on 24th July 2025</text>
  </threadedComment>
  <threadedComment ref="B5" dT="2026-04-10T14:18:40.00" personId="{2581BDCE-59D6-4AF5-A5EE-EB360A701EA6}" id="{A6C8A743-5962-4313-B01B-C1F5C4E0C9E7}">
    <text>Cleared in bank on 24th July 2025</text>
  </threadedComment>
  <threadedComment ref="AT9" dT="2025-11-16T05:14:49.00" personId="{2581BDCE-59D6-4AF5-A5EE-EB360A701EA6}" id="{D658FB14-92A3-4088-833A-9627914C1A64}">
    <text>Drain covers on the exit path way</text>
  </threadedComment>
  <threadedComment ref="BA10" dT="2025-12-14T12:35:08.00" personId="{2581BDCE-59D6-4AF5-A5EE-EB360A701EA6}" id="{1C0FDFFC-9A73-40FE-8BEC-6E1E9ACB4770}">
    <text>Old Sofa Disposal</text>
  </threadedComment>
  <threadedComment ref="BB10" dT="2025-12-14T12:37:38.00" personId="{2581BDCE-59D6-4AF5-A5EE-EB360A701EA6}" id="{5920C7CB-6B3B-412B-A9AC-08D9D13E7B3E}">
    <text>Removing hardened dirt and sludge using machine (D.Sireesha)</text>
  </threadedComment>
  <threadedComment ref="AF12" dT="2026-02-15T05:43:34.00" personId="{2581BDCE-59D6-4AF5-A5EE-EB360A701EA6}" id="{A9A10D3A-8376-4BEE-95F1-78F9485B63DC}">
    <text>8,500 for cleaning the front garden area after moving garbage bins into the garbage cabin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4" dT="2025-08-07T06:42:29.00" personId="{2581BDCE-59D6-4AF5-A5EE-EB360A701EA6}" id="{32F316C2-CC01-49EF-9843-5DEE0E2E6EF3}">
    <text>Not paid June maintenance by 31st July 2025 and also have previous deficit of -18,450.35 as of 7th Aug 2025 when preparing July bills</text>
  </threadedComment>
  <threadedComment ref="S36" dT="2025-08-07T06:45:30.00" personId="{2581BDCE-59D6-4AF5-A5EE-EB360A701EA6}" id="{26ED8B01-2F16-4479-9CEA-8AE23F845BFD}">
    <text>Did not pay June maintenance by 31st of July and also have total deficit of -29,270.59 as on 7th Aug 2025 when July bill is being prepared.</text>
  </threadedComment>
  <threadedComment ref="S44" dT="2025-08-07T06:46:58.00" personId="{2581BDCE-59D6-4AF5-A5EE-EB360A701EA6}" id="{71C95B2A-DC7B-425A-ADAC-AF74D1E71F56}">
    <text>Did not pay June maintenance by 31st July 2025 and also have a total deficit of -31,307.80 as on 7th Aug 2025 when July bill is being prepared</text>
  </threadedComment>
  <threadedComment ref="S48" dT="2025-08-07T06:47:55.00" personId="{2581BDCE-59D6-4AF5-A5EE-EB360A701EA6}" id="{6C32C142-E983-461B-9FA2-E49883266A51}">
    <text>Did not pay June maintenance by 31st July 2025 and also have a total deficit of -20,778.47 as on 7th Aug 2025 when July bill is being prepared</text>
  </threadedComment>
  <threadedComment ref="S52" dT="2025-08-07T06:49:00.00" personId="{2581BDCE-59D6-4AF5-A5EE-EB360A701EA6}" id="{5441273C-065C-4D5B-9C58-251A1AE6ACB1}">
    <text>Did not pay June maintenance by 31st of July 2025 and have total deficit of -18,326.58 as on 7th Aug 2025 when July Bill is being prepared</text>
  </threadedComment>
</ThreadedComment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2" customWidth="1"/>
    <col min="3" max="3" width="15.6640625" customWidth="1"/>
    <col min="4" max="4" width="20.1640625" customWidth="1"/>
    <col min="5" max="5" width="19.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5" customWidth="1"/>
    <col min="11" max="11" width="16.8320312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5" customWidth="1"/>
    <col min="18" max="18" width="12.33203125" customWidth="1"/>
    <col min="19" max="19" width="44.1640625" customWidth="1"/>
    <col min="20" max="20" width="11.5" customWidth="1"/>
  </cols>
  <sheetData>
    <row r="1" spans="1:20" ht="18.75" customHeight="1">
      <c r="A1" s="1"/>
      <c r="B1" s="243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2" t="s">
        <v>1</v>
      </c>
      <c r="B2" s="3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/>
      <c r="T2" s="6"/>
    </row>
    <row r="3" spans="1:20" ht="12.75" customHeight="1">
      <c r="A3" s="7" t="s">
        <v>18</v>
      </c>
      <c r="B3" s="8" t="s">
        <v>19</v>
      </c>
      <c r="C3" s="9">
        <v>0</v>
      </c>
      <c r="D3" s="10">
        <v>0</v>
      </c>
      <c r="E3" s="6"/>
      <c r="F3" s="6"/>
      <c r="G3" s="6"/>
      <c r="H3" s="10">
        <v>1</v>
      </c>
      <c r="I3" s="10">
        <f>T7</f>
        <v>112.21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>
      <c r="A4" s="7" t="s">
        <v>20</v>
      </c>
      <c r="B4" s="8" t="s">
        <v>19</v>
      </c>
      <c r="C4" s="9">
        <v>0</v>
      </c>
      <c r="D4" s="10">
        <v>0</v>
      </c>
      <c r="E4" s="6"/>
      <c r="F4" s="6"/>
      <c r="G4" s="6"/>
      <c r="H4" s="10">
        <v>1</v>
      </c>
      <c r="I4" s="10">
        <f>T7</f>
        <v>112.21</v>
      </c>
      <c r="J4" s="6"/>
      <c r="K4" s="6"/>
      <c r="L4" s="6"/>
      <c r="M4" s="6"/>
      <c r="N4" s="6"/>
      <c r="O4" s="6"/>
      <c r="P4" s="6"/>
      <c r="Q4" s="6"/>
      <c r="R4" s="6"/>
      <c r="S4" s="11" t="s">
        <v>21</v>
      </c>
      <c r="T4" s="12">
        <f>'ANNUAL-EXPENSE-DETAILS'!BF3</f>
        <v>287528</v>
      </c>
    </row>
    <row r="5" spans="1:20" ht="12.75" customHeight="1">
      <c r="A5" s="7" t="s">
        <v>22</v>
      </c>
      <c r="B5" s="8" t="s">
        <v>19</v>
      </c>
      <c r="C5" s="6">
        <v>0</v>
      </c>
      <c r="D5" s="10">
        <v>0</v>
      </c>
      <c r="E5" s="6"/>
      <c r="F5" s="6"/>
      <c r="G5" s="6"/>
      <c r="H5" s="10">
        <v>1</v>
      </c>
      <c r="I5" s="10">
        <f>T7</f>
        <v>112.21</v>
      </c>
      <c r="J5" s="6"/>
      <c r="K5" s="6"/>
      <c r="L5" s="6"/>
      <c r="M5" s="6"/>
      <c r="N5" s="6"/>
      <c r="O5" s="6"/>
      <c r="P5" s="6"/>
      <c r="Q5" s="6"/>
      <c r="R5" s="6"/>
      <c r="S5" s="11" t="s">
        <v>23</v>
      </c>
      <c r="T5" s="12">
        <f>'ANNUAL-EXPENSE-DETAILS'!BE3</f>
        <v>39800</v>
      </c>
    </row>
    <row r="6" spans="1:20" ht="12.75" customHeight="1">
      <c r="A6" s="7" t="s">
        <v>24</v>
      </c>
      <c r="B6" s="13" t="s">
        <v>25</v>
      </c>
      <c r="C6" s="9">
        <v>2141.5</v>
      </c>
      <c r="D6" s="10">
        <f t="shared" ref="D6:D69" si="0">SUM($C$3:$C$5)/64</f>
        <v>0</v>
      </c>
      <c r="E6" s="10">
        <f t="shared" ref="E6:E69" si="1">C6+D6</f>
        <v>2141.5</v>
      </c>
      <c r="F6" s="10">
        <f t="shared" ref="F6:F69" si="2">IF($C$70=0, 0, E6/$C$70)</f>
        <v>5.5356014263576309E-3</v>
      </c>
      <c r="G6" s="10">
        <f t="shared" ref="G6:G69" si="3">F6*$T$5</f>
        <v>220.3169367690337</v>
      </c>
      <c r="H6" s="10">
        <v>3</v>
      </c>
      <c r="I6" s="10">
        <f t="shared" ref="I6:I69" si="4">$T$7*H6</f>
        <v>336.63</v>
      </c>
      <c r="J6" s="10">
        <f t="shared" ref="J6:J69" si="5">G6+$T$9+I6</f>
        <v>562.20678051903371</v>
      </c>
      <c r="K6" s="10">
        <f t="shared" ref="K6:K69" si="6">$T$4/64</f>
        <v>4492.625</v>
      </c>
      <c r="L6" s="14">
        <v>0</v>
      </c>
      <c r="M6" s="10">
        <v>0</v>
      </c>
      <c r="N6" s="10">
        <v>0</v>
      </c>
      <c r="O6" s="10">
        <v>0</v>
      </c>
      <c r="P6" s="10">
        <v>0</v>
      </c>
      <c r="Q6" s="10">
        <v>500</v>
      </c>
      <c r="R6" s="15">
        <f t="shared" ref="R6:R69" si="7">(J6+K6+L6+M6+Q6+N6+O6+P6)*$B$2</f>
        <v>5554.8317805190336</v>
      </c>
      <c r="S6" s="6"/>
      <c r="T6" s="6"/>
    </row>
    <row r="7" spans="1:20" ht="12.75" customHeight="1">
      <c r="A7" s="7" t="s">
        <v>26</v>
      </c>
      <c r="B7" s="13" t="s">
        <v>27</v>
      </c>
      <c r="C7" s="9">
        <v>13938</v>
      </c>
      <c r="D7" s="10">
        <f t="shared" si="0"/>
        <v>0</v>
      </c>
      <c r="E7" s="10">
        <f t="shared" si="1"/>
        <v>13938</v>
      </c>
      <c r="F7" s="10">
        <f t="shared" si="2"/>
        <v>3.6028584020813756E-2</v>
      </c>
      <c r="G7" s="10">
        <f t="shared" si="3"/>
        <v>1433.9376440283875</v>
      </c>
      <c r="H7" s="10">
        <v>4</v>
      </c>
      <c r="I7" s="10">
        <f t="shared" si="4"/>
        <v>448.84</v>
      </c>
      <c r="J7" s="10">
        <f t="shared" si="5"/>
        <v>1888.0374877783875</v>
      </c>
      <c r="K7" s="10">
        <f t="shared" si="6"/>
        <v>4492.625</v>
      </c>
      <c r="L7" s="7">
        <v>0</v>
      </c>
      <c r="M7" s="10">
        <v>0</v>
      </c>
      <c r="N7" s="10">
        <v>0</v>
      </c>
      <c r="O7" s="10">
        <v>0</v>
      </c>
      <c r="P7" s="10">
        <v>0</v>
      </c>
      <c r="Q7" s="10">
        <v>500</v>
      </c>
      <c r="R7" s="15">
        <f t="shared" si="7"/>
        <v>6880.662487778387</v>
      </c>
      <c r="S7" s="16" t="s">
        <v>28</v>
      </c>
      <c r="T7" s="17">
        <v>112.21</v>
      </c>
    </row>
    <row r="8" spans="1:20" ht="12.75" customHeight="1">
      <c r="A8" s="7" t="s">
        <v>29</v>
      </c>
      <c r="B8" s="13" t="s">
        <v>30</v>
      </c>
      <c r="C8" s="9">
        <v>12648.5</v>
      </c>
      <c r="D8" s="10">
        <f t="shared" si="0"/>
        <v>0</v>
      </c>
      <c r="E8" s="10">
        <f t="shared" si="1"/>
        <v>12648.5</v>
      </c>
      <c r="F8" s="10">
        <f t="shared" si="2"/>
        <v>3.269533254321013E-2</v>
      </c>
      <c r="G8" s="10">
        <f t="shared" si="3"/>
        <v>1301.2742352197631</v>
      </c>
      <c r="H8" s="10">
        <v>4</v>
      </c>
      <c r="I8" s="10">
        <f t="shared" si="4"/>
        <v>448.84</v>
      </c>
      <c r="J8" s="10">
        <f t="shared" si="5"/>
        <v>1755.3740789697631</v>
      </c>
      <c r="K8" s="10">
        <f t="shared" si="6"/>
        <v>4492.625</v>
      </c>
      <c r="L8" s="7">
        <v>750</v>
      </c>
      <c r="M8" s="10">
        <v>0</v>
      </c>
      <c r="N8" s="10">
        <v>0</v>
      </c>
      <c r="O8" s="10">
        <v>0</v>
      </c>
      <c r="P8" s="10">
        <v>0</v>
      </c>
      <c r="Q8" s="10">
        <v>500</v>
      </c>
      <c r="R8" s="15">
        <f t="shared" si="7"/>
        <v>7497.9990789697631</v>
      </c>
      <c r="S8" s="16" t="s">
        <v>31</v>
      </c>
      <c r="T8" s="18">
        <f>$T$7*3</f>
        <v>336.63</v>
      </c>
    </row>
    <row r="9" spans="1:20" ht="12.75" customHeight="1">
      <c r="A9" s="7" t="s">
        <v>32</v>
      </c>
      <c r="B9" s="13" t="s">
        <v>33</v>
      </c>
      <c r="C9" s="9">
        <v>2944</v>
      </c>
      <c r="D9" s="10">
        <f t="shared" si="0"/>
        <v>0</v>
      </c>
      <c r="E9" s="10">
        <f t="shared" si="1"/>
        <v>2944</v>
      </c>
      <c r="F9" s="10">
        <f t="shared" si="2"/>
        <v>7.6099979449903649E-3</v>
      </c>
      <c r="G9" s="10">
        <f t="shared" si="3"/>
        <v>302.87791821061654</v>
      </c>
      <c r="H9" s="10">
        <v>4</v>
      </c>
      <c r="I9" s="10">
        <f t="shared" si="4"/>
        <v>448.84</v>
      </c>
      <c r="J9" s="10">
        <f t="shared" si="5"/>
        <v>756.97776196061659</v>
      </c>
      <c r="K9" s="10">
        <f t="shared" si="6"/>
        <v>4492.625</v>
      </c>
      <c r="L9" s="7">
        <v>0</v>
      </c>
      <c r="M9" s="10">
        <v>0</v>
      </c>
      <c r="N9" s="10">
        <v>0</v>
      </c>
      <c r="O9" s="10">
        <v>0</v>
      </c>
      <c r="P9" s="10">
        <v>0</v>
      </c>
      <c r="Q9" s="10">
        <v>500</v>
      </c>
      <c r="R9" s="15">
        <f t="shared" si="7"/>
        <v>5749.6027619606166</v>
      </c>
      <c r="S9" s="11" t="s">
        <v>34</v>
      </c>
      <c r="T9" s="12">
        <f>T8/64</f>
        <v>5.2598437499999999</v>
      </c>
    </row>
    <row r="10" spans="1:20" ht="12.75" customHeight="1">
      <c r="A10" s="7" t="s">
        <v>35</v>
      </c>
      <c r="B10" s="13" t="s">
        <v>36</v>
      </c>
      <c r="C10" s="9">
        <v>645.5</v>
      </c>
      <c r="D10" s="10">
        <f t="shared" si="0"/>
        <v>0</v>
      </c>
      <c r="E10" s="10">
        <f t="shared" si="1"/>
        <v>645.5</v>
      </c>
      <c r="F10" s="10">
        <f t="shared" si="2"/>
        <v>1.6685644271369838E-3</v>
      </c>
      <c r="G10" s="10">
        <f t="shared" si="3"/>
        <v>66.408864200051951</v>
      </c>
      <c r="H10" s="10">
        <v>3</v>
      </c>
      <c r="I10" s="10">
        <f t="shared" si="4"/>
        <v>336.63</v>
      </c>
      <c r="J10" s="10">
        <f t="shared" si="5"/>
        <v>408.29870795005195</v>
      </c>
      <c r="K10" s="10">
        <f t="shared" si="6"/>
        <v>4492.625</v>
      </c>
      <c r="L10" s="7">
        <v>0</v>
      </c>
      <c r="M10" s="10">
        <v>0</v>
      </c>
      <c r="N10" s="10">
        <v>0</v>
      </c>
      <c r="O10" s="10">
        <v>0</v>
      </c>
      <c r="P10" s="10">
        <v>0</v>
      </c>
      <c r="Q10" s="10">
        <v>500</v>
      </c>
      <c r="R10" s="15">
        <f t="shared" si="7"/>
        <v>5400.9237079500517</v>
      </c>
      <c r="S10" s="6"/>
      <c r="T10" s="6"/>
    </row>
    <row r="11" spans="1:20" ht="12.75" customHeight="1">
      <c r="A11" s="7" t="s">
        <v>37</v>
      </c>
      <c r="B11" s="13" t="s">
        <v>38</v>
      </c>
      <c r="C11" s="9">
        <v>5452</v>
      </c>
      <c r="D11" s="10">
        <f t="shared" si="0"/>
        <v>0</v>
      </c>
      <c r="E11" s="10">
        <f t="shared" si="1"/>
        <v>5452</v>
      </c>
      <c r="F11" s="10">
        <f t="shared" si="2"/>
        <v>1.4092971737801449E-2</v>
      </c>
      <c r="G11" s="10">
        <f t="shared" si="3"/>
        <v>560.90027516449766</v>
      </c>
      <c r="H11" s="10">
        <v>3</v>
      </c>
      <c r="I11" s="10">
        <f t="shared" si="4"/>
        <v>336.63</v>
      </c>
      <c r="J11" s="10">
        <f t="shared" si="5"/>
        <v>902.79011891449761</v>
      </c>
      <c r="K11" s="10">
        <f t="shared" si="6"/>
        <v>4492.625</v>
      </c>
      <c r="L11" s="7">
        <v>0</v>
      </c>
      <c r="M11" s="10">
        <v>0</v>
      </c>
      <c r="N11" s="10">
        <v>0</v>
      </c>
      <c r="O11" s="10">
        <v>0</v>
      </c>
      <c r="P11" s="10">
        <v>0</v>
      </c>
      <c r="Q11" s="10">
        <v>500</v>
      </c>
      <c r="R11" s="15">
        <f t="shared" si="7"/>
        <v>5895.4151189144977</v>
      </c>
      <c r="S11" s="19" t="s">
        <v>39</v>
      </c>
      <c r="T11" s="20"/>
    </row>
    <row r="12" spans="1:20" ht="12.75" customHeight="1">
      <c r="A12" s="7" t="s">
        <v>40</v>
      </c>
      <c r="B12" s="13" t="s">
        <v>41</v>
      </c>
      <c r="C12" s="9">
        <v>938</v>
      </c>
      <c r="D12" s="10">
        <f t="shared" si="0"/>
        <v>0</v>
      </c>
      <c r="E12" s="10">
        <f t="shared" si="1"/>
        <v>938</v>
      </c>
      <c r="F12" s="10">
        <f t="shared" si="2"/>
        <v>2.4246528778535878E-3</v>
      </c>
      <c r="G12" s="10">
        <f t="shared" si="3"/>
        <v>96.501184538572801</v>
      </c>
      <c r="H12" s="10">
        <v>3</v>
      </c>
      <c r="I12" s="10">
        <f t="shared" si="4"/>
        <v>336.63</v>
      </c>
      <c r="J12" s="10">
        <f t="shared" si="5"/>
        <v>438.39102828857278</v>
      </c>
      <c r="K12" s="10">
        <f t="shared" si="6"/>
        <v>4492.625</v>
      </c>
      <c r="L12" s="7">
        <v>750</v>
      </c>
      <c r="M12" s="10">
        <v>0</v>
      </c>
      <c r="N12" s="10">
        <v>0</v>
      </c>
      <c r="O12" s="10">
        <v>0</v>
      </c>
      <c r="P12" s="10">
        <v>0</v>
      </c>
      <c r="Q12" s="10">
        <v>500</v>
      </c>
      <c r="R12" s="15">
        <f t="shared" si="7"/>
        <v>6181.0160282885727</v>
      </c>
      <c r="S12" s="19" t="s">
        <v>42</v>
      </c>
      <c r="T12" s="21"/>
    </row>
    <row r="13" spans="1:20" ht="12.75" customHeight="1">
      <c r="A13" s="7" t="s">
        <v>43</v>
      </c>
      <c r="B13" s="13" t="s">
        <v>44</v>
      </c>
      <c r="C13" s="9">
        <v>249</v>
      </c>
      <c r="D13" s="10">
        <f t="shared" si="0"/>
        <v>0</v>
      </c>
      <c r="E13" s="10">
        <f t="shared" si="1"/>
        <v>249</v>
      </c>
      <c r="F13" s="10">
        <f t="shared" si="2"/>
        <v>6.4364452727669861E-4</v>
      </c>
      <c r="G13" s="10">
        <f t="shared" si="3"/>
        <v>25.617052185612604</v>
      </c>
      <c r="H13" s="10">
        <v>3</v>
      </c>
      <c r="I13" s="10">
        <f t="shared" si="4"/>
        <v>336.63</v>
      </c>
      <c r="J13" s="10">
        <f t="shared" si="5"/>
        <v>367.50689593561259</v>
      </c>
      <c r="K13" s="10">
        <f t="shared" si="6"/>
        <v>4492.625</v>
      </c>
      <c r="L13" s="7">
        <v>0</v>
      </c>
      <c r="M13" s="10">
        <v>0</v>
      </c>
      <c r="N13" s="10">
        <v>0</v>
      </c>
      <c r="O13" s="10">
        <v>0</v>
      </c>
      <c r="P13" s="10">
        <v>0</v>
      </c>
      <c r="Q13" s="10">
        <v>500</v>
      </c>
      <c r="R13" s="15">
        <f t="shared" si="7"/>
        <v>5360.1318959356122</v>
      </c>
      <c r="S13" s="19" t="s">
        <v>45</v>
      </c>
      <c r="T13" s="21"/>
    </row>
    <row r="14" spans="1:20" ht="12.75" customHeight="1">
      <c r="A14" s="7" t="s">
        <v>46</v>
      </c>
      <c r="B14" s="13" t="s">
        <v>47</v>
      </c>
      <c r="C14" s="9">
        <v>1109.5</v>
      </c>
      <c r="D14" s="10">
        <f t="shared" si="0"/>
        <v>0</v>
      </c>
      <c r="E14" s="10">
        <f t="shared" si="1"/>
        <v>1109.5</v>
      </c>
      <c r="F14" s="10">
        <f t="shared" si="2"/>
        <v>2.8679662771626392E-3</v>
      </c>
      <c r="G14" s="10">
        <f t="shared" si="3"/>
        <v>114.14505783107305</v>
      </c>
      <c r="H14" s="10">
        <v>4</v>
      </c>
      <c r="I14" s="10">
        <f t="shared" si="4"/>
        <v>448.84</v>
      </c>
      <c r="J14" s="10">
        <f t="shared" si="5"/>
        <v>568.24490158107301</v>
      </c>
      <c r="K14" s="10">
        <f t="shared" si="6"/>
        <v>4492.625</v>
      </c>
      <c r="L14" s="7">
        <v>0</v>
      </c>
      <c r="M14" s="10">
        <v>0</v>
      </c>
      <c r="N14" s="10">
        <v>0</v>
      </c>
      <c r="O14" s="10">
        <v>0</v>
      </c>
      <c r="P14" s="10">
        <v>0</v>
      </c>
      <c r="Q14" s="10">
        <v>500</v>
      </c>
      <c r="R14" s="15">
        <f t="shared" si="7"/>
        <v>5560.8699015810726</v>
      </c>
      <c r="S14" s="22" t="s">
        <v>48</v>
      </c>
      <c r="T14" s="23">
        <f>T12-T13</f>
        <v>0</v>
      </c>
    </row>
    <row r="15" spans="1:20" ht="12.75" customHeight="1">
      <c r="A15" s="7" t="s">
        <v>49</v>
      </c>
      <c r="B15" s="13" t="s">
        <v>50</v>
      </c>
      <c r="C15" s="9">
        <v>2961</v>
      </c>
      <c r="D15" s="10">
        <f t="shared" si="0"/>
        <v>0</v>
      </c>
      <c r="E15" s="10">
        <f t="shared" si="1"/>
        <v>2961</v>
      </c>
      <c r="F15" s="10">
        <f t="shared" si="2"/>
        <v>7.6539415472542359E-3</v>
      </c>
      <c r="G15" s="10">
        <f t="shared" si="3"/>
        <v>304.62687358071861</v>
      </c>
      <c r="H15" s="10">
        <v>3</v>
      </c>
      <c r="I15" s="10">
        <f t="shared" si="4"/>
        <v>336.63</v>
      </c>
      <c r="J15" s="10">
        <f t="shared" si="5"/>
        <v>646.51671733071862</v>
      </c>
      <c r="K15" s="10">
        <f t="shared" si="6"/>
        <v>4492.625</v>
      </c>
      <c r="L15" s="7">
        <v>0</v>
      </c>
      <c r="M15" s="10">
        <v>0</v>
      </c>
      <c r="N15" s="10">
        <v>1000</v>
      </c>
      <c r="O15" s="10">
        <v>0</v>
      </c>
      <c r="P15" s="10">
        <v>0</v>
      </c>
      <c r="Q15" s="10">
        <v>500</v>
      </c>
      <c r="R15" s="15">
        <f t="shared" si="7"/>
        <v>6639.1417173307182</v>
      </c>
      <c r="S15" s="24" t="s">
        <v>51</v>
      </c>
      <c r="T15" s="25"/>
    </row>
    <row r="16" spans="1:20" ht="12.75" customHeight="1">
      <c r="A16" s="7" t="s">
        <v>52</v>
      </c>
      <c r="B16" s="13" t="s">
        <v>53</v>
      </c>
      <c r="C16" s="9">
        <v>509</v>
      </c>
      <c r="D16" s="10">
        <f t="shared" si="0"/>
        <v>0</v>
      </c>
      <c r="E16" s="10">
        <f t="shared" si="1"/>
        <v>509</v>
      </c>
      <c r="F16" s="10">
        <f t="shared" si="2"/>
        <v>1.315723150135902E-3</v>
      </c>
      <c r="G16" s="10">
        <f t="shared" si="3"/>
        <v>52.365781375408901</v>
      </c>
      <c r="H16" s="10">
        <v>3</v>
      </c>
      <c r="I16" s="10">
        <f t="shared" si="4"/>
        <v>336.63</v>
      </c>
      <c r="J16" s="10">
        <f t="shared" si="5"/>
        <v>394.25562512540887</v>
      </c>
      <c r="K16" s="10">
        <f t="shared" si="6"/>
        <v>4492.625</v>
      </c>
      <c r="L16" s="7">
        <v>0</v>
      </c>
      <c r="M16" s="10">
        <v>0</v>
      </c>
      <c r="N16" s="10">
        <v>0</v>
      </c>
      <c r="O16" s="10">
        <v>0</v>
      </c>
      <c r="P16" s="10">
        <v>0</v>
      </c>
      <c r="Q16" s="10">
        <v>500</v>
      </c>
      <c r="R16" s="15">
        <f t="shared" si="7"/>
        <v>5386.8806251254091</v>
      </c>
      <c r="S16" s="26" t="s">
        <v>54</v>
      </c>
      <c r="T16" s="27">
        <f>T11-T14-T15</f>
        <v>0</v>
      </c>
    </row>
    <row r="17" spans="1:20" ht="12.75" customHeight="1">
      <c r="A17" s="7" t="s">
        <v>55</v>
      </c>
      <c r="B17" s="13" t="s">
        <v>56</v>
      </c>
      <c r="C17" s="9">
        <v>0</v>
      </c>
      <c r="D17" s="10">
        <f t="shared" si="0"/>
        <v>0</v>
      </c>
      <c r="E17" s="10">
        <f t="shared" si="1"/>
        <v>0</v>
      </c>
      <c r="F17" s="10">
        <f t="shared" si="2"/>
        <v>0</v>
      </c>
      <c r="G17" s="10">
        <f t="shared" si="3"/>
        <v>0</v>
      </c>
      <c r="H17" s="10">
        <v>3</v>
      </c>
      <c r="I17" s="10">
        <f t="shared" si="4"/>
        <v>336.63</v>
      </c>
      <c r="J17" s="10">
        <f t="shared" si="5"/>
        <v>341.88984375000001</v>
      </c>
      <c r="K17" s="10">
        <f t="shared" si="6"/>
        <v>4492.625</v>
      </c>
      <c r="L17" s="7">
        <v>0</v>
      </c>
      <c r="M17" s="10">
        <v>0</v>
      </c>
      <c r="N17" s="10">
        <v>0</v>
      </c>
      <c r="O17" s="10">
        <v>0</v>
      </c>
      <c r="P17" s="10">
        <v>0</v>
      </c>
      <c r="Q17" s="10">
        <v>500</v>
      </c>
      <c r="R17" s="15">
        <f t="shared" si="7"/>
        <v>5334.5148437500002</v>
      </c>
      <c r="S17" s="26" t="s">
        <v>57</v>
      </c>
      <c r="T17" s="28">
        <f>'ANNUAL-EXPENSE-DETAILS'!BI9</f>
        <v>0</v>
      </c>
    </row>
    <row r="18" spans="1:20" ht="12.75" customHeight="1">
      <c r="A18" s="7" t="s">
        <v>58</v>
      </c>
      <c r="B18" s="13" t="s">
        <v>59</v>
      </c>
      <c r="C18" s="9">
        <v>261.5</v>
      </c>
      <c r="D18" s="10">
        <f t="shared" si="0"/>
        <v>0</v>
      </c>
      <c r="E18" s="10">
        <f t="shared" si="1"/>
        <v>261.5</v>
      </c>
      <c r="F18" s="10">
        <f t="shared" si="2"/>
        <v>6.7595599952954496E-4</v>
      </c>
      <c r="G18" s="10">
        <f t="shared" si="3"/>
        <v>26.903048781275889</v>
      </c>
      <c r="H18" s="10">
        <v>4</v>
      </c>
      <c r="I18" s="10">
        <f t="shared" si="4"/>
        <v>448.84</v>
      </c>
      <c r="J18" s="10">
        <f t="shared" si="5"/>
        <v>481.00289253127585</v>
      </c>
      <c r="K18" s="10">
        <f t="shared" si="6"/>
        <v>4492.625</v>
      </c>
      <c r="L18" s="7">
        <v>0</v>
      </c>
      <c r="M18" s="10">
        <v>0</v>
      </c>
      <c r="N18" s="10">
        <v>0</v>
      </c>
      <c r="O18" s="10">
        <v>0</v>
      </c>
      <c r="P18" s="10">
        <v>0</v>
      </c>
      <c r="Q18" s="10">
        <v>500</v>
      </c>
      <c r="R18" s="15">
        <f t="shared" si="7"/>
        <v>5473.6278925312763</v>
      </c>
      <c r="S18" s="26" t="s">
        <v>60</v>
      </c>
      <c r="T18" s="29">
        <f>T16-T17</f>
        <v>0</v>
      </c>
    </row>
    <row r="19" spans="1:20" ht="12.75" customHeight="1">
      <c r="A19" s="7" t="s">
        <v>61</v>
      </c>
      <c r="B19" s="13" t="s">
        <v>62</v>
      </c>
      <c r="C19" s="9">
        <v>1</v>
      </c>
      <c r="D19" s="10">
        <f t="shared" si="0"/>
        <v>0</v>
      </c>
      <c r="E19" s="10">
        <f t="shared" si="1"/>
        <v>1</v>
      </c>
      <c r="F19" s="10">
        <f t="shared" si="2"/>
        <v>2.5849177802277055E-6</v>
      </c>
      <c r="G19" s="10">
        <f t="shared" si="3"/>
        <v>0.10287972765306268</v>
      </c>
      <c r="H19" s="10">
        <v>4</v>
      </c>
      <c r="I19" s="10">
        <f t="shared" si="4"/>
        <v>448.84</v>
      </c>
      <c r="J19" s="10">
        <f t="shared" si="5"/>
        <v>454.20272347765302</v>
      </c>
      <c r="K19" s="10">
        <f t="shared" si="6"/>
        <v>4492.625</v>
      </c>
      <c r="L19" s="7">
        <v>750</v>
      </c>
      <c r="M19" s="10">
        <v>0</v>
      </c>
      <c r="N19" s="10">
        <v>0</v>
      </c>
      <c r="O19" s="10">
        <v>0</v>
      </c>
      <c r="P19" s="10">
        <v>0</v>
      </c>
      <c r="Q19" s="10">
        <v>500</v>
      </c>
      <c r="R19" s="15">
        <f t="shared" si="7"/>
        <v>6196.8277234776533</v>
      </c>
      <c r="S19" s="6"/>
      <c r="T19" s="6"/>
    </row>
    <row r="20" spans="1:20" ht="12.75" customHeight="1">
      <c r="A20" s="7" t="s">
        <v>63</v>
      </c>
      <c r="B20" s="13" t="s">
        <v>64</v>
      </c>
      <c r="C20" s="9">
        <v>2992.5</v>
      </c>
      <c r="D20" s="10">
        <f t="shared" si="0"/>
        <v>0</v>
      </c>
      <c r="E20" s="10">
        <f t="shared" si="1"/>
        <v>2992.5</v>
      </c>
      <c r="F20" s="10">
        <f t="shared" si="2"/>
        <v>7.7353664573314085E-3</v>
      </c>
      <c r="G20" s="10">
        <f t="shared" si="3"/>
        <v>307.86758500179008</v>
      </c>
      <c r="H20" s="10">
        <v>4</v>
      </c>
      <c r="I20" s="10">
        <f t="shared" si="4"/>
        <v>448.84</v>
      </c>
      <c r="J20" s="10">
        <f t="shared" si="5"/>
        <v>761.96742875179007</v>
      </c>
      <c r="K20" s="10">
        <f t="shared" si="6"/>
        <v>4492.625</v>
      </c>
      <c r="L20" s="7">
        <v>750</v>
      </c>
      <c r="M20" s="10">
        <v>0</v>
      </c>
      <c r="N20" s="10">
        <v>0</v>
      </c>
      <c r="O20" s="10">
        <v>0</v>
      </c>
      <c r="P20" s="10">
        <v>0</v>
      </c>
      <c r="Q20" s="10">
        <v>500</v>
      </c>
      <c r="R20" s="15">
        <f t="shared" si="7"/>
        <v>6504.5924287517901</v>
      </c>
      <c r="S20" s="6"/>
      <c r="T20" s="6"/>
    </row>
    <row r="21" spans="1:20" ht="12.75" customHeight="1">
      <c r="A21" s="7" t="s">
        <v>65</v>
      </c>
      <c r="B21" s="13" t="s">
        <v>66</v>
      </c>
      <c r="C21" s="9">
        <v>11572</v>
      </c>
      <c r="D21" s="10">
        <f t="shared" si="0"/>
        <v>0</v>
      </c>
      <c r="E21" s="10">
        <f t="shared" si="1"/>
        <v>11572</v>
      </c>
      <c r="F21" s="10">
        <f t="shared" si="2"/>
        <v>2.9912668552795008E-2</v>
      </c>
      <c r="G21" s="10">
        <f t="shared" si="3"/>
        <v>1190.5242084012414</v>
      </c>
      <c r="H21" s="10">
        <v>3</v>
      </c>
      <c r="I21" s="10">
        <f t="shared" si="4"/>
        <v>336.63</v>
      </c>
      <c r="J21" s="10">
        <f t="shared" si="5"/>
        <v>1532.4140521512413</v>
      </c>
      <c r="K21" s="10">
        <f t="shared" si="6"/>
        <v>4492.625</v>
      </c>
      <c r="L21" s="7">
        <v>0</v>
      </c>
      <c r="M21" s="10">
        <v>0</v>
      </c>
      <c r="N21" s="10">
        <v>0</v>
      </c>
      <c r="O21" s="10">
        <v>0</v>
      </c>
      <c r="P21" s="10">
        <v>0</v>
      </c>
      <c r="Q21" s="10">
        <v>500</v>
      </c>
      <c r="R21" s="15">
        <f t="shared" si="7"/>
        <v>6525.0390521512418</v>
      </c>
      <c r="S21" s="6"/>
      <c r="T21" s="6"/>
    </row>
    <row r="22" spans="1:20" ht="12.75" customHeight="1">
      <c r="A22" s="7" t="s">
        <v>67</v>
      </c>
      <c r="B22" s="13" t="s">
        <v>68</v>
      </c>
      <c r="C22" s="9">
        <v>9626.5</v>
      </c>
      <c r="D22" s="10">
        <f t="shared" si="0"/>
        <v>0</v>
      </c>
      <c r="E22" s="10">
        <f t="shared" si="1"/>
        <v>9626.5</v>
      </c>
      <c r="F22" s="10">
        <f t="shared" si="2"/>
        <v>2.4883711011362004E-2</v>
      </c>
      <c r="G22" s="10">
        <f t="shared" si="3"/>
        <v>990.37169825220781</v>
      </c>
      <c r="H22" s="10">
        <v>3</v>
      </c>
      <c r="I22" s="10">
        <f t="shared" si="4"/>
        <v>336.63</v>
      </c>
      <c r="J22" s="10">
        <f t="shared" si="5"/>
        <v>1332.2615420022078</v>
      </c>
      <c r="K22" s="10">
        <f t="shared" si="6"/>
        <v>4492.625</v>
      </c>
      <c r="L22" s="7">
        <v>0</v>
      </c>
      <c r="M22" s="10">
        <v>0</v>
      </c>
      <c r="N22" s="10">
        <v>0</v>
      </c>
      <c r="O22" s="10">
        <v>0</v>
      </c>
      <c r="P22" s="10">
        <v>0</v>
      </c>
      <c r="Q22" s="10">
        <v>500</v>
      </c>
      <c r="R22" s="15">
        <f t="shared" si="7"/>
        <v>6324.8865420022075</v>
      </c>
      <c r="S22" s="6"/>
      <c r="T22" s="6"/>
    </row>
    <row r="23" spans="1:20" ht="12.75" customHeight="1">
      <c r="A23" s="7" t="s">
        <v>69</v>
      </c>
      <c r="B23" s="13" t="s">
        <v>70</v>
      </c>
      <c r="C23" s="9">
        <v>18123</v>
      </c>
      <c r="D23" s="10">
        <f t="shared" si="0"/>
        <v>0</v>
      </c>
      <c r="E23" s="10">
        <f t="shared" si="1"/>
        <v>18123</v>
      </c>
      <c r="F23" s="10">
        <f t="shared" si="2"/>
        <v>4.6846464931066707E-2</v>
      </c>
      <c r="G23" s="10">
        <f t="shared" si="3"/>
        <v>1864.4893042564549</v>
      </c>
      <c r="H23" s="10">
        <v>4</v>
      </c>
      <c r="I23" s="10">
        <f t="shared" si="4"/>
        <v>448.84</v>
      </c>
      <c r="J23" s="10">
        <f t="shared" si="5"/>
        <v>2318.5891480064552</v>
      </c>
      <c r="K23" s="10">
        <f t="shared" si="6"/>
        <v>4492.625</v>
      </c>
      <c r="L23" s="7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500</v>
      </c>
      <c r="R23" s="15">
        <f t="shared" si="7"/>
        <v>7311.2141480064547</v>
      </c>
      <c r="S23" s="6"/>
      <c r="T23" s="6"/>
    </row>
    <row r="24" spans="1:20" ht="12.75" customHeight="1">
      <c r="A24" s="7" t="s">
        <v>71</v>
      </c>
      <c r="B24" s="13" t="s">
        <v>72</v>
      </c>
      <c r="C24" s="9">
        <v>10814</v>
      </c>
      <c r="D24" s="10">
        <f t="shared" si="0"/>
        <v>0</v>
      </c>
      <c r="E24" s="10">
        <f t="shared" si="1"/>
        <v>10814</v>
      </c>
      <c r="F24" s="10">
        <f t="shared" si="2"/>
        <v>2.7953300875382406E-2</v>
      </c>
      <c r="G24" s="10">
        <f t="shared" si="3"/>
        <v>1112.5413748402198</v>
      </c>
      <c r="H24" s="10">
        <v>4</v>
      </c>
      <c r="I24" s="10">
        <f t="shared" si="4"/>
        <v>448.84</v>
      </c>
      <c r="J24" s="10">
        <f t="shared" si="5"/>
        <v>1566.6412185902198</v>
      </c>
      <c r="K24" s="10">
        <f t="shared" si="6"/>
        <v>4492.625</v>
      </c>
      <c r="L24" s="7">
        <v>0</v>
      </c>
      <c r="M24" s="10">
        <v>0</v>
      </c>
      <c r="N24" s="10">
        <v>0</v>
      </c>
      <c r="O24" s="10">
        <v>0</v>
      </c>
      <c r="P24" s="10">
        <v>0</v>
      </c>
      <c r="Q24" s="10">
        <v>500</v>
      </c>
      <c r="R24" s="15">
        <f t="shared" si="7"/>
        <v>6559.26621859022</v>
      </c>
      <c r="S24" s="6"/>
      <c r="T24" s="6"/>
    </row>
    <row r="25" spans="1:20" ht="12.75" customHeight="1">
      <c r="A25" s="7" t="s">
        <v>73</v>
      </c>
      <c r="B25" s="13" t="s">
        <v>74</v>
      </c>
      <c r="C25" s="9">
        <v>14242</v>
      </c>
      <c r="D25" s="10">
        <f t="shared" si="0"/>
        <v>0</v>
      </c>
      <c r="E25" s="10">
        <f t="shared" si="1"/>
        <v>14242</v>
      </c>
      <c r="F25" s="10">
        <f t="shared" si="2"/>
        <v>3.6814399026002982E-2</v>
      </c>
      <c r="G25" s="10">
        <f t="shared" si="3"/>
        <v>1465.2130812349187</v>
      </c>
      <c r="H25" s="10">
        <v>4</v>
      </c>
      <c r="I25" s="10">
        <f t="shared" si="4"/>
        <v>448.84</v>
      </c>
      <c r="J25" s="10">
        <f t="shared" si="5"/>
        <v>1919.3129249849187</v>
      </c>
      <c r="K25" s="10">
        <f t="shared" si="6"/>
        <v>4492.625</v>
      </c>
      <c r="L25" s="7">
        <v>0</v>
      </c>
      <c r="M25" s="10">
        <v>0</v>
      </c>
      <c r="N25" s="10">
        <v>0</v>
      </c>
      <c r="O25" s="10">
        <v>0</v>
      </c>
      <c r="P25" s="10">
        <v>0</v>
      </c>
      <c r="Q25" s="10">
        <v>500</v>
      </c>
      <c r="R25" s="15">
        <f t="shared" si="7"/>
        <v>6911.9379249849189</v>
      </c>
      <c r="S25" s="6"/>
      <c r="T25" s="6"/>
    </row>
    <row r="26" spans="1:20" ht="12.75" customHeight="1">
      <c r="A26" s="7" t="s">
        <v>75</v>
      </c>
      <c r="B26" s="13" t="s">
        <v>76</v>
      </c>
      <c r="C26" s="9">
        <v>1868.5</v>
      </c>
      <c r="D26" s="10">
        <f t="shared" si="0"/>
        <v>0</v>
      </c>
      <c r="E26" s="10">
        <f t="shared" si="1"/>
        <v>1868.5</v>
      </c>
      <c r="F26" s="10">
        <f t="shared" si="2"/>
        <v>4.8299188723554673E-3</v>
      </c>
      <c r="G26" s="10">
        <f t="shared" si="3"/>
        <v>192.2307711197476</v>
      </c>
      <c r="H26" s="10">
        <v>3</v>
      </c>
      <c r="I26" s="10">
        <f t="shared" si="4"/>
        <v>336.63</v>
      </c>
      <c r="J26" s="10">
        <f t="shared" si="5"/>
        <v>534.12061486974756</v>
      </c>
      <c r="K26" s="10">
        <f t="shared" si="6"/>
        <v>4492.625</v>
      </c>
      <c r="L26" s="7">
        <v>0</v>
      </c>
      <c r="M26" s="10">
        <v>0</v>
      </c>
      <c r="N26" s="10">
        <v>0</v>
      </c>
      <c r="O26" s="10">
        <v>0</v>
      </c>
      <c r="P26" s="10">
        <v>0</v>
      </c>
      <c r="Q26" s="10">
        <v>500</v>
      </c>
      <c r="R26" s="15">
        <f t="shared" si="7"/>
        <v>5526.7456148697474</v>
      </c>
      <c r="S26" s="6"/>
      <c r="T26" s="6"/>
    </row>
    <row r="27" spans="1:20" ht="12.75" customHeight="1">
      <c r="A27" s="7" t="s">
        <v>77</v>
      </c>
      <c r="B27" s="13" t="s">
        <v>78</v>
      </c>
      <c r="C27" s="9">
        <v>11222.5</v>
      </c>
      <c r="D27" s="10">
        <f t="shared" si="0"/>
        <v>0</v>
      </c>
      <c r="E27" s="10">
        <f t="shared" si="1"/>
        <v>11222.5</v>
      </c>
      <c r="F27" s="10">
        <f t="shared" si="2"/>
        <v>2.9009239788605423E-2</v>
      </c>
      <c r="G27" s="10">
        <f t="shared" si="3"/>
        <v>1154.5677435864959</v>
      </c>
      <c r="H27" s="10">
        <v>3</v>
      </c>
      <c r="I27" s="10">
        <f t="shared" si="4"/>
        <v>336.63</v>
      </c>
      <c r="J27" s="10">
        <f t="shared" si="5"/>
        <v>1496.4575873364961</v>
      </c>
      <c r="K27" s="10">
        <f t="shared" si="6"/>
        <v>4492.625</v>
      </c>
      <c r="L27" s="7">
        <v>0</v>
      </c>
      <c r="M27" s="10">
        <v>0</v>
      </c>
      <c r="N27" s="10">
        <v>0</v>
      </c>
      <c r="O27" s="10">
        <v>0</v>
      </c>
      <c r="P27" s="10">
        <v>0</v>
      </c>
      <c r="Q27" s="10">
        <v>500</v>
      </c>
      <c r="R27" s="15">
        <f t="shared" si="7"/>
        <v>6489.0825873364956</v>
      </c>
      <c r="S27" s="6"/>
      <c r="T27" s="6"/>
    </row>
    <row r="28" spans="1:20" ht="12.75" customHeight="1">
      <c r="A28" s="7" t="s">
        <v>79</v>
      </c>
      <c r="B28" s="13" t="s">
        <v>80</v>
      </c>
      <c r="C28" s="9">
        <v>4402.5</v>
      </c>
      <c r="D28" s="10">
        <f t="shared" si="0"/>
        <v>0</v>
      </c>
      <c r="E28" s="10">
        <f t="shared" si="1"/>
        <v>4402.5</v>
      </c>
      <c r="F28" s="10">
        <f t="shared" si="2"/>
        <v>1.1380100527452473E-2</v>
      </c>
      <c r="G28" s="10">
        <f t="shared" si="3"/>
        <v>452.92800099260842</v>
      </c>
      <c r="H28" s="10">
        <v>3</v>
      </c>
      <c r="I28" s="10">
        <f t="shared" si="4"/>
        <v>336.63</v>
      </c>
      <c r="J28" s="10">
        <f t="shared" si="5"/>
        <v>794.81784474260849</v>
      </c>
      <c r="K28" s="10">
        <f t="shared" si="6"/>
        <v>4492.625</v>
      </c>
      <c r="L28" s="7">
        <v>0</v>
      </c>
      <c r="M28" s="10">
        <v>0</v>
      </c>
      <c r="N28" s="10">
        <v>0</v>
      </c>
      <c r="O28" s="10">
        <v>0</v>
      </c>
      <c r="P28" s="10">
        <v>0</v>
      </c>
      <c r="Q28" s="10">
        <v>500</v>
      </c>
      <c r="R28" s="15">
        <f t="shared" si="7"/>
        <v>5787.4428447426089</v>
      </c>
      <c r="S28" s="6"/>
      <c r="T28" s="6"/>
    </row>
    <row r="29" spans="1:20" ht="12.75" customHeight="1">
      <c r="A29" s="7" t="s">
        <v>81</v>
      </c>
      <c r="B29" s="13" t="s">
        <v>82</v>
      </c>
      <c r="C29" s="9">
        <v>9830</v>
      </c>
      <c r="D29" s="10">
        <f t="shared" si="0"/>
        <v>0</v>
      </c>
      <c r="E29" s="10">
        <f t="shared" si="1"/>
        <v>9830</v>
      </c>
      <c r="F29" s="10">
        <f t="shared" si="2"/>
        <v>2.5409741779638343E-2</v>
      </c>
      <c r="G29" s="10">
        <f t="shared" si="3"/>
        <v>1011.3077228296061</v>
      </c>
      <c r="H29" s="10">
        <v>3</v>
      </c>
      <c r="I29" s="10">
        <f t="shared" si="4"/>
        <v>336.63</v>
      </c>
      <c r="J29" s="10">
        <f t="shared" si="5"/>
        <v>1353.197566579606</v>
      </c>
      <c r="K29" s="10">
        <f t="shared" si="6"/>
        <v>4492.625</v>
      </c>
      <c r="L29" s="7">
        <v>0</v>
      </c>
      <c r="M29" s="10">
        <v>0</v>
      </c>
      <c r="N29" s="10">
        <v>0</v>
      </c>
      <c r="O29" s="10">
        <v>0</v>
      </c>
      <c r="P29" s="10">
        <v>0</v>
      </c>
      <c r="Q29" s="10">
        <v>500</v>
      </c>
      <c r="R29" s="15">
        <f t="shared" si="7"/>
        <v>6345.8225665796062</v>
      </c>
      <c r="S29" s="6"/>
      <c r="T29" s="6"/>
    </row>
    <row r="30" spans="1:20" ht="12.75" customHeight="1">
      <c r="A30" s="7" t="s">
        <v>83</v>
      </c>
      <c r="B30" s="13" t="s">
        <v>84</v>
      </c>
      <c r="C30" s="9">
        <v>6673.5</v>
      </c>
      <c r="D30" s="10">
        <f t="shared" si="0"/>
        <v>0</v>
      </c>
      <c r="E30" s="10">
        <f t="shared" si="1"/>
        <v>6673.5</v>
      </c>
      <c r="F30" s="10">
        <f t="shared" si="2"/>
        <v>1.7250448806349593E-2</v>
      </c>
      <c r="G30" s="10">
        <f t="shared" si="3"/>
        <v>686.56786249271374</v>
      </c>
      <c r="H30" s="10">
        <v>5</v>
      </c>
      <c r="I30" s="10">
        <f t="shared" si="4"/>
        <v>561.04999999999995</v>
      </c>
      <c r="J30" s="10">
        <f t="shared" si="5"/>
        <v>1252.8777062427137</v>
      </c>
      <c r="K30" s="10">
        <f t="shared" si="6"/>
        <v>4492.625</v>
      </c>
      <c r="L30" s="7">
        <v>0</v>
      </c>
      <c r="M30" s="10">
        <v>0</v>
      </c>
      <c r="N30" s="10">
        <v>0</v>
      </c>
      <c r="O30" s="10">
        <v>0</v>
      </c>
      <c r="P30" s="10">
        <v>0</v>
      </c>
      <c r="Q30" s="10">
        <v>500</v>
      </c>
      <c r="R30" s="15">
        <f t="shared" si="7"/>
        <v>6245.5027062427134</v>
      </c>
      <c r="S30" s="6"/>
      <c r="T30" s="6"/>
    </row>
    <row r="31" spans="1:20" ht="12.75" customHeight="1">
      <c r="A31" s="7" t="s">
        <v>85</v>
      </c>
      <c r="B31" s="13" t="s">
        <v>86</v>
      </c>
      <c r="C31" s="9">
        <v>8986</v>
      </c>
      <c r="D31" s="10">
        <f t="shared" si="0"/>
        <v>0</v>
      </c>
      <c r="E31" s="10">
        <f t="shared" si="1"/>
        <v>8986</v>
      </c>
      <c r="F31" s="10">
        <f t="shared" si="2"/>
        <v>2.3228071173126162E-2</v>
      </c>
      <c r="G31" s="10">
        <f t="shared" si="3"/>
        <v>924.47723269042126</v>
      </c>
      <c r="H31" s="10">
        <v>3</v>
      </c>
      <c r="I31" s="10">
        <f t="shared" si="4"/>
        <v>336.63</v>
      </c>
      <c r="J31" s="10">
        <f t="shared" si="5"/>
        <v>1266.3670764404212</v>
      </c>
      <c r="K31" s="10">
        <f t="shared" si="6"/>
        <v>4492.625</v>
      </c>
      <c r="L31" s="7">
        <v>0</v>
      </c>
      <c r="M31" s="10">
        <v>0</v>
      </c>
      <c r="N31" s="10">
        <v>0</v>
      </c>
      <c r="O31" s="10">
        <v>0</v>
      </c>
      <c r="P31" s="10">
        <v>0</v>
      </c>
      <c r="Q31" s="10">
        <v>500</v>
      </c>
      <c r="R31" s="15">
        <f t="shared" si="7"/>
        <v>6258.9920764404214</v>
      </c>
      <c r="S31" s="6"/>
      <c r="T31" s="6"/>
    </row>
    <row r="32" spans="1:20" ht="12.75" customHeight="1">
      <c r="A32" s="7" t="s">
        <v>87</v>
      </c>
      <c r="B32" s="13" t="s">
        <v>88</v>
      </c>
      <c r="C32" s="9">
        <v>2957</v>
      </c>
      <c r="D32" s="10">
        <f t="shared" si="0"/>
        <v>0</v>
      </c>
      <c r="E32" s="10">
        <f t="shared" si="1"/>
        <v>2957</v>
      </c>
      <c r="F32" s="10">
        <f t="shared" si="2"/>
        <v>7.6436018761333246E-3</v>
      </c>
      <c r="G32" s="10">
        <f t="shared" si="3"/>
        <v>304.21535467010631</v>
      </c>
      <c r="H32" s="10">
        <v>3</v>
      </c>
      <c r="I32" s="10">
        <f t="shared" si="4"/>
        <v>336.63</v>
      </c>
      <c r="J32" s="10">
        <f t="shared" si="5"/>
        <v>646.10519842010626</v>
      </c>
      <c r="K32" s="10">
        <f t="shared" si="6"/>
        <v>4492.625</v>
      </c>
      <c r="L32" s="7">
        <v>0</v>
      </c>
      <c r="M32" s="10">
        <v>0</v>
      </c>
      <c r="N32" s="10">
        <v>0</v>
      </c>
      <c r="O32" s="10">
        <v>0</v>
      </c>
      <c r="P32" s="10">
        <v>0</v>
      </c>
      <c r="Q32" s="10">
        <v>500</v>
      </c>
      <c r="R32" s="15">
        <f t="shared" si="7"/>
        <v>5638.7301984201058</v>
      </c>
      <c r="S32" s="6"/>
      <c r="T32" s="6"/>
    </row>
    <row r="33" spans="1:20" ht="12.75" customHeight="1">
      <c r="A33" s="7" t="s">
        <v>89</v>
      </c>
      <c r="B33" s="13" t="s">
        <v>90</v>
      </c>
      <c r="C33" s="9">
        <v>4879.5</v>
      </c>
      <c r="D33" s="10">
        <f t="shared" si="0"/>
        <v>0</v>
      </c>
      <c r="E33" s="10">
        <f t="shared" si="1"/>
        <v>4879.5</v>
      </c>
      <c r="F33" s="10">
        <f t="shared" si="2"/>
        <v>1.2613106308621088E-2</v>
      </c>
      <c r="G33" s="10">
        <f t="shared" si="3"/>
        <v>502.00163108311926</v>
      </c>
      <c r="H33" s="10">
        <v>3</v>
      </c>
      <c r="I33" s="10">
        <f t="shared" si="4"/>
        <v>336.63</v>
      </c>
      <c r="J33" s="10">
        <f t="shared" si="5"/>
        <v>843.89147483311922</v>
      </c>
      <c r="K33" s="10">
        <f t="shared" si="6"/>
        <v>4492.625</v>
      </c>
      <c r="L33" s="7">
        <v>0</v>
      </c>
      <c r="M33" s="10">
        <v>0</v>
      </c>
      <c r="N33" s="10">
        <v>0</v>
      </c>
      <c r="O33" s="10">
        <v>0</v>
      </c>
      <c r="P33" s="10">
        <v>0</v>
      </c>
      <c r="Q33" s="10">
        <v>500</v>
      </c>
      <c r="R33" s="15">
        <f t="shared" si="7"/>
        <v>5836.516474833119</v>
      </c>
      <c r="S33" s="6"/>
      <c r="T33" s="6"/>
    </row>
    <row r="34" spans="1:20" ht="12.75" customHeight="1">
      <c r="A34" s="7" t="s">
        <v>91</v>
      </c>
      <c r="B34" s="13" t="s">
        <v>92</v>
      </c>
      <c r="C34" s="9">
        <v>9258</v>
      </c>
      <c r="D34" s="10">
        <f t="shared" si="0"/>
        <v>0</v>
      </c>
      <c r="E34" s="10">
        <f t="shared" si="1"/>
        <v>9258</v>
      </c>
      <c r="F34" s="10">
        <f t="shared" si="2"/>
        <v>2.3931168809348098E-2</v>
      </c>
      <c r="G34" s="10">
        <f t="shared" si="3"/>
        <v>952.46051861205433</v>
      </c>
      <c r="H34" s="10">
        <v>4</v>
      </c>
      <c r="I34" s="10">
        <f t="shared" si="4"/>
        <v>448.84</v>
      </c>
      <c r="J34" s="10">
        <f t="shared" si="5"/>
        <v>1406.5603623620543</v>
      </c>
      <c r="K34" s="10">
        <f t="shared" si="6"/>
        <v>4492.625</v>
      </c>
      <c r="L34" s="7">
        <v>0</v>
      </c>
      <c r="M34" s="10">
        <v>0</v>
      </c>
      <c r="N34" s="10">
        <v>0</v>
      </c>
      <c r="O34" s="10">
        <v>0</v>
      </c>
      <c r="P34" s="10">
        <v>0</v>
      </c>
      <c r="Q34" s="10">
        <v>500</v>
      </c>
      <c r="R34" s="15">
        <f t="shared" si="7"/>
        <v>6399.1853623620545</v>
      </c>
      <c r="S34" s="6"/>
      <c r="T34" s="6"/>
    </row>
    <row r="35" spans="1:20" ht="12.75" customHeight="1">
      <c r="A35" s="7" t="s">
        <v>93</v>
      </c>
      <c r="B35" s="13" t="s">
        <v>94</v>
      </c>
      <c r="C35" s="9">
        <v>3166.5</v>
      </c>
      <c r="D35" s="10">
        <f t="shared" si="0"/>
        <v>0</v>
      </c>
      <c r="E35" s="10">
        <f t="shared" si="1"/>
        <v>3166.5</v>
      </c>
      <c r="F35" s="10">
        <f t="shared" si="2"/>
        <v>8.1851421510910297E-3</v>
      </c>
      <c r="G35" s="10">
        <f t="shared" si="3"/>
        <v>325.76865761342299</v>
      </c>
      <c r="H35" s="10">
        <v>4</v>
      </c>
      <c r="I35" s="10">
        <f t="shared" si="4"/>
        <v>448.84</v>
      </c>
      <c r="J35" s="10">
        <f t="shared" si="5"/>
        <v>779.86850136342298</v>
      </c>
      <c r="K35" s="10">
        <f t="shared" si="6"/>
        <v>4492.625</v>
      </c>
      <c r="L35" s="7">
        <v>0</v>
      </c>
      <c r="M35" s="10">
        <v>0</v>
      </c>
      <c r="N35" s="10">
        <v>0</v>
      </c>
      <c r="O35" s="10">
        <v>0</v>
      </c>
      <c r="P35" s="10">
        <v>0</v>
      </c>
      <c r="Q35" s="10">
        <v>500</v>
      </c>
      <c r="R35" s="15">
        <f t="shared" si="7"/>
        <v>5772.4935013634231</v>
      </c>
      <c r="S35" s="6"/>
      <c r="T35" s="6"/>
    </row>
    <row r="36" spans="1:20" ht="12.75" customHeight="1">
      <c r="A36" s="7" t="s">
        <v>95</v>
      </c>
      <c r="B36" s="13" t="s">
        <v>96</v>
      </c>
      <c r="C36" s="9">
        <v>6483</v>
      </c>
      <c r="D36" s="10">
        <f t="shared" si="0"/>
        <v>0</v>
      </c>
      <c r="E36" s="10">
        <f t="shared" si="1"/>
        <v>6483</v>
      </c>
      <c r="F36" s="10">
        <f t="shared" si="2"/>
        <v>1.6758021969216216E-2</v>
      </c>
      <c r="G36" s="10">
        <f t="shared" si="3"/>
        <v>666.96927437480542</v>
      </c>
      <c r="H36" s="10">
        <v>4</v>
      </c>
      <c r="I36" s="10">
        <f t="shared" si="4"/>
        <v>448.84</v>
      </c>
      <c r="J36" s="10">
        <f t="shared" si="5"/>
        <v>1121.0691181248053</v>
      </c>
      <c r="K36" s="10">
        <f t="shared" si="6"/>
        <v>4492.625</v>
      </c>
      <c r="L36" s="7">
        <v>0</v>
      </c>
      <c r="M36" s="10">
        <v>0</v>
      </c>
      <c r="N36" s="10">
        <v>0</v>
      </c>
      <c r="O36" s="10">
        <v>0</v>
      </c>
      <c r="P36" s="10">
        <v>0</v>
      </c>
      <c r="Q36" s="10">
        <v>500</v>
      </c>
      <c r="R36" s="15">
        <f t="shared" si="7"/>
        <v>6113.6941181248058</v>
      </c>
      <c r="S36" s="6"/>
      <c r="T36" s="6"/>
    </row>
    <row r="37" spans="1:20" ht="12.75" customHeight="1">
      <c r="A37" s="7" t="s">
        <v>97</v>
      </c>
      <c r="B37" s="13" t="s">
        <v>98</v>
      </c>
      <c r="C37" s="9">
        <v>1316.5</v>
      </c>
      <c r="D37" s="10">
        <f t="shared" si="0"/>
        <v>0</v>
      </c>
      <c r="E37" s="10">
        <f t="shared" si="1"/>
        <v>1316.5</v>
      </c>
      <c r="F37" s="10">
        <f t="shared" si="2"/>
        <v>3.403044257669774E-3</v>
      </c>
      <c r="G37" s="10">
        <f t="shared" si="3"/>
        <v>135.441161455257</v>
      </c>
      <c r="H37" s="10">
        <v>3</v>
      </c>
      <c r="I37" s="10">
        <f t="shared" si="4"/>
        <v>336.63</v>
      </c>
      <c r="J37" s="10">
        <f t="shared" si="5"/>
        <v>477.33100520525699</v>
      </c>
      <c r="K37" s="10">
        <f t="shared" si="6"/>
        <v>4492.625</v>
      </c>
      <c r="L37" s="7">
        <v>0</v>
      </c>
      <c r="M37" s="10">
        <v>0</v>
      </c>
      <c r="N37" s="10">
        <v>0</v>
      </c>
      <c r="O37" s="10">
        <v>0</v>
      </c>
      <c r="P37" s="10">
        <v>0</v>
      </c>
      <c r="Q37" s="10">
        <v>500</v>
      </c>
      <c r="R37" s="15">
        <f t="shared" si="7"/>
        <v>5469.9560052052566</v>
      </c>
      <c r="S37" s="6"/>
      <c r="T37" s="6"/>
    </row>
    <row r="38" spans="1:20" ht="12.75" customHeight="1">
      <c r="A38" s="7" t="s">
        <v>99</v>
      </c>
      <c r="B38" s="13" t="s">
        <v>100</v>
      </c>
      <c r="C38" s="9">
        <v>0</v>
      </c>
      <c r="D38" s="10">
        <f t="shared" si="0"/>
        <v>0</v>
      </c>
      <c r="E38" s="10">
        <f t="shared" si="1"/>
        <v>0</v>
      </c>
      <c r="F38" s="10">
        <f t="shared" si="2"/>
        <v>0</v>
      </c>
      <c r="G38" s="10">
        <f t="shared" si="3"/>
        <v>0</v>
      </c>
      <c r="H38" s="10">
        <v>3</v>
      </c>
      <c r="I38" s="10">
        <f t="shared" si="4"/>
        <v>336.63</v>
      </c>
      <c r="J38" s="10">
        <f t="shared" si="5"/>
        <v>341.88984375000001</v>
      </c>
      <c r="K38" s="10">
        <f t="shared" si="6"/>
        <v>4492.625</v>
      </c>
      <c r="L38" s="7">
        <v>0</v>
      </c>
      <c r="M38" s="10">
        <v>0</v>
      </c>
      <c r="N38" s="10">
        <v>0</v>
      </c>
      <c r="O38" s="10">
        <v>0</v>
      </c>
      <c r="P38" s="10">
        <v>0</v>
      </c>
      <c r="Q38" s="10">
        <v>500</v>
      </c>
      <c r="R38" s="15">
        <f t="shared" si="7"/>
        <v>5334.5148437500002</v>
      </c>
      <c r="S38" s="6"/>
      <c r="T38" s="6"/>
    </row>
    <row r="39" spans="1:20" ht="12.75" customHeight="1">
      <c r="A39" s="7" t="s">
        <v>101</v>
      </c>
      <c r="B39" s="13" t="s">
        <v>102</v>
      </c>
      <c r="C39" s="9">
        <v>26846.5</v>
      </c>
      <c r="D39" s="10">
        <f t="shared" si="0"/>
        <v>0</v>
      </c>
      <c r="E39" s="10">
        <f t="shared" si="1"/>
        <v>26846.5</v>
      </c>
      <c r="F39" s="10">
        <f t="shared" si="2"/>
        <v>6.9395995186883094E-2</v>
      </c>
      <c r="G39" s="10">
        <f t="shared" si="3"/>
        <v>2761.960608437947</v>
      </c>
      <c r="H39" s="10">
        <v>4</v>
      </c>
      <c r="I39" s="10">
        <f t="shared" si="4"/>
        <v>448.84</v>
      </c>
      <c r="J39" s="10">
        <f t="shared" si="5"/>
        <v>3216.0604521879472</v>
      </c>
      <c r="K39" s="10">
        <f t="shared" si="6"/>
        <v>4492.625</v>
      </c>
      <c r="L39" s="7">
        <v>0</v>
      </c>
      <c r="M39" s="10">
        <v>0</v>
      </c>
      <c r="N39" s="10">
        <v>0</v>
      </c>
      <c r="O39" s="10">
        <v>0</v>
      </c>
      <c r="P39" s="10">
        <v>0</v>
      </c>
      <c r="Q39" s="10">
        <v>500</v>
      </c>
      <c r="R39" s="15">
        <f t="shared" si="7"/>
        <v>8208.6854521879468</v>
      </c>
      <c r="S39" s="6"/>
      <c r="T39" s="6"/>
    </row>
    <row r="40" spans="1:20" ht="12.75" customHeight="1">
      <c r="A40" s="7" t="s">
        <v>103</v>
      </c>
      <c r="B40" s="13" t="s">
        <v>104</v>
      </c>
      <c r="C40" s="9">
        <v>1464</v>
      </c>
      <c r="D40" s="10">
        <f t="shared" si="0"/>
        <v>0</v>
      </c>
      <c r="E40" s="10">
        <f t="shared" si="1"/>
        <v>1464</v>
      </c>
      <c r="F40" s="10">
        <f t="shared" si="2"/>
        <v>3.7843196302533607E-3</v>
      </c>
      <c r="G40" s="10">
        <f t="shared" si="3"/>
        <v>150.61592128408375</v>
      </c>
      <c r="H40" s="10">
        <v>4</v>
      </c>
      <c r="I40" s="10">
        <f t="shared" si="4"/>
        <v>448.84</v>
      </c>
      <c r="J40" s="10">
        <f t="shared" si="5"/>
        <v>604.71576503408369</v>
      </c>
      <c r="K40" s="10">
        <f t="shared" si="6"/>
        <v>4492.625</v>
      </c>
      <c r="L40" s="7">
        <v>0</v>
      </c>
      <c r="M40" s="10">
        <v>0</v>
      </c>
      <c r="N40" s="10">
        <v>0</v>
      </c>
      <c r="O40" s="10">
        <v>0</v>
      </c>
      <c r="P40" s="10">
        <v>0</v>
      </c>
      <c r="Q40" s="10">
        <v>500</v>
      </c>
      <c r="R40" s="15">
        <f t="shared" si="7"/>
        <v>5597.3407650340832</v>
      </c>
      <c r="S40" s="6"/>
      <c r="T40" s="6"/>
    </row>
    <row r="41" spans="1:20" ht="12.75" customHeight="1">
      <c r="A41" s="7" t="s">
        <v>105</v>
      </c>
      <c r="B41" s="13" t="s">
        <v>106</v>
      </c>
      <c r="C41" s="9">
        <v>14787.5</v>
      </c>
      <c r="D41" s="10">
        <f t="shared" si="0"/>
        <v>0</v>
      </c>
      <c r="E41" s="10">
        <f t="shared" si="1"/>
        <v>14787.5</v>
      </c>
      <c r="F41" s="10">
        <f t="shared" si="2"/>
        <v>3.8224471675117194E-2</v>
      </c>
      <c r="G41" s="10">
        <f t="shared" si="3"/>
        <v>1521.3339726696643</v>
      </c>
      <c r="H41" s="10">
        <v>3</v>
      </c>
      <c r="I41" s="10">
        <f t="shared" si="4"/>
        <v>336.63</v>
      </c>
      <c r="J41" s="10">
        <f t="shared" si="5"/>
        <v>1863.2238164196642</v>
      </c>
      <c r="K41" s="10">
        <f t="shared" si="6"/>
        <v>4492.625</v>
      </c>
      <c r="L41" s="7">
        <v>0</v>
      </c>
      <c r="M41" s="10">
        <v>0</v>
      </c>
      <c r="N41" s="10">
        <v>0</v>
      </c>
      <c r="O41" s="10">
        <v>0</v>
      </c>
      <c r="P41" s="10">
        <v>0</v>
      </c>
      <c r="Q41" s="10">
        <v>500</v>
      </c>
      <c r="R41" s="15">
        <f t="shared" si="7"/>
        <v>6855.8488164196642</v>
      </c>
      <c r="S41" s="6"/>
      <c r="T41" s="6"/>
    </row>
    <row r="42" spans="1:20" ht="12.75" customHeight="1">
      <c r="A42" s="7" t="s">
        <v>107</v>
      </c>
      <c r="B42" s="13" t="s">
        <v>108</v>
      </c>
      <c r="C42" s="9">
        <v>9704.5</v>
      </c>
      <c r="D42" s="10">
        <f t="shared" si="0"/>
        <v>0</v>
      </c>
      <c r="E42" s="10">
        <f t="shared" si="1"/>
        <v>9704.5</v>
      </c>
      <c r="F42" s="10">
        <f t="shared" si="2"/>
        <v>2.5085334598219766E-2</v>
      </c>
      <c r="G42" s="10">
        <f t="shared" si="3"/>
        <v>998.39631700914674</v>
      </c>
      <c r="H42" s="10">
        <v>3</v>
      </c>
      <c r="I42" s="10">
        <f t="shared" si="4"/>
        <v>336.63</v>
      </c>
      <c r="J42" s="10">
        <f t="shared" si="5"/>
        <v>1340.2861607591467</v>
      </c>
      <c r="K42" s="10">
        <f t="shared" si="6"/>
        <v>4492.625</v>
      </c>
      <c r="L42" s="7">
        <v>0</v>
      </c>
      <c r="M42" s="10">
        <v>0</v>
      </c>
      <c r="N42" s="10">
        <v>0</v>
      </c>
      <c r="O42" s="10">
        <v>0</v>
      </c>
      <c r="P42" s="10">
        <v>0</v>
      </c>
      <c r="Q42" s="10">
        <v>500</v>
      </c>
      <c r="R42" s="15">
        <f t="shared" si="7"/>
        <v>6332.9111607591467</v>
      </c>
      <c r="S42" s="6"/>
      <c r="T42" s="6"/>
    </row>
    <row r="43" spans="1:20" ht="12.75" customHeight="1">
      <c r="A43" s="7" t="s">
        <v>109</v>
      </c>
      <c r="B43" s="30" t="s">
        <v>110</v>
      </c>
      <c r="C43" s="9">
        <v>327.5</v>
      </c>
      <c r="D43" s="10">
        <f t="shared" si="0"/>
        <v>0</v>
      </c>
      <c r="E43" s="10">
        <f t="shared" si="1"/>
        <v>327.5</v>
      </c>
      <c r="F43" s="10">
        <f t="shared" si="2"/>
        <v>8.4656057302457354E-4</v>
      </c>
      <c r="G43" s="10">
        <f t="shared" si="3"/>
        <v>33.69311080637803</v>
      </c>
      <c r="H43" s="10">
        <v>3</v>
      </c>
      <c r="I43" s="10">
        <f t="shared" si="4"/>
        <v>336.63</v>
      </c>
      <c r="J43" s="10">
        <f t="shared" si="5"/>
        <v>375.58295455637801</v>
      </c>
      <c r="K43" s="10">
        <f t="shared" si="6"/>
        <v>4492.625</v>
      </c>
      <c r="L43" s="7">
        <v>0</v>
      </c>
      <c r="M43" s="10">
        <v>0</v>
      </c>
      <c r="N43" s="10">
        <v>0</v>
      </c>
      <c r="O43" s="10">
        <v>0</v>
      </c>
      <c r="P43" s="10">
        <v>0</v>
      </c>
      <c r="Q43" s="10">
        <v>500</v>
      </c>
      <c r="R43" s="15">
        <f t="shared" si="7"/>
        <v>5368.2079545563784</v>
      </c>
      <c r="S43" s="6"/>
      <c r="T43" s="6"/>
    </row>
    <row r="44" spans="1:20" ht="12.75" customHeight="1">
      <c r="A44" s="7" t="s">
        <v>111</v>
      </c>
      <c r="B44" s="13" t="s">
        <v>112</v>
      </c>
      <c r="C44" s="9">
        <v>1097</v>
      </c>
      <c r="D44" s="10">
        <f t="shared" si="0"/>
        <v>0</v>
      </c>
      <c r="E44" s="10">
        <f t="shared" si="1"/>
        <v>1097</v>
      </c>
      <c r="F44" s="10">
        <f t="shared" si="2"/>
        <v>2.8356548049097928E-3</v>
      </c>
      <c r="G44" s="10">
        <f t="shared" si="3"/>
        <v>112.85906123540975</v>
      </c>
      <c r="H44" s="10">
        <v>3</v>
      </c>
      <c r="I44" s="10">
        <f t="shared" si="4"/>
        <v>336.63</v>
      </c>
      <c r="J44" s="10">
        <f t="shared" si="5"/>
        <v>454.74890498540975</v>
      </c>
      <c r="K44" s="10">
        <f t="shared" si="6"/>
        <v>4492.625</v>
      </c>
      <c r="L44" s="7">
        <v>0</v>
      </c>
      <c r="M44" s="10">
        <v>0</v>
      </c>
      <c r="N44" s="10">
        <v>0</v>
      </c>
      <c r="O44" s="10">
        <v>0</v>
      </c>
      <c r="P44" s="10">
        <v>0</v>
      </c>
      <c r="Q44" s="10">
        <v>500</v>
      </c>
      <c r="R44" s="15">
        <f t="shared" si="7"/>
        <v>5447.3739049854094</v>
      </c>
      <c r="S44" s="6"/>
      <c r="T44" s="6"/>
    </row>
    <row r="45" spans="1:20" ht="12.75" customHeight="1">
      <c r="A45" s="7" t="s">
        <v>113</v>
      </c>
      <c r="B45" s="13" t="s">
        <v>114</v>
      </c>
      <c r="C45" s="9">
        <v>1372.5</v>
      </c>
      <c r="D45" s="10">
        <f t="shared" si="0"/>
        <v>0</v>
      </c>
      <c r="E45" s="10">
        <f t="shared" si="1"/>
        <v>1372.5</v>
      </c>
      <c r="F45" s="10">
        <f t="shared" si="2"/>
        <v>3.5477996533625255E-3</v>
      </c>
      <c r="G45" s="10">
        <f t="shared" si="3"/>
        <v>141.20242620382851</v>
      </c>
      <c r="H45" s="10">
        <v>3</v>
      </c>
      <c r="I45" s="10">
        <f t="shared" si="4"/>
        <v>336.63</v>
      </c>
      <c r="J45" s="10">
        <f t="shared" si="5"/>
        <v>483.09226995382846</v>
      </c>
      <c r="K45" s="10">
        <f t="shared" si="6"/>
        <v>4492.625</v>
      </c>
      <c r="L45" s="7">
        <v>0</v>
      </c>
      <c r="M45" s="10">
        <v>0</v>
      </c>
      <c r="N45" s="10">
        <v>0</v>
      </c>
      <c r="O45" s="10">
        <v>0</v>
      </c>
      <c r="P45" s="10">
        <v>0</v>
      </c>
      <c r="Q45" s="10">
        <v>500</v>
      </c>
      <c r="R45" s="15">
        <f t="shared" si="7"/>
        <v>5475.7172699538287</v>
      </c>
      <c r="S45" s="6"/>
      <c r="T45" s="6"/>
    </row>
    <row r="46" spans="1:20" ht="12.75" customHeight="1">
      <c r="A46" s="7" t="s">
        <v>115</v>
      </c>
      <c r="B46" s="13" t="s">
        <v>116</v>
      </c>
      <c r="C46" s="9">
        <v>9542</v>
      </c>
      <c r="D46" s="10">
        <f t="shared" si="0"/>
        <v>0</v>
      </c>
      <c r="E46" s="10">
        <f t="shared" si="1"/>
        <v>9542</v>
      </c>
      <c r="F46" s="10">
        <f t="shared" si="2"/>
        <v>2.4665285458932765E-2</v>
      </c>
      <c r="G46" s="10">
        <f t="shared" si="3"/>
        <v>981.67836126552402</v>
      </c>
      <c r="H46" s="10">
        <v>4</v>
      </c>
      <c r="I46" s="10">
        <f t="shared" si="4"/>
        <v>448.84</v>
      </c>
      <c r="J46" s="10">
        <f t="shared" si="5"/>
        <v>1435.778205015524</v>
      </c>
      <c r="K46" s="10">
        <f t="shared" si="6"/>
        <v>4492.625</v>
      </c>
      <c r="L46" s="7">
        <v>0</v>
      </c>
      <c r="M46" s="10">
        <v>0</v>
      </c>
      <c r="N46" s="10">
        <v>0</v>
      </c>
      <c r="O46" s="10">
        <v>0</v>
      </c>
      <c r="P46" s="10">
        <v>0</v>
      </c>
      <c r="Q46" s="10">
        <v>500</v>
      </c>
      <c r="R46" s="15">
        <f t="shared" si="7"/>
        <v>6428.4032050155238</v>
      </c>
      <c r="S46" s="6"/>
      <c r="T46" s="6"/>
    </row>
    <row r="47" spans="1:20" ht="12.75" customHeight="1">
      <c r="A47" s="7" t="s">
        <v>117</v>
      </c>
      <c r="B47" s="13" t="s">
        <v>118</v>
      </c>
      <c r="C47" s="9">
        <v>636</v>
      </c>
      <c r="D47" s="10">
        <f t="shared" si="0"/>
        <v>0</v>
      </c>
      <c r="E47" s="10">
        <f t="shared" si="1"/>
        <v>636</v>
      </c>
      <c r="F47" s="10">
        <f t="shared" si="2"/>
        <v>1.6440077082248206E-3</v>
      </c>
      <c r="G47" s="10">
        <f t="shared" si="3"/>
        <v>65.431506787347857</v>
      </c>
      <c r="H47" s="10">
        <v>3</v>
      </c>
      <c r="I47" s="10">
        <f t="shared" si="4"/>
        <v>336.63</v>
      </c>
      <c r="J47" s="10">
        <f t="shared" si="5"/>
        <v>407.32135053734783</v>
      </c>
      <c r="K47" s="10">
        <f t="shared" si="6"/>
        <v>4492.625</v>
      </c>
      <c r="L47" s="7">
        <v>0</v>
      </c>
      <c r="M47" s="10">
        <v>0</v>
      </c>
      <c r="N47" s="10">
        <v>0</v>
      </c>
      <c r="O47" s="10">
        <v>0</v>
      </c>
      <c r="P47" s="10">
        <v>0</v>
      </c>
      <c r="Q47" s="10">
        <v>500</v>
      </c>
      <c r="R47" s="15">
        <f t="shared" si="7"/>
        <v>5399.9463505373478</v>
      </c>
      <c r="S47" s="6"/>
      <c r="T47" s="6"/>
    </row>
    <row r="48" spans="1:20" ht="12.75" customHeight="1">
      <c r="A48" s="7" t="s">
        <v>119</v>
      </c>
      <c r="B48" s="13" t="s">
        <v>120</v>
      </c>
      <c r="C48" s="9">
        <v>418</v>
      </c>
      <c r="D48" s="10">
        <f t="shared" si="0"/>
        <v>0</v>
      </c>
      <c r="E48" s="10">
        <f t="shared" si="1"/>
        <v>418</v>
      </c>
      <c r="F48" s="10">
        <f t="shared" si="2"/>
        <v>1.0804956321351809E-3</v>
      </c>
      <c r="G48" s="10">
        <f t="shared" si="3"/>
        <v>43.0037261589802</v>
      </c>
      <c r="H48" s="10">
        <v>3</v>
      </c>
      <c r="I48" s="10">
        <f t="shared" si="4"/>
        <v>336.63</v>
      </c>
      <c r="J48" s="10">
        <f t="shared" si="5"/>
        <v>384.89356990898023</v>
      </c>
      <c r="K48" s="10">
        <f t="shared" si="6"/>
        <v>4492.625</v>
      </c>
      <c r="L48" s="7">
        <v>0</v>
      </c>
      <c r="M48" s="10">
        <v>0</v>
      </c>
      <c r="N48" s="10">
        <v>0</v>
      </c>
      <c r="O48" s="10">
        <v>0</v>
      </c>
      <c r="P48" s="10">
        <v>0</v>
      </c>
      <c r="Q48" s="10">
        <v>500</v>
      </c>
      <c r="R48" s="15">
        <f t="shared" si="7"/>
        <v>5377.5185699089798</v>
      </c>
      <c r="S48" s="6"/>
      <c r="T48" s="6"/>
    </row>
    <row r="49" spans="1:20" ht="12.75" customHeight="1">
      <c r="A49" s="7" t="s">
        <v>121</v>
      </c>
      <c r="B49" s="13" t="s">
        <v>122</v>
      </c>
      <c r="C49" s="9">
        <v>8440.5</v>
      </c>
      <c r="D49" s="10">
        <f t="shared" si="0"/>
        <v>0</v>
      </c>
      <c r="E49" s="10">
        <f t="shared" si="1"/>
        <v>8440.5</v>
      </c>
      <c r="F49" s="10">
        <f t="shared" si="2"/>
        <v>2.1817998524011947E-2</v>
      </c>
      <c r="G49" s="10">
        <f t="shared" si="3"/>
        <v>868.35634125567549</v>
      </c>
      <c r="H49" s="10">
        <v>3</v>
      </c>
      <c r="I49" s="10">
        <f t="shared" si="4"/>
        <v>336.63</v>
      </c>
      <c r="J49" s="10">
        <f t="shared" si="5"/>
        <v>1210.2461850056754</v>
      </c>
      <c r="K49" s="10">
        <f t="shared" si="6"/>
        <v>4492.625</v>
      </c>
      <c r="L49" s="7">
        <v>0</v>
      </c>
      <c r="M49" s="10">
        <v>0</v>
      </c>
      <c r="N49" s="10">
        <v>0</v>
      </c>
      <c r="O49" s="10">
        <v>0</v>
      </c>
      <c r="P49" s="10">
        <v>0</v>
      </c>
      <c r="Q49" s="10">
        <v>500</v>
      </c>
      <c r="R49" s="15">
        <f t="shared" si="7"/>
        <v>6202.8711850056752</v>
      </c>
      <c r="S49" s="6"/>
      <c r="T49" s="6"/>
    </row>
    <row r="50" spans="1:20" ht="12.75" customHeight="1">
      <c r="A50" s="7" t="s">
        <v>123</v>
      </c>
      <c r="B50" s="13" t="s">
        <v>124</v>
      </c>
      <c r="C50" s="9">
        <v>2519.5</v>
      </c>
      <c r="D50" s="10">
        <f t="shared" si="0"/>
        <v>0</v>
      </c>
      <c r="E50" s="10">
        <f t="shared" si="1"/>
        <v>2519.5</v>
      </c>
      <c r="F50" s="10">
        <f t="shared" si="2"/>
        <v>6.5127003472837041E-3</v>
      </c>
      <c r="G50" s="10">
        <f t="shared" si="3"/>
        <v>259.20547382189142</v>
      </c>
      <c r="H50" s="10">
        <v>4</v>
      </c>
      <c r="I50" s="10">
        <f t="shared" si="4"/>
        <v>448.84</v>
      </c>
      <c r="J50" s="10">
        <f t="shared" si="5"/>
        <v>713.30531757189146</v>
      </c>
      <c r="K50" s="10">
        <f t="shared" si="6"/>
        <v>4492.625</v>
      </c>
      <c r="L50" s="7">
        <v>0</v>
      </c>
      <c r="M50" s="10">
        <v>0</v>
      </c>
      <c r="N50" s="10">
        <v>0</v>
      </c>
      <c r="O50" s="10">
        <v>0</v>
      </c>
      <c r="P50" s="10">
        <v>0</v>
      </c>
      <c r="Q50" s="10">
        <v>500</v>
      </c>
      <c r="R50" s="15">
        <f t="shared" si="7"/>
        <v>5705.9303175718915</v>
      </c>
      <c r="S50" s="6"/>
      <c r="T50" s="6"/>
    </row>
    <row r="51" spans="1:20" ht="12.75" customHeight="1">
      <c r="A51" s="7" t="s">
        <v>125</v>
      </c>
      <c r="B51" s="13" t="s">
        <v>126</v>
      </c>
      <c r="C51" s="9">
        <v>2622.5</v>
      </c>
      <c r="D51" s="10">
        <f t="shared" si="0"/>
        <v>0</v>
      </c>
      <c r="E51" s="10">
        <f t="shared" si="1"/>
        <v>2622.5</v>
      </c>
      <c r="F51" s="10">
        <f t="shared" si="2"/>
        <v>6.7789468786471577E-3</v>
      </c>
      <c r="G51" s="10">
        <f t="shared" si="3"/>
        <v>269.80208577015685</v>
      </c>
      <c r="H51" s="10">
        <v>4</v>
      </c>
      <c r="I51" s="10">
        <f t="shared" si="4"/>
        <v>448.84</v>
      </c>
      <c r="J51" s="10">
        <f t="shared" si="5"/>
        <v>723.90192952015684</v>
      </c>
      <c r="K51" s="10">
        <f t="shared" si="6"/>
        <v>4492.625</v>
      </c>
      <c r="L51" s="7">
        <v>0</v>
      </c>
      <c r="M51" s="10">
        <v>0</v>
      </c>
      <c r="N51" s="10">
        <v>0</v>
      </c>
      <c r="O51" s="10">
        <v>0</v>
      </c>
      <c r="P51" s="10">
        <v>0</v>
      </c>
      <c r="Q51" s="10">
        <v>500</v>
      </c>
      <c r="R51" s="15">
        <f t="shared" si="7"/>
        <v>5716.526929520157</v>
      </c>
      <c r="S51" s="6"/>
      <c r="T51" s="6"/>
    </row>
    <row r="52" spans="1:20" ht="12.75" customHeight="1">
      <c r="A52" s="7" t="s">
        <v>127</v>
      </c>
      <c r="B52" s="13" t="s">
        <v>128</v>
      </c>
      <c r="C52" s="9">
        <v>15641</v>
      </c>
      <c r="D52" s="10">
        <f t="shared" si="0"/>
        <v>0</v>
      </c>
      <c r="E52" s="10">
        <f t="shared" si="1"/>
        <v>15641</v>
      </c>
      <c r="F52" s="10">
        <f t="shared" si="2"/>
        <v>4.043069900054154E-2</v>
      </c>
      <c r="G52" s="10">
        <f t="shared" si="3"/>
        <v>1609.1418202215532</v>
      </c>
      <c r="H52" s="10">
        <v>4</v>
      </c>
      <c r="I52" s="10">
        <f t="shared" si="4"/>
        <v>448.84</v>
      </c>
      <c r="J52" s="10">
        <f t="shared" si="5"/>
        <v>2063.2416639715534</v>
      </c>
      <c r="K52" s="10">
        <f t="shared" si="6"/>
        <v>4492.625</v>
      </c>
      <c r="L52" s="7">
        <v>0</v>
      </c>
      <c r="M52" s="10">
        <v>0</v>
      </c>
      <c r="N52" s="10">
        <v>0</v>
      </c>
      <c r="O52" s="10">
        <v>0</v>
      </c>
      <c r="P52" s="10">
        <v>0</v>
      </c>
      <c r="Q52" s="10">
        <v>500</v>
      </c>
      <c r="R52" s="15">
        <f t="shared" si="7"/>
        <v>7055.8666639715539</v>
      </c>
      <c r="S52" s="6"/>
      <c r="T52" s="6"/>
    </row>
    <row r="53" spans="1:20" ht="12.75" customHeight="1">
      <c r="A53" s="7" t="s">
        <v>129</v>
      </c>
      <c r="B53" s="13" t="s">
        <v>130</v>
      </c>
      <c r="C53" s="9">
        <v>4539</v>
      </c>
      <c r="D53" s="10">
        <f t="shared" si="0"/>
        <v>0</v>
      </c>
      <c r="E53" s="10">
        <f t="shared" si="1"/>
        <v>4539</v>
      </c>
      <c r="F53" s="10">
        <f t="shared" si="2"/>
        <v>1.1732941804453554E-2</v>
      </c>
      <c r="G53" s="10">
        <f t="shared" si="3"/>
        <v>466.97108381725144</v>
      </c>
      <c r="H53" s="10">
        <v>3</v>
      </c>
      <c r="I53" s="10">
        <f t="shared" si="4"/>
        <v>336.63</v>
      </c>
      <c r="J53" s="10">
        <f t="shared" si="5"/>
        <v>808.86092756725145</v>
      </c>
      <c r="K53" s="10">
        <f t="shared" si="6"/>
        <v>4492.625</v>
      </c>
      <c r="L53" s="7">
        <v>0</v>
      </c>
      <c r="M53" s="10">
        <v>0</v>
      </c>
      <c r="N53" s="10">
        <v>0</v>
      </c>
      <c r="O53" s="10">
        <v>0</v>
      </c>
      <c r="P53" s="10">
        <v>0</v>
      </c>
      <c r="Q53" s="10">
        <v>500</v>
      </c>
      <c r="R53" s="15">
        <f t="shared" si="7"/>
        <v>5801.4859275672516</v>
      </c>
      <c r="S53" s="6"/>
      <c r="T53" s="6"/>
    </row>
    <row r="54" spans="1:20" ht="12.75" customHeight="1">
      <c r="A54" s="7" t="s">
        <v>131</v>
      </c>
      <c r="B54" s="13" t="s">
        <v>132</v>
      </c>
      <c r="C54" s="9">
        <v>14502</v>
      </c>
      <c r="D54" s="10">
        <f t="shared" si="0"/>
        <v>0</v>
      </c>
      <c r="E54" s="10">
        <f t="shared" si="1"/>
        <v>14502</v>
      </c>
      <c r="F54" s="10">
        <f t="shared" si="2"/>
        <v>3.7486477648862183E-2</v>
      </c>
      <c r="G54" s="10">
        <f t="shared" si="3"/>
        <v>1491.9618104247149</v>
      </c>
      <c r="H54" s="10">
        <v>3</v>
      </c>
      <c r="I54" s="10">
        <f t="shared" si="4"/>
        <v>336.63</v>
      </c>
      <c r="J54" s="10">
        <f t="shared" si="5"/>
        <v>1833.8516541747149</v>
      </c>
      <c r="K54" s="10">
        <f t="shared" si="6"/>
        <v>4492.625</v>
      </c>
      <c r="L54" s="7">
        <v>0</v>
      </c>
      <c r="M54" s="10">
        <v>0</v>
      </c>
      <c r="N54" s="10">
        <v>0</v>
      </c>
      <c r="O54" s="10">
        <v>0</v>
      </c>
      <c r="P54" s="10">
        <v>0</v>
      </c>
      <c r="Q54" s="10">
        <v>500</v>
      </c>
      <c r="R54" s="15">
        <f t="shared" si="7"/>
        <v>6826.4766541747149</v>
      </c>
      <c r="S54" s="6"/>
      <c r="T54" s="6"/>
    </row>
    <row r="55" spans="1:20" ht="12.75" customHeight="1">
      <c r="A55" s="7" t="s">
        <v>133</v>
      </c>
      <c r="B55" s="13" t="s">
        <v>134</v>
      </c>
      <c r="C55" s="9">
        <v>12947.5</v>
      </c>
      <c r="D55" s="10">
        <f t="shared" si="0"/>
        <v>0</v>
      </c>
      <c r="E55" s="10">
        <f t="shared" si="1"/>
        <v>12947.5</v>
      </c>
      <c r="F55" s="10">
        <f t="shared" si="2"/>
        <v>3.3468222959498216E-2</v>
      </c>
      <c r="G55" s="10">
        <f t="shared" si="3"/>
        <v>1332.0352737880289</v>
      </c>
      <c r="H55" s="10">
        <v>4</v>
      </c>
      <c r="I55" s="10">
        <f t="shared" si="4"/>
        <v>448.84</v>
      </c>
      <c r="J55" s="10">
        <f t="shared" si="5"/>
        <v>1786.1351175380289</v>
      </c>
      <c r="K55" s="10">
        <f t="shared" si="6"/>
        <v>4492.625</v>
      </c>
      <c r="L55" s="7">
        <v>0</v>
      </c>
      <c r="M55" s="10">
        <v>0</v>
      </c>
      <c r="N55" s="10">
        <v>0</v>
      </c>
      <c r="O55" s="10">
        <v>0</v>
      </c>
      <c r="P55" s="10">
        <v>0</v>
      </c>
      <c r="Q55" s="10">
        <v>500</v>
      </c>
      <c r="R55" s="15">
        <f t="shared" si="7"/>
        <v>6778.7601175380287</v>
      </c>
      <c r="S55" s="6"/>
      <c r="T55" s="6"/>
    </row>
    <row r="56" spans="1:20" ht="12.75" customHeight="1">
      <c r="A56" s="7" t="s">
        <v>135</v>
      </c>
      <c r="B56" s="13" t="s">
        <v>136</v>
      </c>
      <c r="C56" s="9">
        <v>10744</v>
      </c>
      <c r="D56" s="10">
        <f t="shared" si="0"/>
        <v>0</v>
      </c>
      <c r="E56" s="10">
        <f t="shared" si="1"/>
        <v>10744</v>
      </c>
      <c r="F56" s="10">
        <f t="shared" si="2"/>
        <v>2.7772356630766468E-2</v>
      </c>
      <c r="G56" s="10">
        <f t="shared" si="3"/>
        <v>1105.3397939045055</v>
      </c>
      <c r="H56" s="10">
        <v>4</v>
      </c>
      <c r="I56" s="10">
        <f t="shared" si="4"/>
        <v>448.84</v>
      </c>
      <c r="J56" s="10">
        <f t="shared" si="5"/>
        <v>1559.4396376545055</v>
      </c>
      <c r="K56" s="10">
        <f t="shared" si="6"/>
        <v>4492.625</v>
      </c>
      <c r="L56" s="7">
        <v>0</v>
      </c>
      <c r="M56" s="10">
        <v>0</v>
      </c>
      <c r="N56" s="10">
        <v>0</v>
      </c>
      <c r="O56" s="10">
        <v>0</v>
      </c>
      <c r="P56" s="10">
        <v>0</v>
      </c>
      <c r="Q56" s="10">
        <v>500</v>
      </c>
      <c r="R56" s="15">
        <f t="shared" si="7"/>
        <v>6552.0646376545055</v>
      </c>
      <c r="S56" s="6"/>
      <c r="T56" s="6"/>
    </row>
    <row r="57" spans="1:20" ht="12.75" customHeight="1">
      <c r="A57" s="7" t="s">
        <v>137</v>
      </c>
      <c r="B57" s="13" t="s">
        <v>138</v>
      </c>
      <c r="C57" s="9">
        <v>1237</v>
      </c>
      <c r="D57" s="10">
        <f t="shared" si="0"/>
        <v>0</v>
      </c>
      <c r="E57" s="10">
        <f t="shared" si="1"/>
        <v>1237</v>
      </c>
      <c r="F57" s="10">
        <f t="shared" si="2"/>
        <v>3.1975432941416717E-3</v>
      </c>
      <c r="G57" s="10">
        <f t="shared" si="3"/>
        <v>127.26222310683853</v>
      </c>
      <c r="H57" s="10">
        <v>4</v>
      </c>
      <c r="I57" s="10">
        <f t="shared" si="4"/>
        <v>448.84</v>
      </c>
      <c r="J57" s="10">
        <f t="shared" si="5"/>
        <v>581.36206685683851</v>
      </c>
      <c r="K57" s="10">
        <f t="shared" si="6"/>
        <v>4492.625</v>
      </c>
      <c r="L57" s="7">
        <v>0</v>
      </c>
      <c r="M57" s="10">
        <v>0</v>
      </c>
      <c r="N57" s="10">
        <v>0</v>
      </c>
      <c r="O57" s="10">
        <v>0</v>
      </c>
      <c r="P57" s="10">
        <v>0</v>
      </c>
      <c r="Q57" s="10">
        <v>500</v>
      </c>
      <c r="R57" s="15">
        <f t="shared" si="7"/>
        <v>5573.9870668568383</v>
      </c>
      <c r="S57" s="6"/>
      <c r="T57" s="6"/>
    </row>
    <row r="58" spans="1:20" ht="12.75" customHeight="1">
      <c r="A58" s="7" t="s">
        <v>139</v>
      </c>
      <c r="B58" s="13" t="s">
        <v>140</v>
      </c>
      <c r="C58" s="9">
        <v>6187.5</v>
      </c>
      <c r="D58" s="10">
        <f t="shared" si="0"/>
        <v>0</v>
      </c>
      <c r="E58" s="10">
        <f t="shared" si="1"/>
        <v>6187.5</v>
      </c>
      <c r="F58" s="10">
        <f t="shared" si="2"/>
        <v>1.5994178765158927E-2</v>
      </c>
      <c r="G58" s="10">
        <f t="shared" si="3"/>
        <v>636.56831485332532</v>
      </c>
      <c r="H58" s="10">
        <v>3</v>
      </c>
      <c r="I58" s="10">
        <f t="shared" si="4"/>
        <v>336.63</v>
      </c>
      <c r="J58" s="10">
        <f t="shared" si="5"/>
        <v>978.45815860332527</v>
      </c>
      <c r="K58" s="10">
        <f t="shared" si="6"/>
        <v>4492.625</v>
      </c>
      <c r="L58" s="7">
        <v>0</v>
      </c>
      <c r="M58" s="10">
        <v>0</v>
      </c>
      <c r="N58" s="10">
        <v>0</v>
      </c>
      <c r="O58" s="10">
        <v>0</v>
      </c>
      <c r="P58" s="10">
        <v>0</v>
      </c>
      <c r="Q58" s="10">
        <v>500</v>
      </c>
      <c r="R58" s="15">
        <f t="shared" si="7"/>
        <v>5971.0831586033255</v>
      </c>
      <c r="S58" s="6"/>
      <c r="T58" s="6"/>
    </row>
    <row r="59" spans="1:20" ht="12.75" customHeight="1">
      <c r="A59" s="7" t="s">
        <v>141</v>
      </c>
      <c r="B59" s="13" t="s">
        <v>142</v>
      </c>
      <c r="C59" s="9">
        <v>13712.5</v>
      </c>
      <c r="D59" s="10">
        <f t="shared" si="0"/>
        <v>0</v>
      </c>
      <c r="E59" s="10">
        <f t="shared" si="1"/>
        <v>13712.5</v>
      </c>
      <c r="F59" s="10">
        <f t="shared" si="2"/>
        <v>3.5445685061372412E-2</v>
      </c>
      <c r="G59" s="10">
        <f t="shared" si="3"/>
        <v>1410.7382654426219</v>
      </c>
      <c r="H59" s="10">
        <v>3</v>
      </c>
      <c r="I59" s="10">
        <f t="shared" si="4"/>
        <v>336.63</v>
      </c>
      <c r="J59" s="10">
        <f t="shared" si="5"/>
        <v>1752.6281091926221</v>
      </c>
      <c r="K59" s="10">
        <f t="shared" si="6"/>
        <v>4492.625</v>
      </c>
      <c r="L59" s="7">
        <v>0</v>
      </c>
      <c r="M59" s="10">
        <v>0</v>
      </c>
      <c r="N59" s="10">
        <v>0</v>
      </c>
      <c r="O59" s="10">
        <v>0</v>
      </c>
      <c r="P59" s="10">
        <v>0</v>
      </c>
      <c r="Q59" s="10">
        <v>500</v>
      </c>
      <c r="R59" s="15">
        <f t="shared" si="7"/>
        <v>6745.2531091926221</v>
      </c>
      <c r="S59" s="6"/>
      <c r="T59" s="6"/>
    </row>
    <row r="60" spans="1:20" ht="12.75" customHeight="1">
      <c r="A60" s="7" t="s">
        <v>143</v>
      </c>
      <c r="B60" s="13" t="s">
        <v>144</v>
      </c>
      <c r="C60" s="9">
        <v>423.5</v>
      </c>
      <c r="D60" s="10">
        <f t="shared" si="0"/>
        <v>0</v>
      </c>
      <c r="E60" s="10">
        <f t="shared" si="1"/>
        <v>423.5</v>
      </c>
      <c r="F60" s="10">
        <f t="shared" si="2"/>
        <v>1.0947126799264332E-3</v>
      </c>
      <c r="G60" s="10">
        <f t="shared" si="3"/>
        <v>43.569564661072036</v>
      </c>
      <c r="H60" s="10">
        <v>3</v>
      </c>
      <c r="I60" s="10">
        <f t="shared" si="4"/>
        <v>336.63</v>
      </c>
      <c r="J60" s="10">
        <f t="shared" si="5"/>
        <v>385.45940841107205</v>
      </c>
      <c r="K60" s="10">
        <f t="shared" si="6"/>
        <v>4492.625</v>
      </c>
      <c r="L60" s="7">
        <v>0</v>
      </c>
      <c r="M60" s="10">
        <v>0</v>
      </c>
      <c r="N60" s="10">
        <v>0</v>
      </c>
      <c r="O60" s="10">
        <v>0</v>
      </c>
      <c r="P60" s="10">
        <v>0</v>
      </c>
      <c r="Q60" s="10">
        <v>500</v>
      </c>
      <c r="R60" s="15">
        <f t="shared" si="7"/>
        <v>5378.0844084110722</v>
      </c>
      <c r="S60" s="6"/>
      <c r="T60" s="6"/>
    </row>
    <row r="61" spans="1:20" ht="12.75" customHeight="1">
      <c r="A61" s="7" t="s">
        <v>145</v>
      </c>
      <c r="B61" s="13" t="s">
        <v>146</v>
      </c>
      <c r="C61" s="9">
        <v>6809.5</v>
      </c>
      <c r="D61" s="10">
        <f t="shared" si="0"/>
        <v>0</v>
      </c>
      <c r="E61" s="10">
        <f t="shared" si="1"/>
        <v>6809.5</v>
      </c>
      <c r="F61" s="10">
        <f t="shared" si="2"/>
        <v>1.7601997624460561E-2</v>
      </c>
      <c r="G61" s="10">
        <f t="shared" si="3"/>
        <v>700.55950545353028</v>
      </c>
      <c r="H61" s="10">
        <v>3</v>
      </c>
      <c r="I61" s="10">
        <f t="shared" si="4"/>
        <v>336.63</v>
      </c>
      <c r="J61" s="10">
        <f t="shared" si="5"/>
        <v>1042.4493492035303</v>
      </c>
      <c r="K61" s="10">
        <f t="shared" si="6"/>
        <v>4492.625</v>
      </c>
      <c r="L61" s="7">
        <v>0</v>
      </c>
      <c r="M61" s="10">
        <v>0</v>
      </c>
      <c r="N61" s="10">
        <v>0</v>
      </c>
      <c r="O61" s="10">
        <v>0</v>
      </c>
      <c r="P61" s="10">
        <v>0</v>
      </c>
      <c r="Q61" s="10">
        <v>500</v>
      </c>
      <c r="R61" s="15">
        <f t="shared" si="7"/>
        <v>6035.0743492035308</v>
      </c>
      <c r="S61" s="6"/>
      <c r="T61" s="6"/>
    </row>
    <row r="62" spans="1:20" ht="12.75" customHeight="1">
      <c r="A62" s="7" t="s">
        <v>147</v>
      </c>
      <c r="B62" s="13" t="s">
        <v>148</v>
      </c>
      <c r="C62" s="9">
        <v>5467</v>
      </c>
      <c r="D62" s="10">
        <f t="shared" si="0"/>
        <v>0</v>
      </c>
      <c r="E62" s="10">
        <f t="shared" si="1"/>
        <v>5467</v>
      </c>
      <c r="F62" s="10">
        <f t="shared" si="2"/>
        <v>1.4131745504504866E-2</v>
      </c>
      <c r="G62" s="10">
        <f t="shared" si="3"/>
        <v>562.44347107929366</v>
      </c>
      <c r="H62" s="10">
        <v>4</v>
      </c>
      <c r="I62" s="10">
        <f t="shared" si="4"/>
        <v>448.84</v>
      </c>
      <c r="J62" s="10">
        <f t="shared" si="5"/>
        <v>1016.5433148292936</v>
      </c>
      <c r="K62" s="10">
        <f t="shared" si="6"/>
        <v>4492.625</v>
      </c>
      <c r="L62" s="7">
        <v>0</v>
      </c>
      <c r="M62" s="10">
        <v>0</v>
      </c>
      <c r="N62" s="10">
        <v>0</v>
      </c>
      <c r="O62" s="10">
        <v>0</v>
      </c>
      <c r="P62" s="10">
        <v>0</v>
      </c>
      <c r="Q62" s="10">
        <v>500</v>
      </c>
      <c r="R62" s="15">
        <f t="shared" si="7"/>
        <v>6009.1683148292941</v>
      </c>
      <c r="S62" s="6"/>
      <c r="T62" s="6"/>
    </row>
    <row r="63" spans="1:20" ht="12.75" customHeight="1">
      <c r="A63" s="7" t="s">
        <v>149</v>
      </c>
      <c r="B63" s="13" t="s">
        <v>36</v>
      </c>
      <c r="C63" s="9">
        <v>5104.5</v>
      </c>
      <c r="D63" s="10">
        <f t="shared" si="0"/>
        <v>0</v>
      </c>
      <c r="E63" s="10">
        <f t="shared" si="1"/>
        <v>5104.5</v>
      </c>
      <c r="F63" s="10">
        <f t="shared" si="2"/>
        <v>1.3194712809172322E-2</v>
      </c>
      <c r="G63" s="10">
        <f t="shared" si="3"/>
        <v>525.14956980505838</v>
      </c>
      <c r="H63" s="10">
        <v>3</v>
      </c>
      <c r="I63" s="10">
        <f t="shared" si="4"/>
        <v>336.63</v>
      </c>
      <c r="J63" s="10">
        <f t="shared" si="5"/>
        <v>867.03941355505833</v>
      </c>
      <c r="K63" s="10">
        <f t="shared" si="6"/>
        <v>4492.625</v>
      </c>
      <c r="L63" s="7">
        <v>750</v>
      </c>
      <c r="M63" s="10">
        <v>0</v>
      </c>
      <c r="N63" s="10">
        <v>0</v>
      </c>
      <c r="O63" s="10">
        <v>0</v>
      </c>
      <c r="P63" s="10">
        <v>0</v>
      </c>
      <c r="Q63" s="10">
        <v>500</v>
      </c>
      <c r="R63" s="15">
        <f t="shared" si="7"/>
        <v>6609.6644135550587</v>
      </c>
      <c r="S63" s="6"/>
      <c r="T63" s="6"/>
    </row>
    <row r="64" spans="1:20" ht="12.75" customHeight="1">
      <c r="A64" s="7" t="s">
        <v>150</v>
      </c>
      <c r="B64" s="13" t="s">
        <v>151</v>
      </c>
      <c r="C64" s="9">
        <v>3617</v>
      </c>
      <c r="D64" s="10">
        <f t="shared" si="0"/>
        <v>0</v>
      </c>
      <c r="E64" s="10">
        <f t="shared" si="1"/>
        <v>3617</v>
      </c>
      <c r="F64" s="10">
        <f t="shared" si="2"/>
        <v>9.3496476110836099E-3</v>
      </c>
      <c r="G64" s="10">
        <f t="shared" si="3"/>
        <v>372.1159749211277</v>
      </c>
      <c r="H64" s="10">
        <v>3</v>
      </c>
      <c r="I64" s="10">
        <f t="shared" si="4"/>
        <v>336.63</v>
      </c>
      <c r="J64" s="10">
        <f t="shared" si="5"/>
        <v>714.00581867112771</v>
      </c>
      <c r="K64" s="10">
        <f t="shared" si="6"/>
        <v>4492.625</v>
      </c>
      <c r="L64" s="7">
        <v>0</v>
      </c>
      <c r="M64" s="10">
        <v>0</v>
      </c>
      <c r="N64" s="10">
        <v>0</v>
      </c>
      <c r="O64" s="10">
        <v>0</v>
      </c>
      <c r="P64" s="10">
        <v>0</v>
      </c>
      <c r="Q64" s="10">
        <v>500</v>
      </c>
      <c r="R64" s="15">
        <f t="shared" si="7"/>
        <v>5706.6308186711276</v>
      </c>
      <c r="S64" s="6"/>
      <c r="T64" s="6"/>
    </row>
    <row r="65" spans="1:20" ht="12.75" customHeight="1">
      <c r="A65" s="7" t="s">
        <v>152</v>
      </c>
      <c r="B65" s="13" t="s">
        <v>153</v>
      </c>
      <c r="C65" s="9">
        <v>1325</v>
      </c>
      <c r="D65" s="10">
        <f t="shared" si="0"/>
        <v>0</v>
      </c>
      <c r="E65" s="10">
        <f t="shared" si="1"/>
        <v>1325</v>
      </c>
      <c r="F65" s="10">
        <f t="shared" si="2"/>
        <v>3.4250160588017095E-3</v>
      </c>
      <c r="G65" s="10">
        <f t="shared" si="3"/>
        <v>136.31563914030804</v>
      </c>
      <c r="H65" s="10">
        <v>3</v>
      </c>
      <c r="I65" s="10">
        <f t="shared" si="4"/>
        <v>336.63</v>
      </c>
      <c r="J65" s="10">
        <f t="shared" si="5"/>
        <v>478.20548289030802</v>
      </c>
      <c r="K65" s="10">
        <f t="shared" si="6"/>
        <v>4492.625</v>
      </c>
      <c r="L65" s="7">
        <v>0</v>
      </c>
      <c r="M65" s="10">
        <v>0</v>
      </c>
      <c r="N65" s="10">
        <v>0</v>
      </c>
      <c r="O65" s="10">
        <v>0</v>
      </c>
      <c r="P65" s="10">
        <v>0</v>
      </c>
      <c r="Q65" s="10">
        <v>500</v>
      </c>
      <c r="R65" s="15">
        <f t="shared" si="7"/>
        <v>5470.8304828903083</v>
      </c>
      <c r="S65" s="6"/>
      <c r="T65" s="6"/>
    </row>
    <row r="66" spans="1:20" ht="12.75" customHeight="1">
      <c r="A66" s="7" t="s">
        <v>154</v>
      </c>
      <c r="B66" s="13" t="s">
        <v>155</v>
      </c>
      <c r="C66" s="9">
        <v>2405.5</v>
      </c>
      <c r="D66" s="10">
        <f t="shared" si="0"/>
        <v>0</v>
      </c>
      <c r="E66" s="10">
        <f t="shared" si="1"/>
        <v>2405.5</v>
      </c>
      <c r="F66" s="10">
        <f t="shared" si="2"/>
        <v>6.2180197203377452E-3</v>
      </c>
      <c r="G66" s="10">
        <f t="shared" si="3"/>
        <v>247.47718486944225</v>
      </c>
      <c r="H66" s="10">
        <v>4</v>
      </c>
      <c r="I66" s="10">
        <f t="shared" si="4"/>
        <v>448.84</v>
      </c>
      <c r="J66" s="10">
        <f t="shared" si="5"/>
        <v>701.57702861944222</v>
      </c>
      <c r="K66" s="10">
        <f t="shared" si="6"/>
        <v>4492.625</v>
      </c>
      <c r="L66" s="7">
        <v>0</v>
      </c>
      <c r="M66" s="10">
        <v>0</v>
      </c>
      <c r="N66" s="10">
        <v>0</v>
      </c>
      <c r="O66" s="10">
        <v>0</v>
      </c>
      <c r="P66" s="10">
        <v>0</v>
      </c>
      <c r="Q66" s="10">
        <v>500</v>
      </c>
      <c r="R66" s="15">
        <f t="shared" si="7"/>
        <v>5694.202028619442</v>
      </c>
      <c r="S66" s="6"/>
      <c r="T66" s="6"/>
    </row>
    <row r="67" spans="1:20" ht="12.75" customHeight="1">
      <c r="A67" s="7" t="s">
        <v>156</v>
      </c>
      <c r="B67" s="13" t="s">
        <v>157</v>
      </c>
      <c r="C67" s="9">
        <v>8997</v>
      </c>
      <c r="D67" s="10">
        <f t="shared" si="0"/>
        <v>0</v>
      </c>
      <c r="E67" s="10">
        <f t="shared" si="1"/>
        <v>8997</v>
      </c>
      <c r="F67" s="10">
        <f t="shared" si="2"/>
        <v>2.3256505268708667E-2</v>
      </c>
      <c r="G67" s="10">
        <f t="shared" si="3"/>
        <v>925.6089096946049</v>
      </c>
      <c r="H67" s="10">
        <v>4</v>
      </c>
      <c r="I67" s="10">
        <f t="shared" si="4"/>
        <v>448.84</v>
      </c>
      <c r="J67" s="10">
        <f t="shared" si="5"/>
        <v>1379.7087534446048</v>
      </c>
      <c r="K67" s="10">
        <f t="shared" si="6"/>
        <v>4492.625</v>
      </c>
      <c r="L67" s="7">
        <v>0</v>
      </c>
      <c r="M67" s="10">
        <v>0</v>
      </c>
      <c r="N67" s="10">
        <v>0</v>
      </c>
      <c r="O67" s="10">
        <v>0</v>
      </c>
      <c r="P67" s="10">
        <v>0</v>
      </c>
      <c r="Q67" s="10">
        <v>500</v>
      </c>
      <c r="R67" s="15">
        <f t="shared" si="7"/>
        <v>6372.3337534446046</v>
      </c>
      <c r="S67" s="6"/>
      <c r="T67" s="6"/>
    </row>
    <row r="68" spans="1:20" ht="12.75" customHeight="1">
      <c r="A68" s="7" t="s">
        <v>158</v>
      </c>
      <c r="B68" s="13" t="s">
        <v>159</v>
      </c>
      <c r="C68" s="9">
        <v>8008.5</v>
      </c>
      <c r="D68" s="10">
        <f t="shared" si="0"/>
        <v>0</v>
      </c>
      <c r="E68" s="10">
        <f t="shared" si="1"/>
        <v>8008.5</v>
      </c>
      <c r="F68" s="10">
        <f t="shared" si="2"/>
        <v>2.070131404295358E-2</v>
      </c>
      <c r="G68" s="10">
        <f t="shared" si="3"/>
        <v>823.91229890955253</v>
      </c>
      <c r="H68" s="10">
        <v>4</v>
      </c>
      <c r="I68" s="10">
        <f t="shared" si="4"/>
        <v>448.84</v>
      </c>
      <c r="J68" s="10">
        <f t="shared" si="5"/>
        <v>1278.0121426595524</v>
      </c>
      <c r="K68" s="10">
        <f t="shared" si="6"/>
        <v>4492.625</v>
      </c>
      <c r="L68" s="7">
        <v>0</v>
      </c>
      <c r="M68" s="10">
        <v>0</v>
      </c>
      <c r="N68" s="10">
        <v>0</v>
      </c>
      <c r="O68" s="10">
        <v>0</v>
      </c>
      <c r="P68" s="10">
        <v>0</v>
      </c>
      <c r="Q68" s="10">
        <v>500</v>
      </c>
      <c r="R68" s="15">
        <f t="shared" si="7"/>
        <v>6270.6371426595524</v>
      </c>
      <c r="S68" s="6"/>
      <c r="T68" s="6"/>
    </row>
    <row r="69" spans="1:20" ht="12.75" customHeight="1">
      <c r="A69" s="7" t="s">
        <v>160</v>
      </c>
      <c r="B69" s="13" t="s">
        <v>161</v>
      </c>
      <c r="C69" s="9">
        <v>3201.5</v>
      </c>
      <c r="D69" s="10">
        <f t="shared" si="0"/>
        <v>0</v>
      </c>
      <c r="E69" s="10">
        <f t="shared" si="1"/>
        <v>3201.5</v>
      </c>
      <c r="F69" s="10">
        <f t="shared" si="2"/>
        <v>8.2756142733989985E-3</v>
      </c>
      <c r="G69" s="10">
        <f t="shared" si="3"/>
        <v>329.36944808128015</v>
      </c>
      <c r="H69" s="10">
        <v>3</v>
      </c>
      <c r="I69" s="10">
        <f t="shared" si="4"/>
        <v>336.63</v>
      </c>
      <c r="J69" s="10">
        <f t="shared" si="5"/>
        <v>671.25929183128017</v>
      </c>
      <c r="K69" s="10">
        <f t="shared" si="6"/>
        <v>4492.625</v>
      </c>
      <c r="L69" s="7">
        <v>0</v>
      </c>
      <c r="M69" s="10">
        <v>0</v>
      </c>
      <c r="N69" s="10">
        <v>0</v>
      </c>
      <c r="O69" s="10">
        <v>0</v>
      </c>
      <c r="P69" s="10">
        <v>0</v>
      </c>
      <c r="Q69" s="10">
        <v>500</v>
      </c>
      <c r="R69" s="15">
        <f t="shared" si="7"/>
        <v>5663.8842918312803</v>
      </c>
      <c r="S69" s="6"/>
      <c r="T69" s="6"/>
    </row>
    <row r="70" spans="1:20" ht="12.75" customHeight="1">
      <c r="A70" s="31" t="s">
        <v>162</v>
      </c>
      <c r="B70" s="32" t="s">
        <v>162</v>
      </c>
      <c r="C70" s="15">
        <f t="shared" ref="C70:D70" si="8">SUM(C3:C69)</f>
        <v>386859.5</v>
      </c>
      <c r="D70" s="15">
        <f t="shared" si="8"/>
        <v>0</v>
      </c>
      <c r="E70" s="15">
        <f>SUM(E5:E69)</f>
        <v>386859.5</v>
      </c>
      <c r="F70" s="15">
        <f>SUM(F6:F69)</f>
        <v>0.99999999999999989</v>
      </c>
      <c r="G70" s="15">
        <f>SUM(G6:G69)</f>
        <v>39799.999999999985</v>
      </c>
      <c r="H70" s="15">
        <f>SUM(H3:H69)</f>
        <v>223</v>
      </c>
      <c r="I70" s="15">
        <f>SUM(I3:I69)</f>
        <v>25022.830000000005</v>
      </c>
      <c r="J70" s="15">
        <f t="shared" ref="J70:R70" si="9">SUM(J6:J69)</f>
        <v>64822.829999999994</v>
      </c>
      <c r="K70" s="15">
        <f t="shared" si="9"/>
        <v>287528</v>
      </c>
      <c r="L70" s="15">
        <f t="shared" si="9"/>
        <v>3750</v>
      </c>
      <c r="M70" s="15">
        <f t="shared" si="9"/>
        <v>0</v>
      </c>
      <c r="N70" s="15">
        <f t="shared" si="9"/>
        <v>1000</v>
      </c>
      <c r="O70" s="15">
        <f t="shared" si="9"/>
        <v>0</v>
      </c>
      <c r="P70" s="15">
        <f t="shared" si="9"/>
        <v>0</v>
      </c>
      <c r="Q70" s="15">
        <f t="shared" si="9"/>
        <v>32000</v>
      </c>
      <c r="R70" s="15">
        <f t="shared" si="9"/>
        <v>389100.83000000013</v>
      </c>
      <c r="S70" s="6"/>
      <c r="T70" s="6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25" right="0.25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38" t="s">
        <v>164</v>
      </c>
      <c r="E1" s="37" t="s">
        <v>163</v>
      </c>
      <c r="F1" s="39" t="s">
        <v>164</v>
      </c>
      <c r="G1" s="37" t="s">
        <v>163</v>
      </c>
      <c r="H1" s="39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4944</v>
      </c>
      <c r="D2" s="43">
        <v>45775</v>
      </c>
      <c r="K2" s="40">
        <f t="shared" ref="K2:K65" si="0">SUM(C2,E2,G2,I2)</f>
        <v>4944</v>
      </c>
    </row>
    <row r="3" spans="1:11" ht="15" customHeight="1">
      <c r="A3" s="41" t="s">
        <v>26</v>
      </c>
      <c r="B3" s="13" t="s">
        <v>27</v>
      </c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20">
        <v>6000</v>
      </c>
      <c r="D4" s="44">
        <v>45748</v>
      </c>
      <c r="E4" s="40">
        <v>6317</v>
      </c>
      <c r="F4" s="45">
        <v>45768</v>
      </c>
      <c r="K4" s="46">
        <f t="shared" si="0"/>
        <v>12317</v>
      </c>
    </row>
    <row r="5" spans="1:11" ht="15" customHeight="1">
      <c r="A5" s="41" t="s">
        <v>32</v>
      </c>
      <c r="B5" s="13" t="s">
        <v>33</v>
      </c>
      <c r="C5" s="40">
        <v>5000</v>
      </c>
      <c r="D5" s="45">
        <v>45761</v>
      </c>
      <c r="K5" s="40">
        <f t="shared" si="0"/>
        <v>5000</v>
      </c>
    </row>
    <row r="6" spans="1:11" ht="15" customHeight="1">
      <c r="A6" s="41" t="s">
        <v>35</v>
      </c>
      <c r="B6" s="13" t="s">
        <v>36</v>
      </c>
      <c r="C6" s="42">
        <v>9457</v>
      </c>
      <c r="D6" s="47">
        <v>45768</v>
      </c>
      <c r="K6" s="40">
        <f t="shared" si="0"/>
        <v>9457</v>
      </c>
    </row>
    <row r="7" spans="1:11" ht="15" customHeight="1">
      <c r="A7" s="41" t="s">
        <v>37</v>
      </c>
      <c r="B7" s="13" t="s">
        <v>38</v>
      </c>
      <c r="C7" s="48">
        <v>4155</v>
      </c>
      <c r="D7" s="44">
        <v>45756</v>
      </c>
      <c r="E7" s="40">
        <v>4871</v>
      </c>
      <c r="F7" s="45">
        <v>45775</v>
      </c>
      <c r="K7" s="40">
        <f t="shared" si="0"/>
        <v>9026</v>
      </c>
    </row>
    <row r="8" spans="1:11" ht="15" customHeight="1">
      <c r="A8" s="41" t="s">
        <v>40</v>
      </c>
      <c r="B8" s="13" t="s">
        <v>41</v>
      </c>
      <c r="D8" s="43"/>
      <c r="E8" s="42"/>
      <c r="F8" s="42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42">
        <v>4603</v>
      </c>
      <c r="D9" s="43">
        <v>45762</v>
      </c>
      <c r="K9" s="40">
        <f t="shared" si="0"/>
        <v>4603</v>
      </c>
    </row>
    <row r="10" spans="1:11" ht="15" customHeight="1">
      <c r="A10" s="41" t="s">
        <v>46</v>
      </c>
      <c r="B10" s="13" t="s">
        <v>47</v>
      </c>
      <c r="C10" s="42">
        <v>4943</v>
      </c>
      <c r="D10" s="43">
        <v>45767</v>
      </c>
      <c r="K10" s="40">
        <f t="shared" si="0"/>
        <v>4943</v>
      </c>
    </row>
    <row r="11" spans="1:11" ht="15" customHeight="1">
      <c r="A11" s="41" t="s">
        <v>49</v>
      </c>
      <c r="B11" s="13" t="s">
        <v>50</v>
      </c>
      <c r="C11" s="48">
        <v>5314</v>
      </c>
      <c r="D11" s="44">
        <v>45750</v>
      </c>
      <c r="K11" s="40">
        <f t="shared" si="0"/>
        <v>5314</v>
      </c>
    </row>
    <row r="12" spans="1:11" ht="15" customHeight="1">
      <c r="A12" s="41" t="s">
        <v>52</v>
      </c>
      <c r="B12" s="13" t="s">
        <v>166</v>
      </c>
      <c r="C12" s="42">
        <v>4632</v>
      </c>
      <c r="D12" s="43">
        <v>45762</v>
      </c>
      <c r="K12" s="40">
        <f t="shared" si="0"/>
        <v>4632</v>
      </c>
    </row>
    <row r="13" spans="1:11" ht="15" customHeight="1">
      <c r="A13" s="41" t="s">
        <v>55</v>
      </c>
      <c r="B13" s="13" t="s">
        <v>56</v>
      </c>
      <c r="C13" s="40">
        <v>4603</v>
      </c>
      <c r="D13" s="43">
        <v>45761</v>
      </c>
      <c r="K13" s="40">
        <f t="shared" si="0"/>
        <v>4603</v>
      </c>
    </row>
    <row r="14" spans="1:11" ht="15" customHeight="1">
      <c r="A14" s="41" t="s">
        <v>58</v>
      </c>
      <c r="B14" s="13" t="s">
        <v>59</v>
      </c>
      <c r="C14" s="42">
        <v>4730</v>
      </c>
      <c r="D14" s="47">
        <v>45775</v>
      </c>
      <c r="E14" s="42"/>
      <c r="F14" s="47"/>
      <c r="G14" s="42"/>
      <c r="H14" s="47"/>
      <c r="J14" s="45"/>
      <c r="K14" s="40">
        <f t="shared" si="0"/>
        <v>4730</v>
      </c>
    </row>
    <row r="15" spans="1:11" ht="15" customHeight="1">
      <c r="A15" s="41" t="s">
        <v>61</v>
      </c>
      <c r="B15" s="13" t="s">
        <v>62</v>
      </c>
      <c r="C15" s="40">
        <v>5727</v>
      </c>
      <c r="D15" s="45">
        <v>45765</v>
      </c>
      <c r="K15" s="40">
        <f t="shared" si="0"/>
        <v>5727</v>
      </c>
    </row>
    <row r="16" spans="1:11" ht="15" customHeight="1">
      <c r="A16" s="41" t="s">
        <v>63</v>
      </c>
      <c r="B16" s="13" t="s">
        <v>64</v>
      </c>
      <c r="C16" s="42">
        <v>5709</v>
      </c>
      <c r="D16" s="43">
        <v>45769</v>
      </c>
      <c r="K16" s="40">
        <f t="shared" si="0"/>
        <v>5709</v>
      </c>
    </row>
    <row r="17" spans="1:11" ht="15" customHeight="1">
      <c r="A17" s="41" t="s">
        <v>65</v>
      </c>
      <c r="B17" s="13" t="s">
        <v>66</v>
      </c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5139</v>
      </c>
      <c r="D18" s="45">
        <v>45770</v>
      </c>
      <c r="K18" s="40">
        <f t="shared" si="0"/>
        <v>5139</v>
      </c>
    </row>
    <row r="19" spans="1:11" ht="15" customHeight="1">
      <c r="A19" s="41" t="s">
        <v>69</v>
      </c>
      <c r="B19" s="13" t="s">
        <v>70</v>
      </c>
      <c r="C19" s="42">
        <v>5645</v>
      </c>
      <c r="D19" s="43">
        <v>45765</v>
      </c>
      <c r="K19" s="40">
        <f t="shared" si="0"/>
        <v>5645</v>
      </c>
    </row>
    <row r="20" spans="1:11" ht="15" customHeight="1">
      <c r="A20" s="41" t="s">
        <v>71</v>
      </c>
      <c r="B20" s="13" t="s">
        <v>72</v>
      </c>
      <c r="C20" s="42">
        <v>5364</v>
      </c>
      <c r="D20" s="47">
        <v>45771</v>
      </c>
      <c r="K20" s="40">
        <f t="shared" si="0"/>
        <v>5364</v>
      </c>
    </row>
    <row r="21" spans="1:11" ht="15" customHeight="1">
      <c r="A21" s="41" t="s">
        <v>73</v>
      </c>
      <c r="B21" s="13" t="s">
        <v>74</v>
      </c>
      <c r="C21" s="42">
        <v>5441</v>
      </c>
      <c r="D21" s="43">
        <v>45771</v>
      </c>
      <c r="K21" s="40">
        <f t="shared" si="0"/>
        <v>5441</v>
      </c>
    </row>
    <row r="22" spans="1:11" ht="16">
      <c r="A22" s="41" t="s">
        <v>75</v>
      </c>
      <c r="B22" s="13" t="s">
        <v>76</v>
      </c>
      <c r="D22" s="45"/>
      <c r="K22" s="40">
        <f t="shared" si="0"/>
        <v>0</v>
      </c>
    </row>
    <row r="23" spans="1:11" ht="16">
      <c r="A23" s="41" t="s">
        <v>77</v>
      </c>
      <c r="B23" s="13" t="s">
        <v>78</v>
      </c>
      <c r="K23" s="40">
        <f t="shared" si="0"/>
        <v>0</v>
      </c>
    </row>
    <row r="24" spans="1:11" ht="16">
      <c r="A24" s="41" t="s">
        <v>79</v>
      </c>
      <c r="B24" s="13" t="s">
        <v>80</v>
      </c>
      <c r="C24" s="42">
        <v>9614</v>
      </c>
      <c r="D24" s="47">
        <v>45762</v>
      </c>
      <c r="K24" s="40">
        <f t="shared" si="0"/>
        <v>9614</v>
      </c>
    </row>
    <row r="25" spans="1:11" ht="16">
      <c r="A25" s="41" t="s">
        <v>81</v>
      </c>
      <c r="B25" s="13" t="s">
        <v>82</v>
      </c>
      <c r="C25" s="48">
        <v>15000</v>
      </c>
      <c r="D25" s="44">
        <v>45750</v>
      </c>
      <c r="K25" s="40">
        <f t="shared" si="0"/>
        <v>15000</v>
      </c>
    </row>
    <row r="26" spans="1:11" ht="16">
      <c r="A26" s="41" t="s">
        <v>83</v>
      </c>
      <c r="B26" s="13" t="s">
        <v>84</v>
      </c>
      <c r="C26" s="42"/>
      <c r="D26" s="47"/>
      <c r="K26" s="40">
        <f t="shared" si="0"/>
        <v>0</v>
      </c>
    </row>
    <row r="27" spans="1:11" ht="16">
      <c r="A27" s="41" t="s">
        <v>85</v>
      </c>
      <c r="B27" s="13" t="s">
        <v>86</v>
      </c>
      <c r="C27" s="40">
        <v>4965</v>
      </c>
      <c r="D27" s="45">
        <v>45760</v>
      </c>
      <c r="K27" s="40">
        <f t="shared" si="0"/>
        <v>4965</v>
      </c>
    </row>
    <row r="28" spans="1:11" ht="16">
      <c r="A28" s="41" t="s">
        <v>87</v>
      </c>
      <c r="B28" s="13" t="s">
        <v>88</v>
      </c>
      <c r="C28" s="42"/>
      <c r="D28" s="43"/>
      <c r="K28" s="40">
        <f t="shared" si="0"/>
        <v>0</v>
      </c>
    </row>
    <row r="29" spans="1:11" ht="16">
      <c r="A29" s="41" t="s">
        <v>89</v>
      </c>
      <c r="B29" s="13" t="s">
        <v>90</v>
      </c>
      <c r="C29" s="48">
        <v>4112</v>
      </c>
      <c r="D29" s="44">
        <v>45749</v>
      </c>
      <c r="E29" s="40">
        <v>4868</v>
      </c>
      <c r="F29" s="45">
        <v>45762</v>
      </c>
      <c r="K29" s="40">
        <f t="shared" si="0"/>
        <v>8980</v>
      </c>
    </row>
    <row r="30" spans="1:11" ht="16">
      <c r="A30" s="41" t="s">
        <v>91</v>
      </c>
      <c r="B30" s="13" t="s">
        <v>92</v>
      </c>
      <c r="D30" s="45"/>
      <c r="K30" s="40">
        <f t="shared" si="0"/>
        <v>0</v>
      </c>
    </row>
    <row r="31" spans="1:11" ht="16">
      <c r="A31" s="41" t="s">
        <v>93</v>
      </c>
      <c r="B31" s="13" t="s">
        <v>94</v>
      </c>
      <c r="C31" s="42">
        <v>5081</v>
      </c>
      <c r="D31" s="47">
        <v>45762</v>
      </c>
      <c r="K31" s="40">
        <f t="shared" si="0"/>
        <v>5081</v>
      </c>
    </row>
    <row r="32" spans="1:11" ht="16">
      <c r="A32" s="41" t="s">
        <v>95</v>
      </c>
      <c r="B32" s="13" t="s">
        <v>96</v>
      </c>
      <c r="C32" s="48">
        <v>4403</v>
      </c>
      <c r="D32" s="44">
        <v>45749</v>
      </c>
      <c r="E32" s="40">
        <v>4935</v>
      </c>
      <c r="F32" s="45">
        <v>45765</v>
      </c>
      <c r="K32" s="40">
        <f t="shared" si="0"/>
        <v>9338</v>
      </c>
    </row>
    <row r="33" spans="1:11" ht="16">
      <c r="A33" s="41" t="s">
        <v>97</v>
      </c>
      <c r="B33" s="13" t="s">
        <v>98</v>
      </c>
      <c r="C33" s="42">
        <v>9047</v>
      </c>
      <c r="D33" s="43">
        <v>45767</v>
      </c>
      <c r="K33" s="40">
        <f t="shared" si="0"/>
        <v>9047</v>
      </c>
    </row>
    <row r="34" spans="1:11" ht="16">
      <c r="A34" s="41" t="s">
        <v>99</v>
      </c>
      <c r="B34" s="13" t="s">
        <v>100</v>
      </c>
      <c r="C34" s="42">
        <v>4592</v>
      </c>
      <c r="D34" s="43">
        <v>45766</v>
      </c>
      <c r="F34" s="45"/>
      <c r="K34" s="40">
        <f t="shared" si="0"/>
        <v>4592</v>
      </c>
    </row>
    <row r="35" spans="1:11" ht="16">
      <c r="A35" s="41" t="s">
        <v>101</v>
      </c>
      <c r="B35" s="13" t="s">
        <v>102</v>
      </c>
      <c r="D35" s="45"/>
      <c r="K35" s="40">
        <f t="shared" si="0"/>
        <v>0</v>
      </c>
    </row>
    <row r="36" spans="1:11" ht="16">
      <c r="A36" s="41" t="s">
        <v>103</v>
      </c>
      <c r="B36" s="13" t="s">
        <v>104</v>
      </c>
      <c r="C36" s="40">
        <v>5088</v>
      </c>
      <c r="D36" s="45">
        <v>45770</v>
      </c>
      <c r="K36" s="40">
        <f t="shared" si="0"/>
        <v>5088</v>
      </c>
    </row>
    <row r="37" spans="1:11" ht="16">
      <c r="A37" s="41" t="s">
        <v>105</v>
      </c>
      <c r="B37" s="13" t="s">
        <v>106</v>
      </c>
      <c r="C37" s="42">
        <v>4768</v>
      </c>
      <c r="D37" s="43">
        <v>45762</v>
      </c>
      <c r="K37" s="40">
        <f t="shared" si="0"/>
        <v>4768</v>
      </c>
    </row>
    <row r="38" spans="1:11" ht="16">
      <c r="A38" s="41" t="s">
        <v>107</v>
      </c>
      <c r="B38" s="13" t="s">
        <v>108</v>
      </c>
      <c r="C38" s="42"/>
      <c r="D38" s="42"/>
      <c r="K38" s="40">
        <f t="shared" si="0"/>
        <v>0</v>
      </c>
    </row>
    <row r="39" spans="1:11" ht="16">
      <c r="A39" s="41" t="s">
        <v>109</v>
      </c>
      <c r="B39" s="30" t="s">
        <v>110</v>
      </c>
      <c r="D39" s="43"/>
      <c r="K39" s="40">
        <f t="shared" si="0"/>
        <v>0</v>
      </c>
    </row>
    <row r="40" spans="1:11" ht="16">
      <c r="A40" s="41" t="s">
        <v>111</v>
      </c>
      <c r="B40" s="13" t="s">
        <v>112</v>
      </c>
      <c r="C40" s="42">
        <v>4677</v>
      </c>
      <c r="D40" s="47">
        <v>45771</v>
      </c>
      <c r="K40" s="40">
        <f t="shared" si="0"/>
        <v>4677</v>
      </c>
    </row>
    <row r="41" spans="1:11" ht="16">
      <c r="A41" s="41" t="s">
        <v>113</v>
      </c>
      <c r="B41" s="13" t="s">
        <v>114</v>
      </c>
      <c r="C41" s="42">
        <v>5994</v>
      </c>
      <c r="D41" s="47">
        <v>45777</v>
      </c>
      <c r="K41" s="40">
        <f t="shared" si="0"/>
        <v>5994</v>
      </c>
    </row>
    <row r="42" spans="1:11" ht="16">
      <c r="A42" s="41" t="s">
        <v>115</v>
      </c>
      <c r="B42" s="13" t="s">
        <v>116</v>
      </c>
      <c r="C42" s="42">
        <v>6000</v>
      </c>
      <c r="D42" s="47">
        <v>45767</v>
      </c>
      <c r="K42" s="40">
        <f t="shared" si="0"/>
        <v>6000</v>
      </c>
    </row>
    <row r="43" spans="1:11" ht="16">
      <c r="A43" s="41" t="s">
        <v>117</v>
      </c>
      <c r="B43" s="13" t="s">
        <v>118</v>
      </c>
      <c r="C43" s="42"/>
      <c r="D43" s="42"/>
      <c r="K43" s="40">
        <f t="shared" si="0"/>
        <v>0</v>
      </c>
    </row>
    <row r="44" spans="1:11" ht="16">
      <c r="A44" s="41" t="s">
        <v>119</v>
      </c>
      <c r="B44" s="13" t="s">
        <v>120</v>
      </c>
      <c r="C44" s="42">
        <v>4685</v>
      </c>
      <c r="D44" s="47">
        <v>45765</v>
      </c>
      <c r="K44" s="40">
        <f t="shared" si="0"/>
        <v>4685</v>
      </c>
    </row>
    <row r="45" spans="1:11" ht="16">
      <c r="A45" s="41" t="s">
        <v>121</v>
      </c>
      <c r="B45" s="13" t="s">
        <v>122</v>
      </c>
      <c r="C45" s="42">
        <v>5270</v>
      </c>
      <c r="D45" s="43">
        <v>45767</v>
      </c>
      <c r="K45" s="40">
        <f t="shared" si="0"/>
        <v>5270</v>
      </c>
    </row>
    <row r="46" spans="1:11" ht="16">
      <c r="A46" s="41" t="s">
        <v>123</v>
      </c>
      <c r="B46" s="13" t="s">
        <v>124</v>
      </c>
      <c r="C46" s="42">
        <v>4808</v>
      </c>
      <c r="D46" s="47">
        <v>45775</v>
      </c>
      <c r="E46" s="42"/>
      <c r="F46" s="47"/>
      <c r="G46" s="42"/>
      <c r="H46" s="47"/>
      <c r="J46" s="45"/>
      <c r="K46" s="40">
        <f t="shared" si="0"/>
        <v>4808</v>
      </c>
    </row>
    <row r="47" spans="1:11" ht="16">
      <c r="A47" s="41" t="s">
        <v>125</v>
      </c>
      <c r="B47" s="13" t="s">
        <v>126</v>
      </c>
      <c r="C47" s="40">
        <v>12494</v>
      </c>
      <c r="D47" s="45">
        <v>45769</v>
      </c>
      <c r="K47" s="40">
        <f t="shared" si="0"/>
        <v>12494</v>
      </c>
    </row>
    <row r="48" spans="1:11" ht="16">
      <c r="A48" s="41" t="s">
        <v>127</v>
      </c>
      <c r="B48" s="13" t="s">
        <v>128</v>
      </c>
      <c r="C48" s="42"/>
      <c r="D48" s="47"/>
      <c r="K48" s="40">
        <f t="shared" si="0"/>
        <v>0</v>
      </c>
    </row>
    <row r="49" spans="1:11" ht="16">
      <c r="A49" s="41" t="s">
        <v>129</v>
      </c>
      <c r="B49" s="13" t="s">
        <v>130</v>
      </c>
      <c r="C49" s="40">
        <v>10455</v>
      </c>
      <c r="D49" s="45">
        <v>45767</v>
      </c>
      <c r="K49" s="40">
        <f t="shared" si="0"/>
        <v>10455</v>
      </c>
    </row>
    <row r="50" spans="1:11" ht="16">
      <c r="A50" s="41" t="s">
        <v>131</v>
      </c>
      <c r="B50" s="13" t="s">
        <v>132</v>
      </c>
      <c r="C50" s="42">
        <v>5820</v>
      </c>
      <c r="D50" s="47">
        <v>45772</v>
      </c>
      <c r="K50" s="40">
        <f t="shared" si="0"/>
        <v>5820</v>
      </c>
    </row>
    <row r="51" spans="1:11" ht="16">
      <c r="A51" s="41" t="s">
        <v>133</v>
      </c>
      <c r="B51" s="13" t="s">
        <v>134</v>
      </c>
      <c r="C51" s="40">
        <v>5236</v>
      </c>
      <c r="D51" s="45">
        <v>45761</v>
      </c>
      <c r="K51" s="40">
        <f t="shared" si="0"/>
        <v>5236</v>
      </c>
    </row>
    <row r="52" spans="1:11" ht="16">
      <c r="A52" s="41" t="s">
        <v>135</v>
      </c>
      <c r="B52" s="13" t="s">
        <v>136</v>
      </c>
      <c r="C52" s="42">
        <v>4978</v>
      </c>
      <c r="D52" s="43">
        <v>45765</v>
      </c>
      <c r="K52" s="40">
        <f t="shared" si="0"/>
        <v>4978</v>
      </c>
    </row>
    <row r="53" spans="1:11" ht="16">
      <c r="A53" s="41" t="s">
        <v>137</v>
      </c>
      <c r="B53" s="13" t="s">
        <v>138</v>
      </c>
      <c r="C53" s="42">
        <v>10099</v>
      </c>
      <c r="D53" s="43">
        <v>45771</v>
      </c>
      <c r="K53" s="40">
        <f t="shared" si="0"/>
        <v>10099</v>
      </c>
    </row>
    <row r="54" spans="1:11" ht="16">
      <c r="A54" s="41" t="s">
        <v>139</v>
      </c>
      <c r="B54" s="13" t="s">
        <v>140</v>
      </c>
      <c r="C54" s="42">
        <v>4996</v>
      </c>
      <c r="D54" s="43">
        <v>45761</v>
      </c>
      <c r="K54" s="40">
        <f t="shared" si="0"/>
        <v>4996</v>
      </c>
    </row>
    <row r="55" spans="1:11" ht="16">
      <c r="A55" s="41" t="s">
        <v>141</v>
      </c>
      <c r="B55" s="13" t="s">
        <v>142</v>
      </c>
      <c r="C55" s="48">
        <v>4864</v>
      </c>
      <c r="D55" s="44">
        <v>45750</v>
      </c>
      <c r="E55" s="40">
        <v>5499</v>
      </c>
      <c r="F55" s="45">
        <v>45776</v>
      </c>
      <c r="K55" s="40">
        <f t="shared" si="0"/>
        <v>10363</v>
      </c>
    </row>
    <row r="56" spans="1:11" ht="16">
      <c r="A56" s="41" t="s">
        <v>143</v>
      </c>
      <c r="B56" s="13" t="s">
        <v>144</v>
      </c>
      <c r="C56" s="42"/>
      <c r="D56" s="43"/>
      <c r="K56" s="40">
        <f t="shared" si="0"/>
        <v>0</v>
      </c>
    </row>
    <row r="57" spans="1:11" ht="16">
      <c r="A57" s="41" t="s">
        <v>145</v>
      </c>
      <c r="B57" s="13" t="s">
        <v>146</v>
      </c>
      <c r="C57" s="40">
        <v>10568</v>
      </c>
      <c r="D57" s="45">
        <v>45768</v>
      </c>
      <c r="F57" s="45"/>
      <c r="K57" s="40">
        <f t="shared" si="0"/>
        <v>10568</v>
      </c>
    </row>
    <row r="58" spans="1:11" ht="16">
      <c r="A58" s="41" t="s">
        <v>147</v>
      </c>
      <c r="B58" s="13" t="s">
        <v>148</v>
      </c>
      <c r="C58" s="40">
        <v>5255</v>
      </c>
      <c r="D58" s="49">
        <v>45762</v>
      </c>
      <c r="K58" s="40">
        <f t="shared" si="0"/>
        <v>5255</v>
      </c>
    </row>
    <row r="59" spans="1:11" ht="16">
      <c r="A59" s="41" t="s">
        <v>149</v>
      </c>
      <c r="B59" s="13" t="s">
        <v>36</v>
      </c>
      <c r="C59" s="42">
        <v>5754</v>
      </c>
      <c r="D59" s="43">
        <v>45768</v>
      </c>
      <c r="K59" s="40">
        <f t="shared" si="0"/>
        <v>5754</v>
      </c>
    </row>
    <row r="60" spans="1:11" ht="16">
      <c r="A60" s="41" t="s">
        <v>150</v>
      </c>
      <c r="B60" s="13" t="s">
        <v>151</v>
      </c>
      <c r="C60" s="42">
        <v>4809</v>
      </c>
      <c r="D60" s="47">
        <v>45777</v>
      </c>
      <c r="K60" s="40">
        <f t="shared" si="0"/>
        <v>4809</v>
      </c>
    </row>
    <row r="61" spans="1:11" ht="16">
      <c r="A61" s="41" t="s">
        <v>152</v>
      </c>
      <c r="B61" s="13" t="s">
        <v>153</v>
      </c>
      <c r="C61" s="40">
        <v>4668</v>
      </c>
      <c r="D61" s="43">
        <v>45761</v>
      </c>
      <c r="K61" s="40">
        <f t="shared" si="0"/>
        <v>4668</v>
      </c>
    </row>
    <row r="62" spans="1:11" ht="16">
      <c r="A62" s="41" t="s">
        <v>154</v>
      </c>
      <c r="B62" s="13" t="s">
        <v>155</v>
      </c>
      <c r="C62" s="42"/>
      <c r="D62" s="42"/>
      <c r="K62" s="40">
        <f t="shared" si="0"/>
        <v>0</v>
      </c>
    </row>
    <row r="63" spans="1:11" ht="16">
      <c r="A63" s="41" t="s">
        <v>156</v>
      </c>
      <c r="B63" s="13" t="s">
        <v>157</v>
      </c>
      <c r="C63" s="48">
        <v>6065</v>
      </c>
      <c r="D63" s="44">
        <v>45753</v>
      </c>
      <c r="K63" s="40">
        <f t="shared" si="0"/>
        <v>6065</v>
      </c>
    </row>
    <row r="64" spans="1:11" ht="16">
      <c r="A64" s="41" t="s">
        <v>158</v>
      </c>
      <c r="B64" s="13" t="s">
        <v>159</v>
      </c>
      <c r="C64" s="42">
        <v>5359</v>
      </c>
      <c r="D64" s="47">
        <v>45766</v>
      </c>
      <c r="K64" s="40">
        <f t="shared" si="0"/>
        <v>5359</v>
      </c>
    </row>
    <row r="65" spans="1:27" ht="16">
      <c r="A65" s="41" t="s">
        <v>160</v>
      </c>
      <c r="B65" s="13" t="s">
        <v>161</v>
      </c>
      <c r="C65" s="42">
        <v>9775</v>
      </c>
      <c r="D65" s="47">
        <v>45777</v>
      </c>
      <c r="K65" s="40">
        <f t="shared" si="0"/>
        <v>9775</v>
      </c>
    </row>
    <row r="66" spans="1:27">
      <c r="A66" s="50" t="s">
        <v>162</v>
      </c>
      <c r="B66" s="51"/>
      <c r="C66" s="51"/>
      <c r="D66" s="51"/>
      <c r="E66" s="51"/>
      <c r="F66" s="51"/>
      <c r="G66" s="51"/>
      <c r="H66" s="51"/>
      <c r="I66" s="51"/>
      <c r="J66" s="51"/>
      <c r="K66" s="51">
        <f>SUM(K2:K65)</f>
        <v>327195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70" spans="1:27">
      <c r="A70" s="36"/>
    </row>
    <row r="71" spans="1:27">
      <c r="A71" s="36"/>
    </row>
    <row r="72" spans="1:27">
      <c r="A72" s="41"/>
    </row>
    <row r="73" spans="1:27">
      <c r="A73" s="41"/>
    </row>
    <row r="74" spans="1:27">
      <c r="A74" s="41"/>
    </row>
    <row r="75" spans="1:27">
      <c r="A75" s="41"/>
    </row>
    <row r="76" spans="1:27">
      <c r="A76" s="41"/>
    </row>
    <row r="77" spans="1:27">
      <c r="A77" s="41"/>
    </row>
    <row r="78" spans="1:27">
      <c r="A78" s="41"/>
    </row>
    <row r="79" spans="1:27">
      <c r="A79" s="41"/>
    </row>
    <row r="80" spans="1:27">
      <c r="A80" s="41"/>
    </row>
    <row r="81" spans="1:1">
      <c r="A81" s="41"/>
    </row>
    <row r="82" spans="1:1">
      <c r="A82" s="41"/>
    </row>
    <row r="83" spans="1:1">
      <c r="A83" s="41"/>
    </row>
    <row r="84" spans="1:1">
      <c r="A84" s="41"/>
    </row>
    <row r="85" spans="1:1">
      <c r="A85" s="41"/>
    </row>
    <row r="86" spans="1:1">
      <c r="A86" s="41"/>
    </row>
    <row r="87" spans="1:1">
      <c r="A87" s="41"/>
    </row>
    <row r="88" spans="1:1">
      <c r="A88" s="41"/>
    </row>
    <row r="89" spans="1:1">
      <c r="A89" s="41"/>
    </row>
    <row r="90" spans="1:1">
      <c r="A90" s="41"/>
    </row>
    <row r="91" spans="1:1">
      <c r="A91" s="41"/>
    </row>
    <row r="92" spans="1:1">
      <c r="A92" s="41"/>
    </row>
    <row r="93" spans="1:1">
      <c r="A93" s="41"/>
    </row>
    <row r="94" spans="1:1">
      <c r="A94" s="41"/>
    </row>
    <row r="95" spans="1:1">
      <c r="A95" s="41"/>
    </row>
    <row r="96" spans="1:1">
      <c r="A96" s="41"/>
    </row>
    <row r="97" spans="1:1">
      <c r="A97" s="41"/>
    </row>
    <row r="98" spans="1:1">
      <c r="A98" s="41"/>
    </row>
    <row r="99" spans="1:1">
      <c r="A99" s="41"/>
    </row>
    <row r="100" spans="1:1">
      <c r="A100" s="41"/>
    </row>
    <row r="101" spans="1:1">
      <c r="A101" s="41"/>
    </row>
    <row r="102" spans="1:1">
      <c r="A102" s="41"/>
    </row>
    <row r="103" spans="1:1">
      <c r="A103" s="41"/>
    </row>
    <row r="104" spans="1:1">
      <c r="A104" s="41"/>
    </row>
    <row r="105" spans="1:1">
      <c r="A105" s="41"/>
    </row>
    <row r="106" spans="1:1">
      <c r="A106" s="41"/>
    </row>
    <row r="107" spans="1:1">
      <c r="A107" s="41"/>
    </row>
    <row r="108" spans="1:1">
      <c r="A108" s="41"/>
    </row>
    <row r="109" spans="1:1">
      <c r="A109" s="41"/>
    </row>
    <row r="110" spans="1:1">
      <c r="A110" s="41"/>
    </row>
    <row r="111" spans="1:1">
      <c r="A111" s="41"/>
    </row>
    <row r="112" spans="1:1">
      <c r="A112" s="41"/>
    </row>
    <row r="113" spans="1:1">
      <c r="A113" s="41"/>
    </row>
    <row r="114" spans="1:1">
      <c r="A114" s="41"/>
    </row>
    <row r="115" spans="1:1">
      <c r="A115" s="41"/>
    </row>
    <row r="116" spans="1:1">
      <c r="A116" s="41"/>
    </row>
    <row r="117" spans="1:1">
      <c r="A117" s="41"/>
    </row>
    <row r="118" spans="1:1">
      <c r="A118" s="41"/>
    </row>
    <row r="119" spans="1:1">
      <c r="A119" s="41"/>
    </row>
    <row r="120" spans="1:1">
      <c r="A120" s="41"/>
    </row>
    <row r="121" spans="1:1">
      <c r="A121" s="41"/>
    </row>
    <row r="122" spans="1:1">
      <c r="A122" s="41"/>
    </row>
    <row r="123" spans="1:1">
      <c r="A123" s="41"/>
    </row>
    <row r="124" spans="1:1">
      <c r="A124" s="41"/>
    </row>
    <row r="125" spans="1:1">
      <c r="A125" s="41"/>
    </row>
    <row r="126" spans="1:1">
      <c r="A126" s="41"/>
    </row>
    <row r="127" spans="1:1">
      <c r="A127" s="41"/>
    </row>
    <row r="128" spans="1:1">
      <c r="A128" s="41"/>
    </row>
    <row r="129" spans="1:1">
      <c r="A129" s="41"/>
    </row>
    <row r="130" spans="1:1">
      <c r="A130" s="41"/>
    </row>
    <row r="131" spans="1:1">
      <c r="A131" s="41"/>
    </row>
    <row r="132" spans="1:1">
      <c r="A132" s="41"/>
    </row>
    <row r="133" spans="1:1">
      <c r="A133" s="41"/>
    </row>
    <row r="134" spans="1:1">
      <c r="A134" s="41"/>
    </row>
    <row r="135" spans="1:1">
      <c r="A135" s="41"/>
    </row>
    <row r="136" spans="1:1">
      <c r="A136" s="41"/>
    </row>
    <row r="137" spans="1:1">
      <c r="A137" s="41"/>
    </row>
    <row r="138" spans="1:1">
      <c r="A138" s="41"/>
    </row>
    <row r="139" spans="1:1">
      <c r="A139" s="52"/>
    </row>
    <row r="143" spans="1:1">
      <c r="A143" s="36"/>
    </row>
    <row r="144" spans="1:1">
      <c r="A144" s="36"/>
    </row>
    <row r="145" spans="1:1">
      <c r="A145" s="41"/>
    </row>
    <row r="146" spans="1:1">
      <c r="A146" s="41"/>
    </row>
    <row r="147" spans="1:1">
      <c r="A147" s="41"/>
    </row>
    <row r="148" spans="1:1">
      <c r="A148" s="41"/>
    </row>
    <row r="149" spans="1:1">
      <c r="A149" s="41"/>
    </row>
    <row r="150" spans="1:1">
      <c r="A150" s="41"/>
    </row>
    <row r="151" spans="1:1">
      <c r="A151" s="41"/>
    </row>
    <row r="152" spans="1:1">
      <c r="A152" s="41"/>
    </row>
    <row r="153" spans="1:1">
      <c r="A153" s="41"/>
    </row>
    <row r="154" spans="1:1">
      <c r="A154" s="41"/>
    </row>
    <row r="155" spans="1:1">
      <c r="A155" s="41"/>
    </row>
    <row r="156" spans="1:1">
      <c r="A156" s="41"/>
    </row>
    <row r="157" spans="1:1">
      <c r="A157" s="41"/>
    </row>
    <row r="158" spans="1:1">
      <c r="A158" s="41"/>
    </row>
    <row r="159" spans="1:1">
      <c r="A159" s="41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1"/>
    </row>
    <row r="207" spans="1:1">
      <c r="A207" s="41"/>
    </row>
    <row r="208" spans="1:1">
      <c r="A208" s="41"/>
    </row>
    <row r="209" spans="1:1">
      <c r="A209" s="41"/>
    </row>
    <row r="210" spans="1:1">
      <c r="A210" s="41"/>
    </row>
    <row r="211" spans="1:1">
      <c r="A211" s="41"/>
    </row>
    <row r="212" spans="1:1">
      <c r="A212" s="52"/>
    </row>
    <row r="216" spans="1:1">
      <c r="A216" s="36"/>
    </row>
    <row r="217" spans="1:1">
      <c r="A217" s="36"/>
    </row>
    <row r="218" spans="1:1">
      <c r="A218" s="41"/>
    </row>
    <row r="219" spans="1:1">
      <c r="A219" s="41"/>
    </row>
    <row r="220" spans="1:1">
      <c r="A220" s="41"/>
    </row>
    <row r="221" spans="1:1">
      <c r="A221" s="41"/>
    </row>
    <row r="222" spans="1:1">
      <c r="A222" s="41"/>
    </row>
    <row r="223" spans="1:1">
      <c r="A223" s="41"/>
    </row>
    <row r="224" spans="1:1">
      <c r="A224" s="41"/>
    </row>
    <row r="225" spans="1:1">
      <c r="A225" s="41"/>
    </row>
    <row r="226" spans="1:1">
      <c r="A226" s="41"/>
    </row>
    <row r="227" spans="1:1">
      <c r="A227" s="41"/>
    </row>
    <row r="228" spans="1:1">
      <c r="A228" s="41"/>
    </row>
    <row r="229" spans="1:1">
      <c r="A229" s="41"/>
    </row>
    <row r="230" spans="1:1">
      <c r="A230" s="41"/>
    </row>
    <row r="231" spans="1:1">
      <c r="A231" s="41"/>
    </row>
    <row r="232" spans="1:1">
      <c r="A232" s="41"/>
    </row>
    <row r="233" spans="1:1">
      <c r="A233" s="41"/>
    </row>
    <row r="234" spans="1:1">
      <c r="A234" s="41"/>
    </row>
    <row r="235" spans="1:1">
      <c r="A235" s="41"/>
    </row>
    <row r="236" spans="1:1">
      <c r="A236" s="41"/>
    </row>
    <row r="237" spans="1:1">
      <c r="A237" s="41"/>
    </row>
    <row r="238" spans="1:1">
      <c r="A238" s="41"/>
    </row>
    <row r="239" spans="1:1">
      <c r="A239" s="41"/>
    </row>
    <row r="240" spans="1:1">
      <c r="A240" s="41"/>
    </row>
    <row r="241" spans="1:1">
      <c r="A241" s="41"/>
    </row>
    <row r="242" spans="1:1">
      <c r="A242" s="41"/>
    </row>
    <row r="243" spans="1:1">
      <c r="A243" s="41"/>
    </row>
    <row r="244" spans="1:1">
      <c r="A244" s="41"/>
    </row>
    <row r="245" spans="1:1">
      <c r="A245" s="41"/>
    </row>
    <row r="246" spans="1:1">
      <c r="A246" s="41"/>
    </row>
    <row r="247" spans="1:1">
      <c r="A247" s="41"/>
    </row>
    <row r="248" spans="1:1">
      <c r="A248" s="41"/>
    </row>
    <row r="249" spans="1:1">
      <c r="A249" s="41"/>
    </row>
    <row r="250" spans="1:1">
      <c r="A250" s="41"/>
    </row>
    <row r="251" spans="1:1">
      <c r="A251" s="41"/>
    </row>
    <row r="252" spans="1:1">
      <c r="A252" s="41"/>
    </row>
    <row r="253" spans="1:1">
      <c r="A253" s="41"/>
    </row>
    <row r="254" spans="1:1">
      <c r="A254" s="41"/>
    </row>
    <row r="255" spans="1:1">
      <c r="A255" s="41"/>
    </row>
    <row r="256" spans="1:1">
      <c r="A256" s="41"/>
    </row>
    <row r="257" spans="1:1">
      <c r="A257" s="41"/>
    </row>
    <row r="258" spans="1:1">
      <c r="A258" s="41"/>
    </row>
    <row r="259" spans="1:1">
      <c r="A259" s="41"/>
    </row>
    <row r="260" spans="1:1">
      <c r="A260" s="41"/>
    </row>
    <row r="261" spans="1:1">
      <c r="A261" s="41"/>
    </row>
    <row r="262" spans="1:1">
      <c r="A262" s="41"/>
    </row>
    <row r="263" spans="1:1">
      <c r="A263" s="41"/>
    </row>
    <row r="264" spans="1:1">
      <c r="A264" s="41"/>
    </row>
    <row r="265" spans="1:1">
      <c r="A265" s="41"/>
    </row>
    <row r="266" spans="1:1">
      <c r="A266" s="41"/>
    </row>
    <row r="267" spans="1:1">
      <c r="A267" s="41"/>
    </row>
    <row r="268" spans="1:1">
      <c r="A268" s="41"/>
    </row>
    <row r="269" spans="1:1">
      <c r="A269" s="41"/>
    </row>
    <row r="270" spans="1:1">
      <c r="A270" s="41"/>
    </row>
    <row r="271" spans="1:1">
      <c r="A271" s="41"/>
    </row>
    <row r="272" spans="1:1">
      <c r="A272" s="41"/>
    </row>
    <row r="273" spans="1:1">
      <c r="A273" s="41"/>
    </row>
    <row r="274" spans="1:1">
      <c r="A274" s="41"/>
    </row>
    <row r="275" spans="1:1">
      <c r="A275" s="41"/>
    </row>
    <row r="276" spans="1:1">
      <c r="A276" s="41"/>
    </row>
    <row r="277" spans="1:1">
      <c r="A277" s="41"/>
    </row>
    <row r="278" spans="1:1">
      <c r="A278" s="41"/>
    </row>
    <row r="279" spans="1:1">
      <c r="A279" s="41"/>
    </row>
    <row r="280" spans="1:1">
      <c r="A280" s="41"/>
    </row>
    <row r="281" spans="1:1">
      <c r="A281" s="41"/>
    </row>
    <row r="282" spans="1:1">
      <c r="A282" s="41"/>
    </row>
    <row r="283" spans="1:1">
      <c r="A283" s="41"/>
    </row>
    <row r="284" spans="1:1">
      <c r="A284" s="41"/>
    </row>
    <row r="285" spans="1:1">
      <c r="A285" s="52"/>
    </row>
    <row r="289" spans="1:1">
      <c r="A289" s="36"/>
    </row>
    <row r="290" spans="1:1">
      <c r="A290" s="36"/>
    </row>
    <row r="291" spans="1:1">
      <c r="A291" s="41"/>
    </row>
    <row r="292" spans="1:1">
      <c r="A292" s="41"/>
    </row>
    <row r="293" spans="1:1">
      <c r="A293" s="41"/>
    </row>
    <row r="294" spans="1:1">
      <c r="A294" s="41"/>
    </row>
    <row r="295" spans="1:1">
      <c r="A295" s="41"/>
    </row>
    <row r="296" spans="1:1">
      <c r="A296" s="41"/>
    </row>
    <row r="297" spans="1:1">
      <c r="A297" s="41"/>
    </row>
    <row r="298" spans="1:1">
      <c r="A298" s="41"/>
    </row>
    <row r="299" spans="1:1">
      <c r="A299" s="41"/>
    </row>
    <row r="300" spans="1:1">
      <c r="A300" s="41"/>
    </row>
    <row r="301" spans="1:1">
      <c r="A301" s="41"/>
    </row>
    <row r="302" spans="1:1">
      <c r="A302" s="41"/>
    </row>
    <row r="303" spans="1:1">
      <c r="A303" s="41"/>
    </row>
    <row r="304" spans="1:1">
      <c r="A304" s="41"/>
    </row>
    <row r="305" spans="1:1">
      <c r="A305" s="41"/>
    </row>
    <row r="306" spans="1:1">
      <c r="A306" s="41"/>
    </row>
    <row r="307" spans="1:1">
      <c r="A307" s="41"/>
    </row>
    <row r="308" spans="1:1">
      <c r="A308" s="41"/>
    </row>
    <row r="309" spans="1:1">
      <c r="A309" s="41"/>
    </row>
    <row r="310" spans="1:1">
      <c r="A310" s="41"/>
    </row>
    <row r="311" spans="1:1">
      <c r="A311" s="41"/>
    </row>
    <row r="312" spans="1:1">
      <c r="A312" s="41"/>
    </row>
    <row r="313" spans="1:1">
      <c r="A313" s="41"/>
    </row>
    <row r="314" spans="1:1">
      <c r="A314" s="41"/>
    </row>
    <row r="315" spans="1:1">
      <c r="A315" s="41"/>
    </row>
    <row r="316" spans="1:1">
      <c r="A316" s="41"/>
    </row>
    <row r="317" spans="1:1">
      <c r="A317" s="41"/>
    </row>
    <row r="318" spans="1:1">
      <c r="A318" s="41"/>
    </row>
    <row r="319" spans="1:1">
      <c r="A319" s="41"/>
    </row>
    <row r="320" spans="1:1">
      <c r="A320" s="41"/>
    </row>
    <row r="321" spans="1:1">
      <c r="A321" s="41"/>
    </row>
    <row r="322" spans="1:1">
      <c r="A322" s="41"/>
    </row>
    <row r="323" spans="1:1">
      <c r="A323" s="41"/>
    </row>
    <row r="324" spans="1:1">
      <c r="A324" s="41"/>
    </row>
    <row r="325" spans="1:1">
      <c r="A325" s="41"/>
    </row>
    <row r="326" spans="1:1">
      <c r="A326" s="41"/>
    </row>
    <row r="327" spans="1:1">
      <c r="A327" s="41"/>
    </row>
    <row r="328" spans="1:1">
      <c r="A328" s="41"/>
    </row>
    <row r="329" spans="1:1">
      <c r="A329" s="41"/>
    </row>
    <row r="330" spans="1:1">
      <c r="A330" s="41"/>
    </row>
    <row r="331" spans="1:1">
      <c r="A331" s="41"/>
    </row>
    <row r="332" spans="1:1">
      <c r="A332" s="41"/>
    </row>
    <row r="333" spans="1:1">
      <c r="A333" s="41"/>
    </row>
    <row r="334" spans="1:1">
      <c r="A334" s="41"/>
    </row>
    <row r="335" spans="1:1">
      <c r="A335" s="41"/>
    </row>
    <row r="336" spans="1:1">
      <c r="A336" s="41"/>
    </row>
    <row r="337" spans="1:1">
      <c r="A337" s="41"/>
    </row>
    <row r="338" spans="1:1">
      <c r="A338" s="41"/>
    </row>
    <row r="339" spans="1:1">
      <c r="A339" s="41"/>
    </row>
    <row r="340" spans="1:1">
      <c r="A340" s="41"/>
    </row>
    <row r="341" spans="1:1">
      <c r="A341" s="41"/>
    </row>
    <row r="342" spans="1:1">
      <c r="A342" s="41"/>
    </row>
    <row r="343" spans="1:1">
      <c r="A343" s="41"/>
    </row>
    <row r="344" spans="1:1">
      <c r="A344" s="41"/>
    </row>
    <row r="345" spans="1:1">
      <c r="A345" s="41"/>
    </row>
    <row r="346" spans="1:1">
      <c r="A346" s="41"/>
    </row>
    <row r="347" spans="1:1">
      <c r="A347" s="41"/>
    </row>
    <row r="348" spans="1:1">
      <c r="A348" s="41"/>
    </row>
    <row r="349" spans="1:1">
      <c r="A349" s="41"/>
    </row>
    <row r="350" spans="1:1">
      <c r="A350" s="41"/>
    </row>
    <row r="351" spans="1:1">
      <c r="A351" s="41"/>
    </row>
    <row r="352" spans="1:1">
      <c r="A352" s="41"/>
    </row>
    <row r="353" spans="1:1">
      <c r="A353" s="41"/>
    </row>
    <row r="354" spans="1:1">
      <c r="A354" s="41"/>
    </row>
    <row r="355" spans="1:1">
      <c r="A355" s="41"/>
    </row>
    <row r="356" spans="1:1">
      <c r="A356" s="41"/>
    </row>
    <row r="357" spans="1:1">
      <c r="A357" s="41"/>
    </row>
    <row r="358" spans="1:1">
      <c r="A358" s="52"/>
    </row>
    <row r="362" spans="1:1">
      <c r="A362" s="36"/>
    </row>
    <row r="363" spans="1:1">
      <c r="A363" s="36"/>
    </row>
    <row r="364" spans="1:1">
      <c r="A364" s="41"/>
    </row>
    <row r="365" spans="1:1">
      <c r="A365" s="41"/>
    </row>
    <row r="366" spans="1:1">
      <c r="A366" s="41"/>
    </row>
    <row r="367" spans="1:1">
      <c r="A367" s="41"/>
    </row>
    <row r="368" spans="1:1">
      <c r="A368" s="41"/>
    </row>
    <row r="369" spans="1:1">
      <c r="A369" s="41"/>
    </row>
    <row r="370" spans="1:1">
      <c r="A370" s="41"/>
    </row>
    <row r="371" spans="1:1">
      <c r="A371" s="41"/>
    </row>
    <row r="372" spans="1:1">
      <c r="A372" s="41"/>
    </row>
    <row r="373" spans="1:1">
      <c r="A373" s="41"/>
    </row>
    <row r="374" spans="1:1">
      <c r="A374" s="41"/>
    </row>
    <row r="375" spans="1:1">
      <c r="A375" s="41"/>
    </row>
    <row r="376" spans="1:1">
      <c r="A376" s="41"/>
    </row>
    <row r="377" spans="1:1">
      <c r="A377" s="41"/>
    </row>
    <row r="378" spans="1:1">
      <c r="A378" s="41"/>
    </row>
    <row r="379" spans="1:1">
      <c r="A379" s="41"/>
    </row>
    <row r="380" spans="1:1">
      <c r="A380" s="41"/>
    </row>
    <row r="381" spans="1:1">
      <c r="A381" s="41"/>
    </row>
    <row r="382" spans="1:1">
      <c r="A382" s="41"/>
    </row>
    <row r="383" spans="1:1">
      <c r="A383" s="41"/>
    </row>
    <row r="384" spans="1:1">
      <c r="A384" s="41"/>
    </row>
    <row r="385" spans="1:1">
      <c r="A385" s="41"/>
    </row>
    <row r="386" spans="1:1">
      <c r="A386" s="41"/>
    </row>
    <row r="387" spans="1:1">
      <c r="A387" s="41"/>
    </row>
    <row r="388" spans="1:1">
      <c r="A388" s="41"/>
    </row>
    <row r="389" spans="1:1">
      <c r="A389" s="41"/>
    </row>
    <row r="390" spans="1:1">
      <c r="A390" s="41"/>
    </row>
    <row r="391" spans="1:1">
      <c r="A391" s="41"/>
    </row>
    <row r="392" spans="1:1">
      <c r="A392" s="41"/>
    </row>
    <row r="393" spans="1:1">
      <c r="A393" s="41"/>
    </row>
    <row r="394" spans="1:1">
      <c r="A394" s="41"/>
    </row>
    <row r="395" spans="1:1">
      <c r="A395" s="41"/>
    </row>
    <row r="396" spans="1:1">
      <c r="A396" s="41"/>
    </row>
    <row r="397" spans="1:1">
      <c r="A397" s="41"/>
    </row>
    <row r="398" spans="1:1">
      <c r="A398" s="41"/>
    </row>
    <row r="399" spans="1:1">
      <c r="A399" s="41"/>
    </row>
    <row r="400" spans="1:1">
      <c r="A400" s="41"/>
    </row>
    <row r="401" spans="1:1">
      <c r="A401" s="41"/>
    </row>
    <row r="402" spans="1:1">
      <c r="A402" s="41"/>
    </row>
    <row r="403" spans="1:1">
      <c r="A403" s="41"/>
    </row>
    <row r="404" spans="1:1">
      <c r="A404" s="41"/>
    </row>
    <row r="405" spans="1:1">
      <c r="A405" s="41"/>
    </row>
    <row r="406" spans="1:1">
      <c r="A406" s="41"/>
    </row>
    <row r="407" spans="1:1">
      <c r="A407" s="41"/>
    </row>
    <row r="408" spans="1:1">
      <c r="A408" s="41"/>
    </row>
    <row r="409" spans="1:1">
      <c r="A409" s="41"/>
    </row>
    <row r="410" spans="1:1">
      <c r="A410" s="41"/>
    </row>
    <row r="411" spans="1:1">
      <c r="A411" s="41"/>
    </row>
    <row r="412" spans="1:1">
      <c r="A412" s="41"/>
    </row>
    <row r="413" spans="1:1">
      <c r="A413" s="41"/>
    </row>
    <row r="414" spans="1:1">
      <c r="A414" s="41"/>
    </row>
    <row r="415" spans="1:1">
      <c r="A415" s="41"/>
    </row>
    <row r="416" spans="1:1">
      <c r="A416" s="41"/>
    </row>
    <row r="417" spans="1:1">
      <c r="A417" s="41"/>
    </row>
    <row r="418" spans="1:1">
      <c r="A418" s="41"/>
    </row>
    <row r="419" spans="1:1">
      <c r="A419" s="41"/>
    </row>
    <row r="420" spans="1:1">
      <c r="A420" s="41"/>
    </row>
    <row r="421" spans="1:1">
      <c r="A421" s="41"/>
    </row>
    <row r="422" spans="1:1">
      <c r="A422" s="41"/>
    </row>
    <row r="423" spans="1:1">
      <c r="A423" s="41"/>
    </row>
    <row r="424" spans="1:1">
      <c r="A424" s="41"/>
    </row>
    <row r="425" spans="1:1">
      <c r="A425" s="41"/>
    </row>
    <row r="426" spans="1:1">
      <c r="A426" s="41"/>
    </row>
    <row r="427" spans="1:1">
      <c r="A427" s="41"/>
    </row>
    <row r="428" spans="1:1">
      <c r="A428" s="41"/>
    </row>
    <row r="429" spans="1:1">
      <c r="A429" s="41"/>
    </row>
    <row r="430" spans="1:1">
      <c r="A430" s="41"/>
    </row>
    <row r="431" spans="1:1">
      <c r="A431" s="52"/>
    </row>
    <row r="435" spans="1:1">
      <c r="A435" s="36"/>
    </row>
    <row r="436" spans="1:1">
      <c r="A436" s="36"/>
    </row>
    <row r="437" spans="1:1">
      <c r="A437" s="41"/>
    </row>
    <row r="438" spans="1:1">
      <c r="A438" s="41"/>
    </row>
    <row r="439" spans="1:1">
      <c r="A439" s="41"/>
    </row>
    <row r="440" spans="1:1">
      <c r="A440" s="41"/>
    </row>
    <row r="441" spans="1:1">
      <c r="A441" s="41"/>
    </row>
    <row r="442" spans="1:1">
      <c r="A442" s="41"/>
    </row>
    <row r="443" spans="1:1">
      <c r="A443" s="41"/>
    </row>
    <row r="444" spans="1:1">
      <c r="A444" s="41"/>
    </row>
    <row r="445" spans="1:1">
      <c r="A445" s="41"/>
    </row>
    <row r="446" spans="1:1">
      <c r="A446" s="41"/>
    </row>
    <row r="447" spans="1:1">
      <c r="A447" s="41"/>
    </row>
    <row r="448" spans="1:1">
      <c r="A448" s="41"/>
    </row>
    <row r="449" spans="1:1">
      <c r="A449" s="41"/>
    </row>
    <row r="450" spans="1:1">
      <c r="A450" s="41"/>
    </row>
    <row r="451" spans="1:1">
      <c r="A451" s="41"/>
    </row>
    <row r="452" spans="1:1">
      <c r="A452" s="41"/>
    </row>
    <row r="453" spans="1:1">
      <c r="A453" s="41"/>
    </row>
    <row r="454" spans="1:1">
      <c r="A454" s="41"/>
    </row>
    <row r="455" spans="1:1">
      <c r="A455" s="41"/>
    </row>
    <row r="456" spans="1:1">
      <c r="A456" s="41"/>
    </row>
    <row r="457" spans="1:1">
      <c r="A457" s="41"/>
    </row>
    <row r="458" spans="1:1">
      <c r="A458" s="41"/>
    </row>
    <row r="459" spans="1:1">
      <c r="A459" s="41"/>
    </row>
    <row r="460" spans="1:1">
      <c r="A460" s="41"/>
    </row>
    <row r="461" spans="1:1">
      <c r="A461" s="41"/>
    </row>
    <row r="462" spans="1:1">
      <c r="A462" s="41"/>
    </row>
    <row r="463" spans="1:1">
      <c r="A463" s="41"/>
    </row>
    <row r="464" spans="1:1">
      <c r="A464" s="41"/>
    </row>
    <row r="465" spans="1:1">
      <c r="A465" s="41"/>
    </row>
    <row r="466" spans="1:1">
      <c r="A466" s="41"/>
    </row>
    <row r="467" spans="1:1">
      <c r="A467" s="41"/>
    </row>
    <row r="468" spans="1:1">
      <c r="A468" s="41"/>
    </row>
    <row r="469" spans="1:1">
      <c r="A469" s="41"/>
    </row>
    <row r="470" spans="1:1">
      <c r="A470" s="41"/>
    </row>
    <row r="471" spans="1:1">
      <c r="A471" s="41"/>
    </row>
    <row r="472" spans="1:1">
      <c r="A472" s="41"/>
    </row>
    <row r="473" spans="1:1">
      <c r="A473" s="41"/>
    </row>
    <row r="474" spans="1:1">
      <c r="A474" s="41"/>
    </row>
    <row r="475" spans="1:1">
      <c r="A475" s="41"/>
    </row>
    <row r="476" spans="1:1">
      <c r="A476" s="41"/>
    </row>
    <row r="477" spans="1:1">
      <c r="A477" s="41"/>
    </row>
    <row r="478" spans="1:1">
      <c r="A478" s="41"/>
    </row>
    <row r="479" spans="1:1">
      <c r="A479" s="41"/>
    </row>
    <row r="480" spans="1:1">
      <c r="A480" s="41"/>
    </row>
    <row r="481" spans="1:1">
      <c r="A481" s="41"/>
    </row>
    <row r="482" spans="1:1">
      <c r="A482" s="41"/>
    </row>
    <row r="483" spans="1:1">
      <c r="A483" s="41"/>
    </row>
    <row r="484" spans="1:1">
      <c r="A484" s="41"/>
    </row>
    <row r="485" spans="1:1">
      <c r="A485" s="41"/>
    </row>
    <row r="486" spans="1:1">
      <c r="A486" s="41"/>
    </row>
    <row r="487" spans="1:1">
      <c r="A487" s="41"/>
    </row>
    <row r="488" spans="1:1">
      <c r="A488" s="41"/>
    </row>
    <row r="489" spans="1:1">
      <c r="A489" s="41"/>
    </row>
    <row r="490" spans="1:1">
      <c r="A490" s="41"/>
    </row>
    <row r="491" spans="1:1">
      <c r="A491" s="41"/>
    </row>
    <row r="492" spans="1:1">
      <c r="A492" s="41"/>
    </row>
    <row r="493" spans="1:1">
      <c r="A493" s="41"/>
    </row>
    <row r="494" spans="1:1">
      <c r="A494" s="41"/>
    </row>
    <row r="495" spans="1:1">
      <c r="A495" s="41"/>
    </row>
    <row r="496" spans="1:1">
      <c r="A496" s="41"/>
    </row>
    <row r="497" spans="1:1">
      <c r="A497" s="41"/>
    </row>
    <row r="498" spans="1:1">
      <c r="A498" s="41"/>
    </row>
    <row r="499" spans="1:1">
      <c r="A499" s="41"/>
    </row>
    <row r="500" spans="1:1">
      <c r="A500" s="41"/>
    </row>
    <row r="501" spans="1:1">
      <c r="A501" s="41"/>
    </row>
    <row r="502" spans="1:1">
      <c r="A502" s="41"/>
    </row>
    <row r="503" spans="1:1">
      <c r="A503" s="41"/>
    </row>
    <row r="504" spans="1:1">
      <c r="A504" s="52"/>
    </row>
    <row r="508" spans="1:1">
      <c r="A508" s="36"/>
    </row>
    <row r="509" spans="1:1">
      <c r="A509" s="36"/>
    </row>
    <row r="510" spans="1:1">
      <c r="A510" s="41"/>
    </row>
    <row r="511" spans="1:1">
      <c r="A511" s="41"/>
    </row>
    <row r="512" spans="1:1">
      <c r="A512" s="41"/>
    </row>
    <row r="513" spans="1:1">
      <c r="A513" s="41"/>
    </row>
    <row r="514" spans="1:1">
      <c r="A514" s="41"/>
    </row>
    <row r="515" spans="1:1">
      <c r="A515" s="41"/>
    </row>
    <row r="516" spans="1:1">
      <c r="A516" s="41"/>
    </row>
    <row r="517" spans="1:1">
      <c r="A517" s="41"/>
    </row>
    <row r="518" spans="1:1">
      <c r="A518" s="41"/>
    </row>
    <row r="519" spans="1:1">
      <c r="A519" s="41"/>
    </row>
    <row r="520" spans="1:1">
      <c r="A520" s="41"/>
    </row>
    <row r="521" spans="1:1">
      <c r="A521" s="41"/>
    </row>
    <row r="522" spans="1:1">
      <c r="A522" s="41"/>
    </row>
    <row r="523" spans="1:1">
      <c r="A523" s="41"/>
    </row>
    <row r="524" spans="1:1">
      <c r="A524" s="41"/>
    </row>
    <row r="525" spans="1:1">
      <c r="A525" s="41"/>
    </row>
    <row r="526" spans="1:1">
      <c r="A526" s="41"/>
    </row>
    <row r="527" spans="1:1">
      <c r="A527" s="41"/>
    </row>
    <row r="528" spans="1:1">
      <c r="A528" s="41"/>
    </row>
    <row r="529" spans="1:1">
      <c r="A529" s="41"/>
    </row>
    <row r="530" spans="1:1">
      <c r="A530" s="41"/>
    </row>
    <row r="531" spans="1:1">
      <c r="A531" s="41"/>
    </row>
    <row r="532" spans="1:1">
      <c r="A532" s="41"/>
    </row>
    <row r="533" spans="1:1">
      <c r="A533" s="41"/>
    </row>
    <row r="534" spans="1:1">
      <c r="A534" s="41"/>
    </row>
    <row r="535" spans="1:1">
      <c r="A535" s="41"/>
    </row>
    <row r="536" spans="1:1">
      <c r="A536" s="41"/>
    </row>
    <row r="537" spans="1:1">
      <c r="A537" s="41"/>
    </row>
    <row r="538" spans="1:1">
      <c r="A538" s="41"/>
    </row>
    <row r="539" spans="1:1">
      <c r="A539" s="41"/>
    </row>
    <row r="540" spans="1:1">
      <c r="A540" s="41"/>
    </row>
    <row r="541" spans="1:1">
      <c r="A541" s="41"/>
    </row>
    <row r="542" spans="1:1">
      <c r="A542" s="41"/>
    </row>
    <row r="543" spans="1:1">
      <c r="A543" s="41"/>
    </row>
    <row r="544" spans="1:1">
      <c r="A544" s="41"/>
    </row>
    <row r="545" spans="1:1">
      <c r="A545" s="41"/>
    </row>
    <row r="546" spans="1:1">
      <c r="A546" s="41"/>
    </row>
    <row r="547" spans="1:1">
      <c r="A547" s="41"/>
    </row>
    <row r="548" spans="1:1">
      <c r="A548" s="41"/>
    </row>
    <row r="549" spans="1:1">
      <c r="A549" s="41"/>
    </row>
    <row r="550" spans="1:1">
      <c r="A550" s="41"/>
    </row>
    <row r="551" spans="1:1">
      <c r="A551" s="41"/>
    </row>
    <row r="552" spans="1:1">
      <c r="A552" s="41"/>
    </row>
    <row r="553" spans="1:1">
      <c r="A553" s="41"/>
    </row>
    <row r="554" spans="1:1">
      <c r="A554" s="41"/>
    </row>
    <row r="555" spans="1:1">
      <c r="A555" s="41"/>
    </row>
    <row r="556" spans="1:1">
      <c r="A556" s="41"/>
    </row>
    <row r="557" spans="1:1">
      <c r="A557" s="41"/>
    </row>
    <row r="558" spans="1:1">
      <c r="A558" s="41"/>
    </row>
    <row r="559" spans="1:1">
      <c r="A559" s="41"/>
    </row>
    <row r="560" spans="1:1">
      <c r="A560" s="41"/>
    </row>
    <row r="561" spans="1:1">
      <c r="A561" s="41"/>
    </row>
    <row r="562" spans="1:1">
      <c r="A562" s="41"/>
    </row>
    <row r="563" spans="1:1">
      <c r="A563" s="41"/>
    </row>
    <row r="564" spans="1:1">
      <c r="A564" s="41"/>
    </row>
    <row r="565" spans="1:1">
      <c r="A565" s="41"/>
    </row>
    <row r="566" spans="1:1">
      <c r="A566" s="41"/>
    </row>
    <row r="567" spans="1:1">
      <c r="A567" s="41"/>
    </row>
    <row r="568" spans="1:1">
      <c r="A568" s="41"/>
    </row>
    <row r="569" spans="1:1">
      <c r="A569" s="41"/>
    </row>
    <row r="570" spans="1:1">
      <c r="A570" s="41"/>
    </row>
    <row r="571" spans="1:1">
      <c r="A571" s="41"/>
    </row>
    <row r="572" spans="1:1">
      <c r="A572" s="41"/>
    </row>
    <row r="573" spans="1:1">
      <c r="A573" s="41"/>
    </row>
    <row r="574" spans="1:1">
      <c r="A574" s="41"/>
    </row>
    <row r="575" spans="1:1">
      <c r="A575" s="41"/>
    </row>
    <row r="576" spans="1:1">
      <c r="A576" s="41"/>
    </row>
    <row r="577" spans="1:1">
      <c r="A577" s="52"/>
    </row>
    <row r="581" spans="1:1">
      <c r="A581" s="36"/>
    </row>
    <row r="582" spans="1:1">
      <c r="A582" s="36"/>
    </row>
    <row r="583" spans="1:1">
      <c r="A583" s="41"/>
    </row>
    <row r="584" spans="1:1">
      <c r="A584" s="41"/>
    </row>
    <row r="585" spans="1:1">
      <c r="A585" s="41"/>
    </row>
    <row r="586" spans="1:1">
      <c r="A586" s="41"/>
    </row>
    <row r="587" spans="1:1">
      <c r="A587" s="41"/>
    </row>
    <row r="588" spans="1:1">
      <c r="A588" s="41"/>
    </row>
    <row r="589" spans="1:1">
      <c r="A589" s="41"/>
    </row>
    <row r="590" spans="1:1">
      <c r="A590" s="41"/>
    </row>
    <row r="591" spans="1:1">
      <c r="A591" s="41"/>
    </row>
    <row r="592" spans="1:1">
      <c r="A592" s="41"/>
    </row>
    <row r="593" spans="1:1">
      <c r="A593" s="41"/>
    </row>
    <row r="594" spans="1:1">
      <c r="A594" s="41"/>
    </row>
    <row r="595" spans="1:1">
      <c r="A595" s="41"/>
    </row>
    <row r="596" spans="1:1">
      <c r="A596" s="41"/>
    </row>
    <row r="597" spans="1:1">
      <c r="A597" s="41"/>
    </row>
    <row r="598" spans="1:1">
      <c r="A598" s="41"/>
    </row>
    <row r="599" spans="1:1">
      <c r="A599" s="41"/>
    </row>
    <row r="600" spans="1:1">
      <c r="A600" s="41"/>
    </row>
    <row r="601" spans="1:1">
      <c r="A601" s="41"/>
    </row>
    <row r="602" spans="1:1">
      <c r="A602" s="41"/>
    </row>
    <row r="603" spans="1:1">
      <c r="A603" s="41"/>
    </row>
    <row r="604" spans="1:1">
      <c r="A604" s="41"/>
    </row>
    <row r="605" spans="1:1">
      <c r="A605" s="41"/>
    </row>
    <row r="606" spans="1:1">
      <c r="A606" s="41"/>
    </row>
    <row r="607" spans="1:1">
      <c r="A607" s="41"/>
    </row>
    <row r="608" spans="1:1">
      <c r="A608" s="41"/>
    </row>
    <row r="609" spans="1:1">
      <c r="A609" s="41"/>
    </row>
    <row r="610" spans="1:1">
      <c r="A610" s="41"/>
    </row>
    <row r="611" spans="1:1">
      <c r="A611" s="41"/>
    </row>
    <row r="612" spans="1:1">
      <c r="A612" s="41"/>
    </row>
    <row r="613" spans="1:1">
      <c r="A613" s="41"/>
    </row>
    <row r="614" spans="1:1">
      <c r="A614" s="41"/>
    </row>
    <row r="615" spans="1:1">
      <c r="A615" s="41"/>
    </row>
    <row r="616" spans="1:1">
      <c r="A616" s="41"/>
    </row>
    <row r="617" spans="1:1">
      <c r="A617" s="41"/>
    </row>
    <row r="618" spans="1:1">
      <c r="A618" s="41"/>
    </row>
    <row r="619" spans="1:1">
      <c r="A619" s="41"/>
    </row>
    <row r="620" spans="1:1">
      <c r="A620" s="41"/>
    </row>
    <row r="621" spans="1:1">
      <c r="A621" s="41"/>
    </row>
    <row r="622" spans="1:1">
      <c r="A622" s="41"/>
    </row>
    <row r="623" spans="1:1">
      <c r="A623" s="41"/>
    </row>
    <row r="624" spans="1:1">
      <c r="A624" s="41"/>
    </row>
    <row r="625" spans="1:1">
      <c r="A625" s="41"/>
    </row>
    <row r="626" spans="1:1">
      <c r="A626" s="41"/>
    </row>
    <row r="627" spans="1:1">
      <c r="A627" s="41"/>
    </row>
    <row r="628" spans="1:1">
      <c r="A628" s="41"/>
    </row>
    <row r="629" spans="1:1">
      <c r="A629" s="41"/>
    </row>
    <row r="630" spans="1:1">
      <c r="A630" s="41"/>
    </row>
    <row r="631" spans="1:1">
      <c r="A631" s="41"/>
    </row>
    <row r="632" spans="1:1">
      <c r="A632" s="41"/>
    </row>
    <row r="633" spans="1:1">
      <c r="A633" s="41"/>
    </row>
    <row r="634" spans="1:1">
      <c r="A634" s="41"/>
    </row>
    <row r="635" spans="1:1">
      <c r="A635" s="41"/>
    </row>
    <row r="636" spans="1:1">
      <c r="A636" s="41"/>
    </row>
    <row r="637" spans="1:1">
      <c r="A637" s="41"/>
    </row>
    <row r="638" spans="1:1">
      <c r="A638" s="41"/>
    </row>
    <row r="639" spans="1:1">
      <c r="A639" s="41"/>
    </row>
    <row r="640" spans="1:1">
      <c r="A640" s="41"/>
    </row>
    <row r="641" spans="1:1">
      <c r="A641" s="41"/>
    </row>
    <row r="642" spans="1:1">
      <c r="A642" s="41"/>
    </row>
    <row r="643" spans="1:1">
      <c r="A643" s="41"/>
    </row>
    <row r="644" spans="1:1">
      <c r="A644" s="41"/>
    </row>
    <row r="645" spans="1:1">
      <c r="A645" s="41"/>
    </row>
    <row r="646" spans="1:1">
      <c r="A646" s="41"/>
    </row>
    <row r="647" spans="1:1">
      <c r="A647" s="41"/>
    </row>
    <row r="648" spans="1:1">
      <c r="A648" s="41"/>
    </row>
    <row r="649" spans="1:1">
      <c r="A649" s="41"/>
    </row>
    <row r="650" spans="1:1">
      <c r="A650" s="52"/>
    </row>
    <row r="654" spans="1:1">
      <c r="A654" s="36"/>
    </row>
    <row r="655" spans="1:1">
      <c r="A655" s="36"/>
    </row>
    <row r="656" spans="1:1">
      <c r="A656" s="41"/>
    </row>
    <row r="657" spans="1:1">
      <c r="A657" s="41"/>
    </row>
    <row r="658" spans="1:1">
      <c r="A658" s="41"/>
    </row>
    <row r="659" spans="1:1">
      <c r="A659" s="41"/>
    </row>
    <row r="660" spans="1:1">
      <c r="A660" s="41"/>
    </row>
    <row r="661" spans="1:1">
      <c r="A661" s="41"/>
    </row>
    <row r="662" spans="1:1">
      <c r="A662" s="41"/>
    </row>
    <row r="663" spans="1:1">
      <c r="A663" s="41"/>
    </row>
    <row r="664" spans="1:1">
      <c r="A664" s="41"/>
    </row>
    <row r="665" spans="1:1">
      <c r="A665" s="41"/>
    </row>
    <row r="666" spans="1:1">
      <c r="A666" s="41"/>
    </row>
    <row r="667" spans="1:1">
      <c r="A667" s="41"/>
    </row>
    <row r="668" spans="1:1">
      <c r="A668" s="41"/>
    </row>
    <row r="669" spans="1:1">
      <c r="A669" s="41"/>
    </row>
    <row r="670" spans="1:1">
      <c r="A670" s="41"/>
    </row>
    <row r="671" spans="1:1">
      <c r="A671" s="41"/>
    </row>
    <row r="672" spans="1:1">
      <c r="A672" s="41"/>
    </row>
    <row r="673" spans="1:1">
      <c r="A673" s="41"/>
    </row>
    <row r="674" spans="1:1">
      <c r="A674" s="41"/>
    </row>
    <row r="675" spans="1:1">
      <c r="A675" s="41"/>
    </row>
    <row r="676" spans="1:1">
      <c r="A676" s="41"/>
    </row>
    <row r="677" spans="1:1">
      <c r="A677" s="41"/>
    </row>
    <row r="678" spans="1:1">
      <c r="A678" s="41"/>
    </row>
    <row r="679" spans="1:1">
      <c r="A679" s="41"/>
    </row>
    <row r="680" spans="1:1">
      <c r="A680" s="41"/>
    </row>
    <row r="681" spans="1:1">
      <c r="A681" s="41"/>
    </row>
    <row r="682" spans="1:1">
      <c r="A682" s="41"/>
    </row>
    <row r="683" spans="1:1">
      <c r="A683" s="41"/>
    </row>
    <row r="684" spans="1:1">
      <c r="A684" s="41"/>
    </row>
    <row r="685" spans="1:1">
      <c r="A685" s="41"/>
    </row>
    <row r="686" spans="1:1">
      <c r="A686" s="41"/>
    </row>
    <row r="687" spans="1:1">
      <c r="A687" s="41"/>
    </row>
    <row r="688" spans="1:1">
      <c r="A688" s="41"/>
    </row>
    <row r="689" spans="1:1">
      <c r="A689" s="41"/>
    </row>
    <row r="690" spans="1:1">
      <c r="A690" s="41"/>
    </row>
    <row r="691" spans="1:1">
      <c r="A691" s="41"/>
    </row>
    <row r="692" spans="1:1">
      <c r="A692" s="41"/>
    </row>
    <row r="693" spans="1:1">
      <c r="A693" s="41"/>
    </row>
    <row r="694" spans="1:1">
      <c r="A694" s="41"/>
    </row>
    <row r="695" spans="1:1">
      <c r="A695" s="41"/>
    </row>
    <row r="696" spans="1:1">
      <c r="A696" s="41"/>
    </row>
    <row r="697" spans="1:1">
      <c r="A697" s="41"/>
    </row>
    <row r="698" spans="1:1">
      <c r="A698" s="41"/>
    </row>
    <row r="699" spans="1:1">
      <c r="A699" s="41"/>
    </row>
    <row r="700" spans="1:1">
      <c r="A700" s="41"/>
    </row>
    <row r="701" spans="1:1">
      <c r="A701" s="41"/>
    </row>
    <row r="702" spans="1:1">
      <c r="A702" s="41"/>
    </row>
    <row r="703" spans="1:1">
      <c r="A703" s="41"/>
    </row>
    <row r="704" spans="1:1">
      <c r="A704" s="41"/>
    </row>
    <row r="705" spans="1:1">
      <c r="A705" s="41"/>
    </row>
    <row r="706" spans="1:1">
      <c r="A706" s="41"/>
    </row>
    <row r="707" spans="1:1">
      <c r="A707" s="41"/>
    </row>
    <row r="708" spans="1:1">
      <c r="A708" s="41"/>
    </row>
    <row r="709" spans="1:1">
      <c r="A709" s="41"/>
    </row>
    <row r="710" spans="1:1">
      <c r="A710" s="41"/>
    </row>
    <row r="711" spans="1:1">
      <c r="A711" s="41"/>
    </row>
    <row r="712" spans="1:1">
      <c r="A712" s="41"/>
    </row>
    <row r="713" spans="1:1">
      <c r="A713" s="41"/>
    </row>
    <row r="714" spans="1:1">
      <c r="A714" s="41"/>
    </row>
    <row r="715" spans="1:1">
      <c r="A715" s="41"/>
    </row>
    <row r="716" spans="1:1">
      <c r="A716" s="41"/>
    </row>
    <row r="717" spans="1:1">
      <c r="A717" s="41"/>
    </row>
    <row r="718" spans="1:1">
      <c r="A718" s="41"/>
    </row>
    <row r="719" spans="1:1">
      <c r="A719" s="41"/>
    </row>
    <row r="720" spans="1:1">
      <c r="A720" s="41"/>
    </row>
    <row r="721" spans="1:1">
      <c r="A721" s="41"/>
    </row>
    <row r="722" spans="1:1">
      <c r="A722" s="41"/>
    </row>
    <row r="723" spans="1:1">
      <c r="A723" s="52"/>
    </row>
    <row r="727" spans="1:1">
      <c r="A727" s="36"/>
    </row>
    <row r="728" spans="1:1">
      <c r="A728" s="36"/>
    </row>
    <row r="729" spans="1:1">
      <c r="A729" s="41"/>
    </row>
    <row r="730" spans="1:1">
      <c r="A730" s="41"/>
    </row>
    <row r="731" spans="1:1">
      <c r="A731" s="41"/>
    </row>
    <row r="732" spans="1:1">
      <c r="A732" s="41"/>
    </row>
    <row r="733" spans="1:1">
      <c r="A733" s="41"/>
    </row>
    <row r="734" spans="1:1">
      <c r="A734" s="41"/>
    </row>
    <row r="735" spans="1:1">
      <c r="A735" s="41"/>
    </row>
    <row r="736" spans="1:1">
      <c r="A736" s="41"/>
    </row>
    <row r="737" spans="1:1">
      <c r="A737" s="41"/>
    </row>
    <row r="738" spans="1:1">
      <c r="A738" s="41"/>
    </row>
    <row r="739" spans="1:1">
      <c r="A739" s="41"/>
    </row>
    <row r="740" spans="1:1">
      <c r="A740" s="41"/>
    </row>
    <row r="741" spans="1:1">
      <c r="A741" s="41"/>
    </row>
    <row r="742" spans="1:1">
      <c r="A742" s="41"/>
    </row>
    <row r="743" spans="1:1">
      <c r="A743" s="41"/>
    </row>
    <row r="744" spans="1:1">
      <c r="A744" s="41"/>
    </row>
    <row r="745" spans="1:1">
      <c r="A745" s="41"/>
    </row>
    <row r="746" spans="1:1">
      <c r="A746" s="41"/>
    </row>
    <row r="747" spans="1:1">
      <c r="A747" s="41"/>
    </row>
    <row r="748" spans="1:1">
      <c r="A748" s="41"/>
    </row>
    <row r="749" spans="1:1">
      <c r="A749" s="41"/>
    </row>
    <row r="750" spans="1:1">
      <c r="A750" s="41"/>
    </row>
    <row r="751" spans="1:1">
      <c r="A751" s="41"/>
    </row>
    <row r="752" spans="1:1">
      <c r="A752" s="41"/>
    </row>
    <row r="753" spans="1:1">
      <c r="A753" s="41"/>
    </row>
    <row r="754" spans="1:1">
      <c r="A754" s="41"/>
    </row>
    <row r="755" spans="1:1">
      <c r="A755" s="41"/>
    </row>
    <row r="756" spans="1:1">
      <c r="A756" s="41"/>
    </row>
    <row r="757" spans="1:1">
      <c r="A757" s="41"/>
    </row>
    <row r="758" spans="1:1">
      <c r="A758" s="41"/>
    </row>
    <row r="759" spans="1:1">
      <c r="A759" s="41"/>
    </row>
    <row r="760" spans="1:1">
      <c r="A760" s="41"/>
    </row>
    <row r="761" spans="1:1">
      <c r="A761" s="41"/>
    </row>
    <row r="762" spans="1:1">
      <c r="A762" s="41"/>
    </row>
    <row r="763" spans="1:1">
      <c r="A763" s="41"/>
    </row>
    <row r="764" spans="1:1">
      <c r="A764" s="41"/>
    </row>
    <row r="765" spans="1:1">
      <c r="A765" s="41"/>
    </row>
    <row r="766" spans="1:1">
      <c r="A766" s="41"/>
    </row>
    <row r="767" spans="1:1">
      <c r="A767" s="41"/>
    </row>
    <row r="768" spans="1:1">
      <c r="A768" s="41"/>
    </row>
    <row r="769" spans="1:1">
      <c r="A769" s="41"/>
    </row>
    <row r="770" spans="1:1">
      <c r="A770" s="41"/>
    </row>
    <row r="771" spans="1:1">
      <c r="A771" s="41"/>
    </row>
    <row r="772" spans="1:1">
      <c r="A772" s="41"/>
    </row>
    <row r="773" spans="1:1">
      <c r="A773" s="41"/>
    </row>
    <row r="774" spans="1:1">
      <c r="A774" s="41"/>
    </row>
    <row r="775" spans="1:1">
      <c r="A775" s="41"/>
    </row>
    <row r="776" spans="1:1">
      <c r="A776" s="41"/>
    </row>
    <row r="777" spans="1:1">
      <c r="A777" s="41"/>
    </row>
    <row r="778" spans="1:1">
      <c r="A778" s="41"/>
    </row>
    <row r="779" spans="1:1">
      <c r="A779" s="41"/>
    </row>
    <row r="780" spans="1:1">
      <c r="A780" s="41"/>
    </row>
    <row r="781" spans="1:1">
      <c r="A781" s="41"/>
    </row>
    <row r="782" spans="1:1">
      <c r="A782" s="41"/>
    </row>
    <row r="783" spans="1:1">
      <c r="A783" s="41"/>
    </row>
    <row r="784" spans="1:1">
      <c r="A784" s="41"/>
    </row>
    <row r="785" spans="1:1">
      <c r="A785" s="41"/>
    </row>
    <row r="786" spans="1:1">
      <c r="A786" s="41"/>
    </row>
    <row r="787" spans="1:1">
      <c r="A787" s="41"/>
    </row>
    <row r="788" spans="1:1">
      <c r="A788" s="41"/>
    </row>
    <row r="789" spans="1:1">
      <c r="A789" s="41"/>
    </row>
    <row r="790" spans="1:1">
      <c r="A790" s="41"/>
    </row>
    <row r="791" spans="1:1">
      <c r="A791" s="41"/>
    </row>
    <row r="792" spans="1:1">
      <c r="A792" s="41"/>
    </row>
    <row r="793" spans="1:1">
      <c r="A793" s="41"/>
    </row>
    <row r="794" spans="1:1">
      <c r="A794" s="41"/>
    </row>
    <row r="795" spans="1:1">
      <c r="A795" s="41"/>
    </row>
    <row r="796" spans="1:1">
      <c r="A796" s="52"/>
    </row>
    <row r="800" spans="1:1">
      <c r="A800" s="36"/>
    </row>
    <row r="801" spans="1:1">
      <c r="A801" s="36"/>
    </row>
    <row r="802" spans="1:1">
      <c r="A802" s="41"/>
    </row>
    <row r="803" spans="1:1">
      <c r="A803" s="41"/>
    </row>
    <row r="804" spans="1:1">
      <c r="A804" s="41"/>
    </row>
    <row r="805" spans="1:1">
      <c r="A805" s="41"/>
    </row>
    <row r="806" spans="1:1">
      <c r="A806" s="41"/>
    </row>
    <row r="807" spans="1:1">
      <c r="A807" s="41"/>
    </row>
    <row r="808" spans="1:1">
      <c r="A808" s="41"/>
    </row>
    <row r="809" spans="1:1">
      <c r="A809" s="41"/>
    </row>
    <row r="810" spans="1:1">
      <c r="A810" s="41"/>
    </row>
    <row r="811" spans="1:1">
      <c r="A811" s="41"/>
    </row>
    <row r="812" spans="1:1">
      <c r="A812" s="41"/>
    </row>
    <row r="813" spans="1:1">
      <c r="A813" s="41"/>
    </row>
    <row r="814" spans="1:1">
      <c r="A814" s="41"/>
    </row>
    <row r="815" spans="1:1">
      <c r="A815" s="41"/>
    </row>
    <row r="816" spans="1:1">
      <c r="A816" s="41"/>
    </row>
    <row r="817" spans="1:1">
      <c r="A817" s="41"/>
    </row>
    <row r="818" spans="1:1">
      <c r="A818" s="41"/>
    </row>
    <row r="819" spans="1:1">
      <c r="A819" s="41"/>
    </row>
    <row r="820" spans="1:1">
      <c r="A820" s="41"/>
    </row>
    <row r="821" spans="1:1">
      <c r="A821" s="41"/>
    </row>
    <row r="822" spans="1:1">
      <c r="A822" s="41"/>
    </row>
    <row r="823" spans="1:1">
      <c r="A823" s="41"/>
    </row>
    <row r="824" spans="1:1">
      <c r="A824" s="41"/>
    </row>
    <row r="825" spans="1:1">
      <c r="A825" s="41"/>
    </row>
    <row r="826" spans="1:1">
      <c r="A826" s="41"/>
    </row>
    <row r="827" spans="1:1">
      <c r="A827" s="41"/>
    </row>
    <row r="828" spans="1:1">
      <c r="A828" s="41"/>
    </row>
    <row r="829" spans="1:1">
      <c r="A829" s="41"/>
    </row>
    <row r="830" spans="1:1">
      <c r="A830" s="41"/>
    </row>
    <row r="831" spans="1:1">
      <c r="A831" s="41"/>
    </row>
    <row r="832" spans="1:1">
      <c r="A832" s="41"/>
    </row>
    <row r="833" spans="1:1">
      <c r="A833" s="41"/>
    </row>
    <row r="834" spans="1:1">
      <c r="A834" s="41"/>
    </row>
    <row r="835" spans="1:1">
      <c r="A835" s="41"/>
    </row>
    <row r="836" spans="1:1">
      <c r="A836" s="41"/>
    </row>
    <row r="837" spans="1:1">
      <c r="A837" s="41"/>
    </row>
    <row r="838" spans="1:1">
      <c r="A838" s="41"/>
    </row>
    <row r="839" spans="1:1">
      <c r="A839" s="41"/>
    </row>
    <row r="840" spans="1:1">
      <c r="A840" s="41"/>
    </row>
    <row r="841" spans="1:1">
      <c r="A841" s="41"/>
    </row>
    <row r="842" spans="1:1">
      <c r="A842" s="41"/>
    </row>
    <row r="843" spans="1:1">
      <c r="A843" s="41"/>
    </row>
    <row r="844" spans="1:1">
      <c r="A844" s="41"/>
    </row>
    <row r="845" spans="1:1">
      <c r="A845" s="41"/>
    </row>
    <row r="846" spans="1:1">
      <c r="A846" s="41"/>
    </row>
    <row r="847" spans="1:1">
      <c r="A847" s="41"/>
    </row>
    <row r="848" spans="1:1">
      <c r="A848" s="41"/>
    </row>
    <row r="849" spans="1:1">
      <c r="A849" s="41"/>
    </row>
    <row r="850" spans="1:1">
      <c r="A850" s="41"/>
    </row>
    <row r="851" spans="1:1">
      <c r="A851" s="41"/>
    </row>
    <row r="852" spans="1:1">
      <c r="A852" s="41"/>
    </row>
    <row r="853" spans="1:1">
      <c r="A853" s="41"/>
    </row>
    <row r="854" spans="1:1">
      <c r="A854" s="41"/>
    </row>
    <row r="855" spans="1:1">
      <c r="A855" s="41"/>
    </row>
    <row r="856" spans="1:1">
      <c r="A856" s="41"/>
    </row>
    <row r="857" spans="1:1">
      <c r="A857" s="41"/>
    </row>
    <row r="858" spans="1:1">
      <c r="A858" s="41"/>
    </row>
    <row r="859" spans="1:1">
      <c r="A859" s="41"/>
    </row>
    <row r="860" spans="1:1">
      <c r="A860" s="41"/>
    </row>
    <row r="861" spans="1:1">
      <c r="A861" s="41"/>
    </row>
    <row r="862" spans="1:1">
      <c r="A862" s="41"/>
    </row>
    <row r="863" spans="1:1">
      <c r="A863" s="41"/>
    </row>
    <row r="864" spans="1:1">
      <c r="A864" s="41"/>
    </row>
    <row r="865" spans="1:1">
      <c r="A865" s="41"/>
    </row>
    <row r="866" spans="1:1">
      <c r="A866" s="41"/>
    </row>
    <row r="867" spans="1:1">
      <c r="A867" s="41"/>
    </row>
    <row r="868" spans="1:1">
      <c r="A868" s="41"/>
    </row>
    <row r="869" spans="1:1">
      <c r="A869" s="52"/>
    </row>
    <row r="873" spans="1:1">
      <c r="A873" s="36"/>
    </row>
    <row r="874" spans="1:1">
      <c r="A874" s="36"/>
    </row>
    <row r="875" spans="1:1">
      <c r="A875" s="41"/>
    </row>
    <row r="876" spans="1:1">
      <c r="A876" s="41"/>
    </row>
    <row r="877" spans="1:1">
      <c r="A877" s="41"/>
    </row>
    <row r="878" spans="1:1">
      <c r="A878" s="41"/>
    </row>
    <row r="879" spans="1:1">
      <c r="A879" s="41"/>
    </row>
    <row r="880" spans="1:1">
      <c r="A880" s="41"/>
    </row>
    <row r="881" spans="1:1">
      <c r="A881" s="41"/>
    </row>
    <row r="882" spans="1:1">
      <c r="A882" s="41"/>
    </row>
    <row r="883" spans="1:1">
      <c r="A883" s="41"/>
    </row>
    <row r="884" spans="1:1">
      <c r="A884" s="41"/>
    </row>
    <row r="885" spans="1:1">
      <c r="A885" s="41"/>
    </row>
    <row r="886" spans="1:1">
      <c r="A886" s="41"/>
    </row>
    <row r="887" spans="1:1">
      <c r="A887" s="41"/>
    </row>
    <row r="888" spans="1:1">
      <c r="A888" s="41"/>
    </row>
    <row r="889" spans="1:1">
      <c r="A889" s="41"/>
    </row>
    <row r="890" spans="1:1">
      <c r="A890" s="41"/>
    </row>
    <row r="891" spans="1:1">
      <c r="A891" s="41"/>
    </row>
    <row r="892" spans="1:1">
      <c r="A892" s="41"/>
    </row>
    <row r="893" spans="1:1">
      <c r="A893" s="41"/>
    </row>
    <row r="894" spans="1:1">
      <c r="A894" s="41"/>
    </row>
    <row r="895" spans="1:1">
      <c r="A895" s="41"/>
    </row>
    <row r="896" spans="1:1">
      <c r="A896" s="41"/>
    </row>
    <row r="897" spans="1:1">
      <c r="A897" s="41"/>
    </row>
    <row r="898" spans="1:1">
      <c r="A898" s="41"/>
    </row>
    <row r="899" spans="1:1">
      <c r="A899" s="41"/>
    </row>
    <row r="900" spans="1:1">
      <c r="A900" s="41"/>
    </row>
    <row r="901" spans="1:1">
      <c r="A901" s="41"/>
    </row>
    <row r="902" spans="1:1">
      <c r="A902" s="41"/>
    </row>
    <row r="903" spans="1:1">
      <c r="A903" s="41"/>
    </row>
    <row r="904" spans="1:1">
      <c r="A904" s="41"/>
    </row>
    <row r="905" spans="1:1">
      <c r="A905" s="41"/>
    </row>
    <row r="906" spans="1:1">
      <c r="A906" s="41"/>
    </row>
    <row r="907" spans="1:1">
      <c r="A907" s="41"/>
    </row>
    <row r="908" spans="1:1">
      <c r="A908" s="41"/>
    </row>
    <row r="909" spans="1:1">
      <c r="A909" s="41"/>
    </row>
    <row r="910" spans="1:1">
      <c r="A910" s="41"/>
    </row>
    <row r="911" spans="1:1">
      <c r="A911" s="41"/>
    </row>
    <row r="912" spans="1:1">
      <c r="A912" s="41"/>
    </row>
    <row r="913" spans="1:1">
      <c r="A913" s="41"/>
    </row>
    <row r="914" spans="1:1">
      <c r="A914" s="41"/>
    </row>
    <row r="915" spans="1:1">
      <c r="A915" s="41"/>
    </row>
    <row r="916" spans="1:1">
      <c r="A916" s="41"/>
    </row>
    <row r="917" spans="1:1">
      <c r="A917" s="41"/>
    </row>
    <row r="918" spans="1:1">
      <c r="A918" s="41"/>
    </row>
    <row r="919" spans="1:1">
      <c r="A919" s="41"/>
    </row>
    <row r="920" spans="1:1">
      <c r="A920" s="41"/>
    </row>
    <row r="921" spans="1:1">
      <c r="A921" s="41"/>
    </row>
    <row r="922" spans="1:1">
      <c r="A922" s="41"/>
    </row>
    <row r="923" spans="1:1">
      <c r="A923" s="41"/>
    </row>
    <row r="924" spans="1:1">
      <c r="A924" s="41"/>
    </row>
    <row r="925" spans="1:1">
      <c r="A925" s="41"/>
    </row>
    <row r="926" spans="1:1">
      <c r="A926" s="41"/>
    </row>
    <row r="927" spans="1:1">
      <c r="A927" s="41"/>
    </row>
    <row r="928" spans="1:1">
      <c r="A928" s="41"/>
    </row>
    <row r="929" spans="1:1">
      <c r="A929" s="41"/>
    </row>
    <row r="930" spans="1:1">
      <c r="A930" s="41"/>
    </row>
    <row r="931" spans="1:1">
      <c r="A931" s="41"/>
    </row>
    <row r="932" spans="1:1">
      <c r="A932" s="41"/>
    </row>
    <row r="933" spans="1:1">
      <c r="A933" s="41"/>
    </row>
    <row r="934" spans="1:1">
      <c r="A934" s="41"/>
    </row>
    <row r="935" spans="1:1">
      <c r="A935" s="41"/>
    </row>
    <row r="936" spans="1:1">
      <c r="A936" s="41"/>
    </row>
    <row r="937" spans="1:1">
      <c r="A937" s="41"/>
    </row>
    <row r="938" spans="1:1">
      <c r="A938" s="41"/>
    </row>
    <row r="939" spans="1:1">
      <c r="A939" s="41"/>
    </row>
    <row r="940" spans="1:1">
      <c r="A940" s="41"/>
    </row>
    <row r="941" spans="1:1">
      <c r="A941" s="41"/>
    </row>
    <row r="942" spans="1:1">
      <c r="A942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5" customWidth="1"/>
  </cols>
  <sheetData>
    <row r="1" spans="1:20" ht="18.75" customHeight="1">
      <c r="A1" s="36">
        <v>1</v>
      </c>
      <c r="B1" s="244" t="s">
        <v>167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36" t="s">
        <v>1</v>
      </c>
      <c r="B2" s="41">
        <v>1</v>
      </c>
      <c r="C2" s="36" t="s">
        <v>2</v>
      </c>
      <c r="D2" s="36" t="s">
        <v>168</v>
      </c>
      <c r="E2" s="36" t="s">
        <v>169</v>
      </c>
      <c r="F2" s="36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175</v>
      </c>
      <c r="N2" s="36" t="s">
        <v>176</v>
      </c>
      <c r="O2" s="36" t="s">
        <v>177</v>
      </c>
      <c r="P2" s="36" t="s">
        <v>178</v>
      </c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54" t="s">
        <v>19</v>
      </c>
      <c r="C3" s="9">
        <v>0</v>
      </c>
      <c r="D3" s="55">
        <v>0</v>
      </c>
      <c r="E3" s="17"/>
      <c r="F3" s="17"/>
      <c r="G3" s="55"/>
      <c r="H3" s="55">
        <v>1</v>
      </c>
      <c r="I3" s="55">
        <f>T7</f>
        <v>117.81165900000001</v>
      </c>
      <c r="J3" s="55"/>
      <c r="K3" s="55"/>
      <c r="L3" s="52"/>
      <c r="M3" s="55"/>
      <c r="N3" s="55"/>
      <c r="O3" s="55"/>
      <c r="P3" s="56"/>
      <c r="Q3" s="56"/>
      <c r="R3" s="56"/>
      <c r="S3" s="33"/>
      <c r="T3" s="17"/>
    </row>
    <row r="4" spans="1:20" ht="12.75" customHeight="1">
      <c r="A4" s="41" t="s">
        <v>20</v>
      </c>
      <c r="B4" s="54" t="s">
        <v>19</v>
      </c>
      <c r="C4" s="55">
        <v>0</v>
      </c>
      <c r="D4" s="55">
        <v>0</v>
      </c>
      <c r="E4" s="55"/>
      <c r="F4" s="55"/>
      <c r="G4" s="55"/>
      <c r="H4" s="55">
        <v>1</v>
      </c>
      <c r="I4" s="55">
        <f>T7</f>
        <v>117.81165900000001</v>
      </c>
      <c r="J4" s="55"/>
      <c r="K4" s="55"/>
      <c r="L4" s="57"/>
      <c r="M4" s="55"/>
      <c r="N4" s="55"/>
      <c r="O4" s="55"/>
      <c r="P4" s="56"/>
      <c r="Q4" s="56"/>
      <c r="R4" s="56"/>
      <c r="S4" s="58" t="s">
        <v>21</v>
      </c>
      <c r="T4" s="59">
        <f>'ANNUAL-EXPENSE-DETAILS'!BF4</f>
        <v>234938</v>
      </c>
    </row>
    <row r="5" spans="1:20" ht="12.75" customHeight="1">
      <c r="A5" s="41" t="s">
        <v>22</v>
      </c>
      <c r="B5" s="54" t="s">
        <v>19</v>
      </c>
      <c r="C5" s="9">
        <v>0</v>
      </c>
      <c r="D5" s="55">
        <v>0</v>
      </c>
      <c r="E5" s="55"/>
      <c r="F5" s="55"/>
      <c r="G5" s="55"/>
      <c r="H5" s="55">
        <v>1</v>
      </c>
      <c r="I5" s="55">
        <f>T7</f>
        <v>117.81165900000001</v>
      </c>
      <c r="J5" s="55"/>
      <c r="K5" s="55"/>
      <c r="L5" s="57"/>
      <c r="M5" s="55"/>
      <c r="N5" s="55"/>
      <c r="O5" s="55"/>
      <c r="P5" s="56"/>
      <c r="Q5" s="56"/>
      <c r="R5" s="56"/>
      <c r="S5" s="58" t="s">
        <v>23</v>
      </c>
      <c r="T5" s="59">
        <f>'ANNUAL-EXPENSE-DETAILS'!BE4</f>
        <v>38600</v>
      </c>
    </row>
    <row r="6" spans="1:20" ht="12.75" customHeight="1">
      <c r="A6" s="41" t="s">
        <v>24</v>
      </c>
      <c r="B6" s="13" t="s">
        <v>25</v>
      </c>
      <c r="C6" s="9">
        <v>3713</v>
      </c>
      <c r="D6" s="55">
        <f t="shared" ref="D6:D69" si="0">SUM($C$3:$C$5)/64</f>
        <v>0</v>
      </c>
      <c r="E6" s="55">
        <f t="shared" ref="E6:E69" si="1">C6+D6</f>
        <v>3713</v>
      </c>
      <c r="F6" s="55">
        <f t="shared" ref="F6:F69" si="2">IF($C$70=0, 0, E6/$C$70)</f>
        <v>9.3496421174559807E-3</v>
      </c>
      <c r="G6" s="55">
        <f t="shared" ref="G6:G69" si="3">F6*$T$5</f>
        <v>360.89618573380085</v>
      </c>
      <c r="H6" s="41">
        <v>3</v>
      </c>
      <c r="I6" s="55">
        <f t="shared" ref="I6:I69" si="4">$T$7*H6</f>
        <v>353.434977</v>
      </c>
      <c r="J6" s="55">
        <f t="shared" ref="J6:J69" si="5">G6+$T$9+I6</f>
        <v>719.85358424942592</v>
      </c>
      <c r="K6" s="55">
        <f t="shared" ref="K6:K69" si="6">$T$4/64</f>
        <v>3670.90625</v>
      </c>
      <c r="L6" s="14">
        <v>0</v>
      </c>
      <c r="M6" s="55">
        <v>0</v>
      </c>
      <c r="N6" s="55">
        <v>0</v>
      </c>
      <c r="O6" s="55">
        <v>0</v>
      </c>
      <c r="P6" s="55"/>
      <c r="Q6" s="56"/>
      <c r="R6" s="56">
        <f t="shared" ref="R6:R69" si="7">(SUM(J6:P6)*$B$2)</f>
        <v>4390.7598342494257</v>
      </c>
      <c r="S6" s="60"/>
      <c r="T6" s="17"/>
    </row>
    <row r="7" spans="1:20" ht="12.75" customHeight="1">
      <c r="A7" s="41" t="s">
        <v>26</v>
      </c>
      <c r="B7" s="13" t="s">
        <v>27</v>
      </c>
      <c r="C7" s="9">
        <v>14642</v>
      </c>
      <c r="D7" s="55">
        <f t="shared" si="0"/>
        <v>0</v>
      </c>
      <c r="E7" s="55">
        <f t="shared" si="1"/>
        <v>14642</v>
      </c>
      <c r="F7" s="55">
        <f t="shared" si="2"/>
        <v>3.686977104330473E-2</v>
      </c>
      <c r="G7" s="55">
        <f t="shared" si="3"/>
        <v>1423.1731622715627</v>
      </c>
      <c r="H7" s="41">
        <v>4</v>
      </c>
      <c r="I7" s="55">
        <f t="shared" si="4"/>
        <v>471.24663600000002</v>
      </c>
      <c r="J7" s="55">
        <f t="shared" si="5"/>
        <v>1899.9422197871877</v>
      </c>
      <c r="K7" s="55">
        <f t="shared" si="6"/>
        <v>3670.90625</v>
      </c>
      <c r="L7" s="7">
        <v>0</v>
      </c>
      <c r="M7" s="55">
        <v>0</v>
      </c>
      <c r="N7" s="55">
        <v>0</v>
      </c>
      <c r="O7" s="55">
        <v>0</v>
      </c>
      <c r="P7" s="55"/>
      <c r="Q7" s="56"/>
      <c r="R7" s="56">
        <f t="shared" si="7"/>
        <v>5570.8484697871882</v>
      </c>
      <c r="S7" s="6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11039</v>
      </c>
      <c r="D8" s="55">
        <f t="shared" si="0"/>
        <v>0</v>
      </c>
      <c r="E8" s="55">
        <f t="shared" si="1"/>
        <v>11039</v>
      </c>
      <c r="F8" s="55">
        <f t="shared" si="2"/>
        <v>2.7797118054025471E-2</v>
      </c>
      <c r="G8" s="55">
        <f t="shared" si="3"/>
        <v>1072.9687568853831</v>
      </c>
      <c r="H8" s="41">
        <v>4</v>
      </c>
      <c r="I8" s="55">
        <f t="shared" si="4"/>
        <v>471.24663600000002</v>
      </c>
      <c r="J8" s="55">
        <f t="shared" si="5"/>
        <v>1549.7378144010081</v>
      </c>
      <c r="K8" s="55">
        <f t="shared" si="6"/>
        <v>3670.90625</v>
      </c>
      <c r="L8" s="7">
        <v>750</v>
      </c>
      <c r="M8" s="55">
        <v>0</v>
      </c>
      <c r="N8" s="55">
        <v>0</v>
      </c>
      <c r="O8" s="55">
        <v>0</v>
      </c>
      <c r="P8" s="55"/>
      <c r="Q8" s="56"/>
      <c r="R8" s="56">
        <f t="shared" si="7"/>
        <v>5970.6440644010081</v>
      </c>
      <c r="S8" s="60" t="s">
        <v>181</v>
      </c>
      <c r="T8" s="17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3180</v>
      </c>
      <c r="D9" s="55">
        <f t="shared" si="0"/>
        <v>0</v>
      </c>
      <c r="E9" s="55">
        <f t="shared" si="1"/>
        <v>3180</v>
      </c>
      <c r="F9" s="55">
        <f t="shared" si="2"/>
        <v>8.0075038872906065E-3</v>
      </c>
      <c r="G9" s="55">
        <f t="shared" si="3"/>
        <v>309.0896500494174</v>
      </c>
      <c r="H9" s="41">
        <v>4</v>
      </c>
      <c r="I9" s="55">
        <f t="shared" si="4"/>
        <v>471.24663600000002</v>
      </c>
      <c r="J9" s="55">
        <f t="shared" si="5"/>
        <v>785.85870756504244</v>
      </c>
      <c r="K9" s="55">
        <f t="shared" si="6"/>
        <v>3670.90625</v>
      </c>
      <c r="L9" s="7">
        <v>0</v>
      </c>
      <c r="M9" s="55">
        <v>0</v>
      </c>
      <c r="N9" s="55">
        <v>0</v>
      </c>
      <c r="O9" s="55">
        <v>0</v>
      </c>
      <c r="P9" s="55"/>
      <c r="Q9" s="56"/>
      <c r="R9" s="56">
        <f t="shared" si="7"/>
        <v>4456.7649575650421</v>
      </c>
      <c r="S9" s="58" t="s">
        <v>182</v>
      </c>
      <c r="T9" s="59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94.5</v>
      </c>
      <c r="D10" s="55">
        <f t="shared" si="0"/>
        <v>0</v>
      </c>
      <c r="E10" s="55">
        <f t="shared" si="1"/>
        <v>94.5</v>
      </c>
      <c r="F10" s="55">
        <f t="shared" si="2"/>
        <v>2.3795884193363593E-4</v>
      </c>
      <c r="G10" s="55">
        <f t="shared" si="3"/>
        <v>9.1852112986383467</v>
      </c>
      <c r="H10" s="41">
        <v>3</v>
      </c>
      <c r="I10" s="55">
        <f t="shared" si="4"/>
        <v>353.434977</v>
      </c>
      <c r="J10" s="55">
        <f t="shared" si="5"/>
        <v>368.14260981426332</v>
      </c>
      <c r="K10" s="55">
        <f t="shared" si="6"/>
        <v>3670.90625</v>
      </c>
      <c r="L10" s="7">
        <v>0</v>
      </c>
      <c r="M10" s="55">
        <v>0</v>
      </c>
      <c r="N10" s="55">
        <v>0</v>
      </c>
      <c r="O10" s="55">
        <v>0</v>
      </c>
      <c r="P10" s="55"/>
      <c r="Q10" s="56"/>
      <c r="R10" s="56">
        <f t="shared" si="7"/>
        <v>4039.0488598142633</v>
      </c>
      <c r="S10" s="33"/>
      <c r="T10" s="33"/>
    </row>
    <row r="11" spans="1:20" ht="12.75" customHeight="1">
      <c r="A11" s="41" t="s">
        <v>37</v>
      </c>
      <c r="B11" s="13" t="s">
        <v>38</v>
      </c>
      <c r="C11" s="9">
        <v>3278</v>
      </c>
      <c r="D11" s="55">
        <f t="shared" si="0"/>
        <v>0</v>
      </c>
      <c r="E11" s="55">
        <f t="shared" si="1"/>
        <v>3278</v>
      </c>
      <c r="F11" s="55">
        <f t="shared" si="2"/>
        <v>8.2542760196662283E-3</v>
      </c>
      <c r="G11" s="55">
        <f t="shared" si="3"/>
        <v>318.61505435911641</v>
      </c>
      <c r="H11" s="41">
        <v>3</v>
      </c>
      <c r="I11" s="55">
        <f t="shared" si="4"/>
        <v>353.434977</v>
      </c>
      <c r="J11" s="55">
        <f t="shared" si="5"/>
        <v>677.57245287474143</v>
      </c>
      <c r="K11" s="55">
        <f t="shared" si="6"/>
        <v>3670.90625</v>
      </c>
      <c r="L11" s="7">
        <v>0</v>
      </c>
      <c r="M11" s="55">
        <v>0</v>
      </c>
      <c r="N11" s="55">
        <v>0</v>
      </c>
      <c r="O11" s="55">
        <v>0</v>
      </c>
      <c r="P11" s="55"/>
      <c r="Q11" s="56"/>
      <c r="R11" s="56">
        <f t="shared" si="7"/>
        <v>4348.4787028747414</v>
      </c>
      <c r="S11" s="33"/>
      <c r="T11" s="33"/>
    </row>
    <row r="12" spans="1:20" ht="12.75" customHeight="1">
      <c r="A12" s="41" t="s">
        <v>40</v>
      </c>
      <c r="B12" s="13" t="s">
        <v>41</v>
      </c>
      <c r="C12" s="9">
        <v>384.5</v>
      </c>
      <c r="D12" s="55">
        <f t="shared" si="0"/>
        <v>0</v>
      </c>
      <c r="E12" s="55">
        <f t="shared" si="1"/>
        <v>384.5</v>
      </c>
      <c r="F12" s="55">
        <f t="shared" si="2"/>
        <v>9.6820290712680437E-4</v>
      </c>
      <c r="G12" s="55">
        <f t="shared" si="3"/>
        <v>37.372632215094647</v>
      </c>
      <c r="H12" s="41">
        <v>3</v>
      </c>
      <c r="I12" s="55">
        <f t="shared" si="4"/>
        <v>353.434977</v>
      </c>
      <c r="J12" s="55">
        <f t="shared" si="5"/>
        <v>396.33003073071967</v>
      </c>
      <c r="K12" s="55">
        <f t="shared" si="6"/>
        <v>3670.90625</v>
      </c>
      <c r="L12" s="7">
        <v>750</v>
      </c>
      <c r="M12" s="55">
        <v>0</v>
      </c>
      <c r="N12" s="55">
        <v>0</v>
      </c>
      <c r="O12" s="55">
        <v>0</v>
      </c>
      <c r="P12" s="55"/>
      <c r="Q12" s="56"/>
      <c r="R12" s="56">
        <f t="shared" si="7"/>
        <v>4817.23628073072</v>
      </c>
      <c r="S12" s="61" t="s">
        <v>183</v>
      </c>
      <c r="T12" s="62"/>
    </row>
    <row r="13" spans="1:20" ht="12.75" customHeight="1">
      <c r="A13" s="41" t="s">
        <v>43</v>
      </c>
      <c r="B13" s="13" t="s">
        <v>44</v>
      </c>
      <c r="C13" s="9">
        <v>323</v>
      </c>
      <c r="D13" s="55">
        <f t="shared" si="0"/>
        <v>0</v>
      </c>
      <c r="E13" s="55">
        <f t="shared" si="1"/>
        <v>323</v>
      </c>
      <c r="F13" s="55">
        <f t="shared" si="2"/>
        <v>8.1334080364618417E-4</v>
      </c>
      <c r="G13" s="55">
        <f t="shared" si="3"/>
        <v>31.39495502074271</v>
      </c>
      <c r="H13" s="41">
        <v>3</v>
      </c>
      <c r="I13" s="55">
        <f t="shared" si="4"/>
        <v>353.434977</v>
      </c>
      <c r="J13" s="55">
        <f t="shared" si="5"/>
        <v>390.35235353636773</v>
      </c>
      <c r="K13" s="55">
        <f t="shared" si="6"/>
        <v>3670.90625</v>
      </c>
      <c r="L13" s="7">
        <v>0</v>
      </c>
      <c r="M13" s="55">
        <v>0</v>
      </c>
      <c r="N13" s="55">
        <v>0</v>
      </c>
      <c r="O13" s="55">
        <v>0</v>
      </c>
      <c r="P13" s="55"/>
      <c r="Q13" s="56"/>
      <c r="R13" s="56">
        <f t="shared" si="7"/>
        <v>4061.2586035363679</v>
      </c>
      <c r="S13" s="61" t="s">
        <v>42</v>
      </c>
      <c r="T13" s="63"/>
    </row>
    <row r="14" spans="1:20" ht="12.75" customHeight="1">
      <c r="A14" s="41" t="s">
        <v>46</v>
      </c>
      <c r="B14" s="13" t="s">
        <v>47</v>
      </c>
      <c r="C14" s="9">
        <v>1898.5</v>
      </c>
      <c r="D14" s="55">
        <f t="shared" si="0"/>
        <v>0</v>
      </c>
      <c r="E14" s="55">
        <f t="shared" si="1"/>
        <v>1898.5</v>
      </c>
      <c r="F14" s="55">
        <f t="shared" si="2"/>
        <v>4.7805805440318287E-3</v>
      </c>
      <c r="G14" s="55">
        <f t="shared" si="3"/>
        <v>184.53040899962858</v>
      </c>
      <c r="H14" s="41">
        <v>4</v>
      </c>
      <c r="I14" s="55">
        <f t="shared" si="4"/>
        <v>471.24663600000002</v>
      </c>
      <c r="J14" s="55">
        <f t="shared" si="5"/>
        <v>661.29946651525358</v>
      </c>
      <c r="K14" s="55">
        <f t="shared" si="6"/>
        <v>3670.90625</v>
      </c>
      <c r="L14" s="7">
        <v>0</v>
      </c>
      <c r="M14" s="55">
        <v>0</v>
      </c>
      <c r="N14" s="55">
        <v>0</v>
      </c>
      <c r="O14" s="55">
        <v>0</v>
      </c>
      <c r="P14" s="55"/>
      <c r="Q14" s="56"/>
      <c r="R14" s="56">
        <f t="shared" si="7"/>
        <v>4332.2057165152537</v>
      </c>
      <c r="S14" s="61" t="s">
        <v>45</v>
      </c>
      <c r="T14" s="63"/>
    </row>
    <row r="15" spans="1:20" ht="12.75" customHeight="1">
      <c r="A15" s="41" t="s">
        <v>49</v>
      </c>
      <c r="B15" s="13" t="s">
        <v>50</v>
      </c>
      <c r="C15" s="9">
        <v>2399.5</v>
      </c>
      <c r="D15" s="55">
        <f t="shared" si="0"/>
        <v>0</v>
      </c>
      <c r="E15" s="55">
        <f t="shared" si="1"/>
        <v>2399.5</v>
      </c>
      <c r="F15" s="55">
        <f t="shared" si="2"/>
        <v>6.0421401187276125E-3</v>
      </c>
      <c r="G15" s="55">
        <f t="shared" si="3"/>
        <v>233.22660858288583</v>
      </c>
      <c r="H15" s="41">
        <v>3</v>
      </c>
      <c r="I15" s="55">
        <f t="shared" si="4"/>
        <v>353.434977</v>
      </c>
      <c r="J15" s="55">
        <f t="shared" si="5"/>
        <v>592.18400709851085</v>
      </c>
      <c r="K15" s="55">
        <f t="shared" si="6"/>
        <v>3670.90625</v>
      </c>
      <c r="L15" s="7">
        <v>0</v>
      </c>
      <c r="M15" s="55">
        <v>0</v>
      </c>
      <c r="N15" s="55">
        <v>0</v>
      </c>
      <c r="O15" s="55">
        <v>0</v>
      </c>
      <c r="P15" s="55"/>
      <c r="Q15" s="56"/>
      <c r="R15" s="56">
        <f t="shared" si="7"/>
        <v>4263.0902570985108</v>
      </c>
      <c r="S15" s="40" t="s">
        <v>51</v>
      </c>
    </row>
    <row r="16" spans="1:20" ht="12.75" customHeight="1">
      <c r="A16" s="41" t="s">
        <v>52</v>
      </c>
      <c r="B16" s="13" t="s">
        <v>53</v>
      </c>
      <c r="C16" s="9">
        <v>2663.5</v>
      </c>
      <c r="D16" s="55">
        <f t="shared" si="0"/>
        <v>0</v>
      </c>
      <c r="E16" s="55">
        <f t="shared" si="1"/>
        <v>2663.5</v>
      </c>
      <c r="F16" s="55">
        <f t="shared" si="2"/>
        <v>6.7069140263517381E-3</v>
      </c>
      <c r="G16" s="55">
        <f t="shared" si="3"/>
        <v>258.88688141717711</v>
      </c>
      <c r="H16" s="41">
        <v>3</v>
      </c>
      <c r="I16" s="55">
        <f t="shared" si="4"/>
        <v>353.434977</v>
      </c>
      <c r="J16" s="55">
        <f t="shared" si="5"/>
        <v>617.84427993280212</v>
      </c>
      <c r="K16" s="55">
        <f t="shared" si="6"/>
        <v>3670.90625</v>
      </c>
      <c r="L16" s="7">
        <v>0</v>
      </c>
      <c r="M16" s="55">
        <v>0</v>
      </c>
      <c r="N16" s="55">
        <v>0</v>
      </c>
      <c r="O16" s="55">
        <v>0</v>
      </c>
      <c r="P16" s="55"/>
      <c r="Q16" s="56"/>
      <c r="R16" s="56">
        <f t="shared" si="7"/>
        <v>4288.7505299328022</v>
      </c>
      <c r="S16" s="64" t="s">
        <v>184</v>
      </c>
      <c r="T16" s="65">
        <f>T13-T14</f>
        <v>0</v>
      </c>
    </row>
    <row r="17" spans="1:20" ht="12.75" customHeight="1">
      <c r="A17" s="41" t="s">
        <v>55</v>
      </c>
      <c r="B17" s="13" t="s">
        <v>56</v>
      </c>
      <c r="C17" s="9">
        <v>6.5</v>
      </c>
      <c r="D17" s="55">
        <f t="shared" si="0"/>
        <v>0</v>
      </c>
      <c r="E17" s="55">
        <f t="shared" si="1"/>
        <v>6.5</v>
      </c>
      <c r="F17" s="55">
        <f t="shared" si="2"/>
        <v>1.6367539392260672E-5</v>
      </c>
      <c r="G17" s="55">
        <f t="shared" si="3"/>
        <v>0.6317870205412619</v>
      </c>
      <c r="H17" s="41">
        <v>3</v>
      </c>
      <c r="I17" s="55">
        <f t="shared" si="4"/>
        <v>353.434977</v>
      </c>
      <c r="J17" s="55">
        <f t="shared" si="5"/>
        <v>359.58918553616627</v>
      </c>
      <c r="K17" s="55">
        <f t="shared" si="6"/>
        <v>3670.90625</v>
      </c>
      <c r="L17" s="7">
        <v>0</v>
      </c>
      <c r="M17" s="55">
        <v>0</v>
      </c>
      <c r="N17" s="55">
        <v>0</v>
      </c>
      <c r="O17" s="55">
        <v>0</v>
      </c>
      <c r="P17" s="55"/>
      <c r="Q17" s="56"/>
      <c r="R17" s="56">
        <f t="shared" si="7"/>
        <v>4030.495435536166</v>
      </c>
      <c r="S17" s="66" t="s">
        <v>54</v>
      </c>
      <c r="T17" s="67">
        <f>T12-T15-T16</f>
        <v>0</v>
      </c>
    </row>
    <row r="18" spans="1:20" ht="12.75" customHeight="1">
      <c r="A18" s="41" t="s">
        <v>58</v>
      </c>
      <c r="B18" s="13" t="s">
        <v>59</v>
      </c>
      <c r="C18" s="9">
        <v>11835</v>
      </c>
      <c r="D18" s="55">
        <f t="shared" si="0"/>
        <v>0</v>
      </c>
      <c r="E18" s="55">
        <f t="shared" si="1"/>
        <v>11835</v>
      </c>
      <c r="F18" s="55">
        <f t="shared" si="2"/>
        <v>2.9801512108831547E-2</v>
      </c>
      <c r="G18" s="55">
        <f t="shared" si="3"/>
        <v>1150.3383674008976</v>
      </c>
      <c r="H18" s="41">
        <v>4</v>
      </c>
      <c r="I18" s="55">
        <f t="shared" si="4"/>
        <v>471.24663600000002</v>
      </c>
      <c r="J18" s="55">
        <f t="shared" si="5"/>
        <v>1627.1074249165226</v>
      </c>
      <c r="K18" s="55">
        <f t="shared" si="6"/>
        <v>3670.90625</v>
      </c>
      <c r="L18" s="7">
        <v>0</v>
      </c>
      <c r="M18" s="55">
        <v>0</v>
      </c>
      <c r="N18" s="55">
        <v>1000</v>
      </c>
      <c r="O18" s="55">
        <v>0</v>
      </c>
      <c r="P18" s="55"/>
      <c r="Q18" s="56"/>
      <c r="R18" s="56">
        <f t="shared" si="7"/>
        <v>6298.0136749165231</v>
      </c>
      <c r="S18" s="33" t="s">
        <v>185</v>
      </c>
      <c r="T18" s="17">
        <f>T17-(T4+T5+23830)</f>
        <v>-297368</v>
      </c>
    </row>
    <row r="19" spans="1:20" ht="12.75" customHeight="1">
      <c r="A19" s="41" t="s">
        <v>61</v>
      </c>
      <c r="B19" s="13" t="s">
        <v>62</v>
      </c>
      <c r="C19" s="9">
        <v>169</v>
      </c>
      <c r="D19" s="55">
        <f t="shared" si="0"/>
        <v>0</v>
      </c>
      <c r="E19" s="55">
        <f t="shared" si="1"/>
        <v>169</v>
      </c>
      <c r="F19" s="55">
        <f t="shared" si="2"/>
        <v>4.2555602419877748E-4</v>
      </c>
      <c r="G19" s="55">
        <f t="shared" si="3"/>
        <v>16.426462534072812</v>
      </c>
      <c r="H19" s="41">
        <v>4</v>
      </c>
      <c r="I19" s="55">
        <f t="shared" si="4"/>
        <v>471.24663600000002</v>
      </c>
      <c r="J19" s="55">
        <f t="shared" si="5"/>
        <v>493.19552004969785</v>
      </c>
      <c r="K19" s="55">
        <f t="shared" si="6"/>
        <v>3670.90625</v>
      </c>
      <c r="L19" s="7">
        <v>750</v>
      </c>
      <c r="M19" s="55">
        <v>0</v>
      </c>
      <c r="N19" s="55">
        <v>0</v>
      </c>
      <c r="O19" s="55">
        <v>0</v>
      </c>
      <c r="P19" s="55"/>
      <c r="Q19" s="56"/>
      <c r="R19" s="56">
        <f t="shared" si="7"/>
        <v>4914.1017700496977</v>
      </c>
      <c r="S19" s="68"/>
      <c r="T19" s="68"/>
    </row>
    <row r="20" spans="1:20" ht="12.75" customHeight="1">
      <c r="A20" s="41" t="s">
        <v>63</v>
      </c>
      <c r="B20" s="13" t="s">
        <v>64</v>
      </c>
      <c r="C20" s="9">
        <v>6077</v>
      </c>
      <c r="D20" s="55">
        <f t="shared" si="0"/>
        <v>0</v>
      </c>
      <c r="E20" s="55">
        <f t="shared" si="1"/>
        <v>6077</v>
      </c>
      <c r="F20" s="55">
        <f t="shared" si="2"/>
        <v>1.5302390290272016E-2</v>
      </c>
      <c r="G20" s="55">
        <f t="shared" si="3"/>
        <v>590.67226520449981</v>
      </c>
      <c r="H20" s="41">
        <v>4</v>
      </c>
      <c r="I20" s="55">
        <f t="shared" si="4"/>
        <v>471.24663600000002</v>
      </c>
      <c r="J20" s="55">
        <f t="shared" si="5"/>
        <v>1067.4413227201248</v>
      </c>
      <c r="K20" s="55">
        <f t="shared" si="6"/>
        <v>3670.90625</v>
      </c>
      <c r="L20" s="7">
        <v>750</v>
      </c>
      <c r="M20" s="55">
        <v>0</v>
      </c>
      <c r="N20" s="55">
        <v>0</v>
      </c>
      <c r="O20" s="55">
        <v>0</v>
      </c>
      <c r="P20" s="55"/>
      <c r="Q20" s="56"/>
      <c r="R20" s="56">
        <f t="shared" si="7"/>
        <v>5488.3475727201248</v>
      </c>
      <c r="S20" s="33"/>
      <c r="T20" s="17"/>
    </row>
    <row r="21" spans="1:20" ht="12.75" customHeight="1">
      <c r="A21" s="41" t="s">
        <v>65</v>
      </c>
      <c r="B21" s="13" t="s">
        <v>66</v>
      </c>
      <c r="C21" s="9">
        <v>14053.5</v>
      </c>
      <c r="D21" s="55">
        <f t="shared" si="0"/>
        <v>0</v>
      </c>
      <c r="E21" s="55">
        <f t="shared" si="1"/>
        <v>14053.5</v>
      </c>
      <c r="F21" s="55">
        <f t="shared" si="2"/>
        <v>3.5387879207559286E-2</v>
      </c>
      <c r="G21" s="55">
        <f t="shared" si="3"/>
        <v>1365.9721374117885</v>
      </c>
      <c r="H21" s="41">
        <v>3</v>
      </c>
      <c r="I21" s="55">
        <f t="shared" si="4"/>
        <v>353.434977</v>
      </c>
      <c r="J21" s="55">
        <f t="shared" si="5"/>
        <v>1724.9295359274133</v>
      </c>
      <c r="K21" s="55">
        <f t="shared" si="6"/>
        <v>3670.90625</v>
      </c>
      <c r="L21" s="7">
        <v>0</v>
      </c>
      <c r="M21" s="55">
        <v>0</v>
      </c>
      <c r="N21" s="55">
        <v>0</v>
      </c>
      <c r="O21" s="55">
        <v>0</v>
      </c>
      <c r="P21" s="55"/>
      <c r="Q21" s="56"/>
      <c r="R21" s="56">
        <f t="shared" si="7"/>
        <v>5395.8357859274129</v>
      </c>
      <c r="S21" s="33"/>
      <c r="T21" s="17"/>
    </row>
    <row r="22" spans="1:20" ht="12.75" customHeight="1">
      <c r="A22" s="41" t="s">
        <v>67</v>
      </c>
      <c r="B22" s="13" t="s">
        <v>68</v>
      </c>
      <c r="C22" s="9">
        <v>10047</v>
      </c>
      <c r="D22" s="55">
        <f t="shared" si="0"/>
        <v>0</v>
      </c>
      <c r="E22" s="55">
        <f t="shared" si="1"/>
        <v>10047</v>
      </c>
      <c r="F22" s="55">
        <f t="shared" si="2"/>
        <v>2.5299179734468151E-2</v>
      </c>
      <c r="G22" s="55">
        <f t="shared" si="3"/>
        <v>976.54833775047064</v>
      </c>
      <c r="H22" s="41">
        <v>3</v>
      </c>
      <c r="I22" s="55">
        <f t="shared" si="4"/>
        <v>353.434977</v>
      </c>
      <c r="J22" s="55">
        <f t="shared" si="5"/>
        <v>1335.5057362660955</v>
      </c>
      <c r="K22" s="55">
        <f t="shared" si="6"/>
        <v>3670.90625</v>
      </c>
      <c r="L22" s="7">
        <v>0</v>
      </c>
      <c r="M22" s="55">
        <v>0</v>
      </c>
      <c r="N22" s="55">
        <v>0</v>
      </c>
      <c r="O22" s="55">
        <v>0</v>
      </c>
      <c r="P22" s="55"/>
      <c r="Q22" s="56"/>
      <c r="R22" s="56">
        <f t="shared" si="7"/>
        <v>5006.4119862660955</v>
      </c>
      <c r="S22" s="33"/>
      <c r="T22" s="17"/>
    </row>
    <row r="23" spans="1:20" ht="12.75" customHeight="1">
      <c r="A23" s="41" t="s">
        <v>69</v>
      </c>
      <c r="B23" s="13" t="s">
        <v>70</v>
      </c>
      <c r="C23" s="9">
        <v>10642</v>
      </c>
      <c r="D23" s="55">
        <f t="shared" si="0"/>
        <v>0</v>
      </c>
      <c r="E23" s="55">
        <f t="shared" si="1"/>
        <v>10642</v>
      </c>
      <c r="F23" s="55">
        <f t="shared" si="2"/>
        <v>2.6797439109605858E-2</v>
      </c>
      <c r="G23" s="55">
        <f t="shared" si="3"/>
        <v>1034.3811496307862</v>
      </c>
      <c r="H23" s="41">
        <v>4</v>
      </c>
      <c r="I23" s="55">
        <f t="shared" si="4"/>
        <v>471.24663600000002</v>
      </c>
      <c r="J23" s="55">
        <f t="shared" si="5"/>
        <v>1511.1502071464113</v>
      </c>
      <c r="K23" s="55">
        <f t="shared" si="6"/>
        <v>3670.90625</v>
      </c>
      <c r="L23" s="7">
        <v>0</v>
      </c>
      <c r="M23" s="55">
        <v>0</v>
      </c>
      <c r="N23" s="55">
        <v>0</v>
      </c>
      <c r="O23" s="55">
        <v>0</v>
      </c>
      <c r="P23" s="55"/>
      <c r="Q23" s="56"/>
      <c r="R23" s="56">
        <f t="shared" si="7"/>
        <v>5182.056457146411</v>
      </c>
      <c r="S23" s="33"/>
      <c r="T23" s="17"/>
    </row>
    <row r="24" spans="1:20" ht="12.75" customHeight="1">
      <c r="A24" s="41" t="s">
        <v>71</v>
      </c>
      <c r="B24" s="13" t="s">
        <v>72</v>
      </c>
      <c r="C24" s="9">
        <v>10536.5</v>
      </c>
      <c r="D24" s="55">
        <f t="shared" si="0"/>
        <v>0</v>
      </c>
      <c r="E24" s="55">
        <f t="shared" si="1"/>
        <v>10536.5</v>
      </c>
      <c r="F24" s="55">
        <f t="shared" si="2"/>
        <v>2.6531781354854549E-2</v>
      </c>
      <c r="G24" s="55">
        <f t="shared" si="3"/>
        <v>1024.1267602973855</v>
      </c>
      <c r="H24" s="41">
        <v>4</v>
      </c>
      <c r="I24" s="55">
        <f t="shared" si="4"/>
        <v>471.24663600000002</v>
      </c>
      <c r="J24" s="55">
        <f t="shared" si="5"/>
        <v>1500.8958178130106</v>
      </c>
      <c r="K24" s="55">
        <f t="shared" si="6"/>
        <v>3670.90625</v>
      </c>
      <c r="L24" s="7">
        <v>0</v>
      </c>
      <c r="M24" s="55">
        <v>0</v>
      </c>
      <c r="N24" s="55">
        <v>0</v>
      </c>
      <c r="O24" s="55">
        <v>0</v>
      </c>
      <c r="P24" s="55"/>
      <c r="Q24" s="56"/>
      <c r="R24" s="56">
        <f t="shared" si="7"/>
        <v>5171.8020678130106</v>
      </c>
      <c r="S24" s="33"/>
      <c r="T24" s="17"/>
    </row>
    <row r="25" spans="1:20" ht="12.75" customHeight="1">
      <c r="A25" s="41" t="s">
        <v>73</v>
      </c>
      <c r="B25" s="13" t="s">
        <v>74</v>
      </c>
      <c r="C25" s="9">
        <v>10096</v>
      </c>
      <c r="D25" s="55">
        <f t="shared" si="0"/>
        <v>0</v>
      </c>
      <c r="E25" s="55">
        <f t="shared" si="1"/>
        <v>10096</v>
      </c>
      <c r="F25" s="55">
        <f t="shared" si="2"/>
        <v>2.5422565800655959E-2</v>
      </c>
      <c r="G25" s="55">
        <f t="shared" si="3"/>
        <v>981.31103990532006</v>
      </c>
      <c r="H25" s="41">
        <v>4</v>
      </c>
      <c r="I25" s="55">
        <f t="shared" si="4"/>
        <v>471.24663600000002</v>
      </c>
      <c r="J25" s="55">
        <f t="shared" si="5"/>
        <v>1458.0800974209451</v>
      </c>
      <c r="K25" s="55">
        <f t="shared" si="6"/>
        <v>3670.90625</v>
      </c>
      <c r="L25" s="7">
        <v>0</v>
      </c>
      <c r="M25" s="55">
        <v>0</v>
      </c>
      <c r="N25" s="55">
        <v>0</v>
      </c>
      <c r="O25" s="55">
        <v>0</v>
      </c>
      <c r="P25" s="55"/>
      <c r="Q25" s="56"/>
      <c r="R25" s="56">
        <f t="shared" si="7"/>
        <v>5128.9863474209451</v>
      </c>
      <c r="S25" s="33"/>
      <c r="T25" s="17"/>
    </row>
    <row r="26" spans="1:20" ht="12.75" customHeight="1">
      <c r="A26" s="41" t="s">
        <v>75</v>
      </c>
      <c r="B26" s="13" t="s">
        <v>76</v>
      </c>
      <c r="C26" s="9">
        <v>3222</v>
      </c>
      <c r="D26" s="55">
        <f t="shared" si="0"/>
        <v>0</v>
      </c>
      <c r="E26" s="55">
        <f t="shared" si="1"/>
        <v>3222</v>
      </c>
      <c r="F26" s="55">
        <f t="shared" si="2"/>
        <v>8.1132633725944439E-3</v>
      </c>
      <c r="G26" s="55">
        <f t="shared" si="3"/>
        <v>313.17196618214552</v>
      </c>
      <c r="H26" s="41">
        <v>3</v>
      </c>
      <c r="I26" s="55">
        <f t="shared" si="4"/>
        <v>353.434977</v>
      </c>
      <c r="J26" s="55">
        <f t="shared" si="5"/>
        <v>672.1293646977706</v>
      </c>
      <c r="K26" s="55">
        <f t="shared" si="6"/>
        <v>3670.90625</v>
      </c>
      <c r="L26" s="7">
        <v>0</v>
      </c>
      <c r="M26" s="55">
        <v>0</v>
      </c>
      <c r="N26" s="55">
        <v>0</v>
      </c>
      <c r="O26" s="55">
        <v>0</v>
      </c>
      <c r="P26" s="55"/>
      <c r="Q26" s="56"/>
      <c r="R26" s="56">
        <f t="shared" si="7"/>
        <v>4343.0356146977701</v>
      </c>
      <c r="S26" s="33"/>
      <c r="T26" s="17"/>
    </row>
    <row r="27" spans="1:20" ht="12.75" customHeight="1">
      <c r="A27" s="41" t="s">
        <v>77</v>
      </c>
      <c r="B27" s="13" t="s">
        <v>78</v>
      </c>
      <c r="C27" s="9">
        <v>4532.5</v>
      </c>
      <c r="D27" s="55">
        <f t="shared" si="0"/>
        <v>0</v>
      </c>
      <c r="E27" s="55">
        <f t="shared" si="1"/>
        <v>4532.5</v>
      </c>
      <c r="F27" s="55">
        <f t="shared" si="2"/>
        <v>1.1413211122372537E-2</v>
      </c>
      <c r="G27" s="55">
        <f t="shared" si="3"/>
        <v>440.54994932357994</v>
      </c>
      <c r="H27" s="41">
        <v>3</v>
      </c>
      <c r="I27" s="55">
        <f t="shared" si="4"/>
        <v>353.434977</v>
      </c>
      <c r="J27" s="55">
        <f t="shared" si="5"/>
        <v>799.50734783920495</v>
      </c>
      <c r="K27" s="55">
        <f t="shared" si="6"/>
        <v>3670.90625</v>
      </c>
      <c r="L27" s="7">
        <v>0</v>
      </c>
      <c r="M27" s="55">
        <v>0</v>
      </c>
      <c r="N27" s="55">
        <v>0</v>
      </c>
      <c r="O27" s="55">
        <v>0</v>
      </c>
      <c r="P27" s="55"/>
      <c r="Q27" s="56"/>
      <c r="R27" s="56">
        <f t="shared" si="7"/>
        <v>4470.4135978392051</v>
      </c>
      <c r="S27" s="33"/>
      <c r="T27" s="17"/>
    </row>
    <row r="28" spans="1:20" ht="12.75" customHeight="1">
      <c r="A28" s="41" t="s">
        <v>79</v>
      </c>
      <c r="B28" s="13" t="s">
        <v>80</v>
      </c>
      <c r="C28" s="9">
        <v>720</v>
      </c>
      <c r="D28" s="55">
        <f t="shared" si="0"/>
        <v>0</v>
      </c>
      <c r="E28" s="55">
        <f t="shared" si="1"/>
        <v>720</v>
      </c>
      <c r="F28" s="55">
        <f t="shared" si="2"/>
        <v>1.8130197480657976E-3</v>
      </c>
      <c r="G28" s="55">
        <f t="shared" si="3"/>
        <v>69.982562275339788</v>
      </c>
      <c r="H28" s="41">
        <v>3</v>
      </c>
      <c r="I28" s="55">
        <f t="shared" si="4"/>
        <v>353.434977</v>
      </c>
      <c r="J28" s="55">
        <f t="shared" si="5"/>
        <v>428.93996079096479</v>
      </c>
      <c r="K28" s="55">
        <f t="shared" si="6"/>
        <v>3670.90625</v>
      </c>
      <c r="L28" s="7">
        <v>0</v>
      </c>
      <c r="M28" s="55">
        <v>0</v>
      </c>
      <c r="N28" s="55">
        <v>0</v>
      </c>
      <c r="O28" s="55">
        <v>0</v>
      </c>
      <c r="P28" s="55"/>
      <c r="Q28" s="56"/>
      <c r="R28" s="56">
        <f t="shared" si="7"/>
        <v>4099.8462107909645</v>
      </c>
      <c r="S28" s="33"/>
      <c r="T28" s="17"/>
    </row>
    <row r="29" spans="1:20" ht="12.75" customHeight="1">
      <c r="A29" s="41" t="s">
        <v>81</v>
      </c>
      <c r="B29" s="13" t="s">
        <v>82</v>
      </c>
      <c r="C29" s="9">
        <v>7814.5</v>
      </c>
      <c r="D29" s="55">
        <f t="shared" si="0"/>
        <v>0</v>
      </c>
      <c r="E29" s="55">
        <f t="shared" si="1"/>
        <v>7814.5</v>
      </c>
      <c r="F29" s="55">
        <f t="shared" si="2"/>
        <v>1.9677559473972466E-2</v>
      </c>
      <c r="G29" s="55">
        <f t="shared" si="3"/>
        <v>759.55379569533716</v>
      </c>
      <c r="H29" s="41">
        <v>3</v>
      </c>
      <c r="I29" s="55">
        <f t="shared" si="4"/>
        <v>353.434977</v>
      </c>
      <c r="J29" s="55">
        <f t="shared" si="5"/>
        <v>1118.511194210962</v>
      </c>
      <c r="K29" s="55">
        <f t="shared" si="6"/>
        <v>3670.90625</v>
      </c>
      <c r="L29" s="7">
        <v>0</v>
      </c>
      <c r="M29" s="55">
        <v>0</v>
      </c>
      <c r="N29" s="55">
        <v>0</v>
      </c>
      <c r="O29" s="55">
        <v>0</v>
      </c>
      <c r="P29" s="55"/>
      <c r="Q29" s="56"/>
      <c r="R29" s="56">
        <f t="shared" si="7"/>
        <v>4789.4174442109615</v>
      </c>
      <c r="S29" s="33"/>
      <c r="T29" s="17"/>
    </row>
    <row r="30" spans="1:20" ht="12.75" customHeight="1">
      <c r="A30" s="41" t="s">
        <v>83</v>
      </c>
      <c r="B30" s="13" t="s">
        <v>84</v>
      </c>
      <c r="C30" s="9">
        <v>4775</v>
      </c>
      <c r="D30" s="55">
        <f t="shared" si="0"/>
        <v>0</v>
      </c>
      <c r="E30" s="55">
        <f t="shared" si="1"/>
        <v>4775</v>
      </c>
      <c r="F30" s="55">
        <f t="shared" si="2"/>
        <v>1.2023846245853032E-2</v>
      </c>
      <c r="G30" s="55">
        <f t="shared" si="3"/>
        <v>464.12046508992705</v>
      </c>
      <c r="H30" s="41">
        <v>5</v>
      </c>
      <c r="I30" s="55">
        <f t="shared" si="4"/>
        <v>589.05829500000004</v>
      </c>
      <c r="J30" s="55">
        <f t="shared" si="5"/>
        <v>1058.7011816055522</v>
      </c>
      <c r="K30" s="55">
        <f t="shared" si="6"/>
        <v>3670.90625</v>
      </c>
      <c r="L30" s="7">
        <v>0</v>
      </c>
      <c r="M30" s="55">
        <v>0</v>
      </c>
      <c r="N30" s="55">
        <v>0</v>
      </c>
      <c r="O30" s="55">
        <v>0</v>
      </c>
      <c r="P30" s="55"/>
      <c r="Q30" s="56"/>
      <c r="R30" s="56">
        <f t="shared" si="7"/>
        <v>4729.6074316055519</v>
      </c>
      <c r="S30" s="33"/>
      <c r="T30" s="17"/>
    </row>
    <row r="31" spans="1:20" ht="12.75" customHeight="1">
      <c r="A31" s="41" t="s">
        <v>85</v>
      </c>
      <c r="B31" s="13" t="s">
        <v>86</v>
      </c>
      <c r="C31" s="9">
        <v>7998.5</v>
      </c>
      <c r="D31" s="55">
        <f t="shared" si="0"/>
        <v>0</v>
      </c>
      <c r="E31" s="55">
        <f t="shared" si="1"/>
        <v>7998.5</v>
      </c>
      <c r="F31" s="55">
        <f t="shared" si="2"/>
        <v>2.0140886742922613E-2</v>
      </c>
      <c r="G31" s="55">
        <f t="shared" si="3"/>
        <v>777.43822827681288</v>
      </c>
      <c r="H31" s="41">
        <v>3</v>
      </c>
      <c r="I31" s="55">
        <f t="shared" si="4"/>
        <v>353.434977</v>
      </c>
      <c r="J31" s="55">
        <f t="shared" si="5"/>
        <v>1136.3956267924377</v>
      </c>
      <c r="K31" s="55">
        <f t="shared" si="6"/>
        <v>3670.90625</v>
      </c>
      <c r="L31" s="7">
        <v>0</v>
      </c>
      <c r="M31" s="55">
        <v>0</v>
      </c>
      <c r="N31" s="55">
        <v>0</v>
      </c>
      <c r="O31" s="55">
        <v>0</v>
      </c>
      <c r="P31" s="55"/>
      <c r="Q31" s="56"/>
      <c r="R31" s="56">
        <f t="shared" si="7"/>
        <v>4807.3018767924377</v>
      </c>
      <c r="S31" s="33"/>
      <c r="T31" s="17"/>
    </row>
    <row r="32" spans="1:20" ht="12.75" customHeight="1">
      <c r="A32" s="41" t="s">
        <v>87</v>
      </c>
      <c r="B32" s="13" t="s">
        <v>88</v>
      </c>
      <c r="C32" s="9">
        <v>3977.5</v>
      </c>
      <c r="D32" s="55">
        <f t="shared" si="0"/>
        <v>0</v>
      </c>
      <c r="E32" s="55">
        <f t="shared" si="1"/>
        <v>3977.5</v>
      </c>
      <c r="F32" s="55">
        <f t="shared" si="2"/>
        <v>1.0015675066571819E-2</v>
      </c>
      <c r="G32" s="55">
        <f t="shared" si="3"/>
        <v>386.60505756967223</v>
      </c>
      <c r="H32" s="41">
        <v>3</v>
      </c>
      <c r="I32" s="55">
        <f t="shared" si="4"/>
        <v>353.434977</v>
      </c>
      <c r="J32" s="55">
        <f t="shared" si="5"/>
        <v>745.5624560852973</v>
      </c>
      <c r="K32" s="55">
        <f t="shared" si="6"/>
        <v>3670.90625</v>
      </c>
      <c r="L32" s="7">
        <v>0</v>
      </c>
      <c r="M32" s="55">
        <v>0</v>
      </c>
      <c r="N32" s="55">
        <v>0</v>
      </c>
      <c r="O32" s="55">
        <v>0</v>
      </c>
      <c r="P32" s="55"/>
      <c r="Q32" s="56"/>
      <c r="R32" s="56">
        <f t="shared" si="7"/>
        <v>4416.4687060852975</v>
      </c>
      <c r="S32" s="33"/>
      <c r="T32" s="17"/>
    </row>
    <row r="33" spans="1:20" ht="12.75" customHeight="1">
      <c r="A33" s="41" t="s">
        <v>89</v>
      </c>
      <c r="B33" s="13" t="s">
        <v>90</v>
      </c>
      <c r="C33" s="9">
        <v>11458.5</v>
      </c>
      <c r="D33" s="55">
        <f t="shared" si="0"/>
        <v>0</v>
      </c>
      <c r="E33" s="55">
        <f t="shared" si="1"/>
        <v>11458.5</v>
      </c>
      <c r="F33" s="55">
        <f t="shared" si="2"/>
        <v>2.8853453865572139E-2</v>
      </c>
      <c r="G33" s="55">
        <f t="shared" si="3"/>
        <v>1113.7433192110846</v>
      </c>
      <c r="H33" s="41">
        <v>3</v>
      </c>
      <c r="I33" s="55">
        <f t="shared" si="4"/>
        <v>353.434977</v>
      </c>
      <c r="J33" s="55">
        <f t="shared" si="5"/>
        <v>1472.7007177267096</v>
      </c>
      <c r="K33" s="55">
        <f t="shared" si="6"/>
        <v>3670.90625</v>
      </c>
      <c r="L33" s="7">
        <v>0</v>
      </c>
      <c r="M33" s="55">
        <v>0</v>
      </c>
      <c r="N33" s="55">
        <v>0</v>
      </c>
      <c r="O33" s="55">
        <v>0</v>
      </c>
      <c r="P33" s="55"/>
      <c r="Q33" s="56"/>
      <c r="R33" s="56">
        <f t="shared" si="7"/>
        <v>5143.6069677267096</v>
      </c>
      <c r="S33" s="33"/>
      <c r="T33" s="17"/>
    </row>
    <row r="34" spans="1:20" ht="12.75" customHeight="1">
      <c r="A34" s="41" t="s">
        <v>91</v>
      </c>
      <c r="B34" s="13" t="s">
        <v>92</v>
      </c>
      <c r="C34" s="9">
        <v>5729.5</v>
      </c>
      <c r="D34" s="55">
        <f t="shared" si="0"/>
        <v>0</v>
      </c>
      <c r="E34" s="55">
        <f t="shared" si="1"/>
        <v>5729.5</v>
      </c>
      <c r="F34" s="55">
        <f t="shared" si="2"/>
        <v>1.4427356453531926E-2</v>
      </c>
      <c r="G34" s="55">
        <f t="shared" si="3"/>
        <v>556.89595910633238</v>
      </c>
      <c r="H34" s="41">
        <v>4</v>
      </c>
      <c r="I34" s="55">
        <f t="shared" si="4"/>
        <v>471.24663600000002</v>
      </c>
      <c r="J34" s="55">
        <f t="shared" si="5"/>
        <v>1033.6650166219574</v>
      </c>
      <c r="K34" s="55">
        <f t="shared" si="6"/>
        <v>3670.90625</v>
      </c>
      <c r="L34" s="7">
        <v>0</v>
      </c>
      <c r="M34" s="55">
        <v>0</v>
      </c>
      <c r="N34" s="55">
        <v>0</v>
      </c>
      <c r="O34" s="55">
        <v>0</v>
      </c>
      <c r="P34" s="55"/>
      <c r="Q34" s="56"/>
      <c r="R34" s="56">
        <f t="shared" si="7"/>
        <v>4704.571266621957</v>
      </c>
      <c r="S34" s="33"/>
      <c r="T34" s="17"/>
    </row>
    <row r="35" spans="1:20" ht="12.75" customHeight="1">
      <c r="A35" s="41" t="s">
        <v>93</v>
      </c>
      <c r="B35" s="13" t="s">
        <v>94</v>
      </c>
      <c r="C35" s="9">
        <v>3193.5</v>
      </c>
      <c r="D35" s="55">
        <f t="shared" si="0"/>
        <v>0</v>
      </c>
      <c r="E35" s="55">
        <f t="shared" si="1"/>
        <v>3193.5</v>
      </c>
      <c r="F35" s="55">
        <f t="shared" si="2"/>
        <v>8.0414980075668389E-3</v>
      </c>
      <c r="G35" s="55">
        <f t="shared" si="3"/>
        <v>310.40182309208001</v>
      </c>
      <c r="H35" s="41">
        <v>4</v>
      </c>
      <c r="I35" s="55">
        <f t="shared" si="4"/>
        <v>471.24663600000002</v>
      </c>
      <c r="J35" s="55">
        <f t="shared" si="5"/>
        <v>787.17088060770504</v>
      </c>
      <c r="K35" s="55">
        <f t="shared" si="6"/>
        <v>3670.90625</v>
      </c>
      <c r="L35" s="7">
        <v>0</v>
      </c>
      <c r="M35" s="55">
        <v>0</v>
      </c>
      <c r="N35" s="55">
        <v>1000</v>
      </c>
      <c r="O35" s="55">
        <v>0</v>
      </c>
      <c r="P35" s="55"/>
      <c r="Q35" s="56"/>
      <c r="R35" s="56">
        <f t="shared" si="7"/>
        <v>5458.0771306077049</v>
      </c>
      <c r="S35" s="33"/>
      <c r="T35" s="17"/>
    </row>
    <row r="36" spans="1:20" ht="12.75" customHeight="1">
      <c r="A36" s="41" t="s">
        <v>95</v>
      </c>
      <c r="B36" s="13" t="s">
        <v>96</v>
      </c>
      <c r="C36" s="9">
        <v>4553</v>
      </c>
      <c r="D36" s="55">
        <f t="shared" si="0"/>
        <v>0</v>
      </c>
      <c r="E36" s="55">
        <f t="shared" si="1"/>
        <v>4553</v>
      </c>
      <c r="F36" s="55">
        <f t="shared" si="2"/>
        <v>1.1464831823532744E-2</v>
      </c>
      <c r="G36" s="55">
        <f t="shared" si="3"/>
        <v>442.5425083883639</v>
      </c>
      <c r="H36" s="41">
        <v>4</v>
      </c>
      <c r="I36" s="55">
        <f t="shared" si="4"/>
        <v>471.24663600000002</v>
      </c>
      <c r="J36" s="55">
        <f t="shared" si="5"/>
        <v>919.31156590398894</v>
      </c>
      <c r="K36" s="55">
        <f t="shared" si="6"/>
        <v>3670.90625</v>
      </c>
      <c r="L36" s="7">
        <v>0</v>
      </c>
      <c r="M36" s="55">
        <v>0</v>
      </c>
      <c r="N36" s="55">
        <v>0</v>
      </c>
      <c r="O36" s="55">
        <v>0</v>
      </c>
      <c r="P36" s="55"/>
      <c r="Q36" s="56"/>
      <c r="R36" s="56">
        <f t="shared" si="7"/>
        <v>4590.2178159039886</v>
      </c>
      <c r="S36" s="33"/>
      <c r="T36" s="17"/>
    </row>
    <row r="37" spans="1:20" ht="12.75" customHeight="1">
      <c r="A37" s="41" t="s">
        <v>97</v>
      </c>
      <c r="B37" s="13" t="s">
        <v>98</v>
      </c>
      <c r="C37" s="9">
        <v>7410</v>
      </c>
      <c r="D37" s="55">
        <f t="shared" si="0"/>
        <v>0</v>
      </c>
      <c r="E37" s="55">
        <f t="shared" si="1"/>
        <v>7410</v>
      </c>
      <c r="F37" s="55">
        <f t="shared" si="2"/>
        <v>1.8658994907177165E-2</v>
      </c>
      <c r="G37" s="55">
        <f t="shared" si="3"/>
        <v>720.23720341703859</v>
      </c>
      <c r="H37" s="41">
        <v>3</v>
      </c>
      <c r="I37" s="55">
        <f t="shared" si="4"/>
        <v>353.434977</v>
      </c>
      <c r="J37" s="55">
        <f t="shared" si="5"/>
        <v>1079.1946019326635</v>
      </c>
      <c r="K37" s="55">
        <f t="shared" si="6"/>
        <v>3670.90625</v>
      </c>
      <c r="L37" s="7">
        <v>0</v>
      </c>
      <c r="M37" s="55">
        <v>0</v>
      </c>
      <c r="N37" s="55">
        <v>0</v>
      </c>
      <c r="O37" s="55">
        <v>0</v>
      </c>
      <c r="P37" s="55"/>
      <c r="Q37" s="56"/>
      <c r="R37" s="56">
        <f t="shared" si="7"/>
        <v>4750.1008519326633</v>
      </c>
      <c r="S37" s="33"/>
      <c r="T37" s="17"/>
    </row>
    <row r="38" spans="1:20" ht="12.75" customHeight="1">
      <c r="A38" s="41" t="s">
        <v>99</v>
      </c>
      <c r="B38" s="13" t="s">
        <v>100</v>
      </c>
      <c r="C38" s="9">
        <v>0</v>
      </c>
      <c r="D38" s="55">
        <f t="shared" si="0"/>
        <v>0</v>
      </c>
      <c r="E38" s="55">
        <f t="shared" si="1"/>
        <v>0</v>
      </c>
      <c r="F38" s="55">
        <f t="shared" si="2"/>
        <v>0</v>
      </c>
      <c r="G38" s="55">
        <f t="shared" si="3"/>
        <v>0</v>
      </c>
      <c r="H38" s="41">
        <v>3</v>
      </c>
      <c r="I38" s="55">
        <f t="shared" si="4"/>
        <v>353.434977</v>
      </c>
      <c r="J38" s="55">
        <f t="shared" si="5"/>
        <v>358.95739851562502</v>
      </c>
      <c r="K38" s="55">
        <f t="shared" si="6"/>
        <v>3670.90625</v>
      </c>
      <c r="L38" s="7">
        <v>0</v>
      </c>
      <c r="M38" s="55">
        <v>0</v>
      </c>
      <c r="N38" s="55">
        <v>0</v>
      </c>
      <c r="O38" s="55">
        <v>0</v>
      </c>
      <c r="P38" s="55"/>
      <c r="Q38" s="56"/>
      <c r="R38" s="56">
        <f t="shared" si="7"/>
        <v>4029.8636485156248</v>
      </c>
      <c r="S38" s="33"/>
      <c r="T38" s="17"/>
    </row>
    <row r="39" spans="1:20" ht="12.75" customHeight="1">
      <c r="A39" s="41" t="s">
        <v>101</v>
      </c>
      <c r="B39" s="13" t="s">
        <v>102</v>
      </c>
      <c r="C39" s="9">
        <v>30599.5</v>
      </c>
      <c r="D39" s="55">
        <f t="shared" si="0"/>
        <v>0</v>
      </c>
      <c r="E39" s="55">
        <f t="shared" si="1"/>
        <v>30599.5</v>
      </c>
      <c r="F39" s="55">
        <f t="shared" si="2"/>
        <v>7.705208025130468E-2</v>
      </c>
      <c r="G39" s="55">
        <f t="shared" si="3"/>
        <v>2974.2102977003606</v>
      </c>
      <c r="H39" s="41">
        <v>4</v>
      </c>
      <c r="I39" s="55">
        <f t="shared" si="4"/>
        <v>471.24663600000002</v>
      </c>
      <c r="J39" s="55">
        <f t="shared" si="5"/>
        <v>3450.9793552159854</v>
      </c>
      <c r="K39" s="55">
        <f t="shared" si="6"/>
        <v>3670.90625</v>
      </c>
      <c r="L39" s="7">
        <v>0</v>
      </c>
      <c r="M39" s="55">
        <v>0</v>
      </c>
      <c r="N39" s="55">
        <v>0</v>
      </c>
      <c r="O39" s="55">
        <v>0</v>
      </c>
      <c r="P39" s="55"/>
      <c r="Q39" s="56"/>
      <c r="R39" s="56">
        <f t="shared" si="7"/>
        <v>7121.8856052159854</v>
      </c>
      <c r="S39" s="33"/>
      <c r="T39" s="17"/>
    </row>
    <row r="40" spans="1:20" ht="12.75" customHeight="1">
      <c r="A40" s="41" t="s">
        <v>103</v>
      </c>
      <c r="B40" s="13" t="s">
        <v>104</v>
      </c>
      <c r="C40" s="9">
        <v>1513</v>
      </c>
      <c r="D40" s="55">
        <f t="shared" si="0"/>
        <v>0</v>
      </c>
      <c r="E40" s="55">
        <f t="shared" si="1"/>
        <v>1513</v>
      </c>
      <c r="F40" s="55">
        <f t="shared" si="2"/>
        <v>3.8098595539215996E-3</v>
      </c>
      <c r="G40" s="55">
        <f t="shared" si="3"/>
        <v>147.06057878137375</v>
      </c>
      <c r="H40" s="41">
        <v>4</v>
      </c>
      <c r="I40" s="55">
        <f t="shared" si="4"/>
        <v>471.24663600000002</v>
      </c>
      <c r="J40" s="55">
        <f t="shared" si="5"/>
        <v>623.82963629699884</v>
      </c>
      <c r="K40" s="55">
        <f t="shared" si="6"/>
        <v>3670.90625</v>
      </c>
      <c r="L40" s="7">
        <v>0</v>
      </c>
      <c r="M40" s="55">
        <v>0</v>
      </c>
      <c r="N40" s="55">
        <v>0</v>
      </c>
      <c r="O40" s="55">
        <v>0</v>
      </c>
      <c r="P40" s="55"/>
      <c r="Q40" s="56"/>
      <c r="R40" s="56">
        <f t="shared" si="7"/>
        <v>4294.7358862969986</v>
      </c>
      <c r="S40" s="33"/>
      <c r="T40" s="17"/>
    </row>
    <row r="41" spans="1:20" ht="12.75" customHeight="1">
      <c r="A41" s="41" t="s">
        <v>105</v>
      </c>
      <c r="B41" s="13" t="s">
        <v>106</v>
      </c>
      <c r="C41" s="9">
        <v>9095.5</v>
      </c>
      <c r="D41" s="55">
        <f t="shared" si="0"/>
        <v>0</v>
      </c>
      <c r="E41" s="55">
        <f t="shared" si="1"/>
        <v>9095.5</v>
      </c>
      <c r="F41" s="55">
        <f t="shared" si="2"/>
        <v>2.2903223775739529E-2</v>
      </c>
      <c r="G41" s="55">
        <f t="shared" si="3"/>
        <v>884.0644377435458</v>
      </c>
      <c r="H41" s="41">
        <v>3</v>
      </c>
      <c r="I41" s="55">
        <f t="shared" si="4"/>
        <v>353.434977</v>
      </c>
      <c r="J41" s="55">
        <f t="shared" si="5"/>
        <v>1243.0218362591709</v>
      </c>
      <c r="K41" s="55">
        <f t="shared" si="6"/>
        <v>3670.90625</v>
      </c>
      <c r="L41" s="7">
        <v>0</v>
      </c>
      <c r="M41" s="55">
        <v>0</v>
      </c>
      <c r="N41" s="55">
        <v>0</v>
      </c>
      <c r="O41" s="55">
        <v>0</v>
      </c>
      <c r="P41" s="55"/>
      <c r="Q41" s="56"/>
      <c r="R41" s="56">
        <f t="shared" si="7"/>
        <v>4913.9280862591713</v>
      </c>
      <c r="S41" s="33"/>
      <c r="T41" s="17"/>
    </row>
    <row r="42" spans="1:20" ht="12.75" customHeight="1">
      <c r="A42" s="41" t="s">
        <v>107</v>
      </c>
      <c r="B42" s="13" t="s">
        <v>108</v>
      </c>
      <c r="C42" s="9">
        <v>8050</v>
      </c>
      <c r="D42" s="55">
        <f t="shared" si="0"/>
        <v>0</v>
      </c>
      <c r="E42" s="55">
        <f t="shared" si="1"/>
        <v>8050</v>
      </c>
      <c r="F42" s="55">
        <f t="shared" si="2"/>
        <v>2.0270568016568985E-2</v>
      </c>
      <c r="G42" s="55">
        <f t="shared" si="3"/>
        <v>782.4439254395628</v>
      </c>
      <c r="H42" s="41">
        <v>3</v>
      </c>
      <c r="I42" s="55">
        <f t="shared" si="4"/>
        <v>353.434977</v>
      </c>
      <c r="J42" s="55">
        <f t="shared" si="5"/>
        <v>1141.4013239551878</v>
      </c>
      <c r="K42" s="55">
        <f t="shared" si="6"/>
        <v>3670.90625</v>
      </c>
      <c r="L42" s="7">
        <v>0</v>
      </c>
      <c r="M42" s="55">
        <v>0</v>
      </c>
      <c r="N42" s="55">
        <v>0</v>
      </c>
      <c r="O42" s="55">
        <v>0</v>
      </c>
      <c r="P42" s="55"/>
      <c r="Q42" s="56"/>
      <c r="R42" s="56">
        <f t="shared" si="7"/>
        <v>4812.3075739551878</v>
      </c>
      <c r="S42" s="33"/>
      <c r="T42" s="17"/>
    </row>
    <row r="43" spans="1:20" ht="12.75" customHeight="1">
      <c r="A43" s="41" t="s">
        <v>109</v>
      </c>
      <c r="B43" s="30" t="s">
        <v>110</v>
      </c>
      <c r="C43" s="9">
        <v>650.5</v>
      </c>
      <c r="D43" s="55">
        <f t="shared" si="0"/>
        <v>0</v>
      </c>
      <c r="E43" s="55">
        <f t="shared" si="1"/>
        <v>650.5</v>
      </c>
      <c r="F43" s="55">
        <f t="shared" si="2"/>
        <v>1.6380129807177797E-3</v>
      </c>
      <c r="G43" s="55">
        <f t="shared" si="3"/>
        <v>63.227301055706292</v>
      </c>
      <c r="H43" s="41">
        <v>3</v>
      </c>
      <c r="I43" s="55">
        <f t="shared" si="4"/>
        <v>353.434977</v>
      </c>
      <c r="J43" s="55">
        <f t="shared" si="5"/>
        <v>422.18469957133129</v>
      </c>
      <c r="K43" s="55">
        <f t="shared" si="6"/>
        <v>3670.90625</v>
      </c>
      <c r="L43" s="7">
        <v>0</v>
      </c>
      <c r="M43" s="55">
        <v>0</v>
      </c>
      <c r="N43" s="55">
        <v>0</v>
      </c>
      <c r="O43" s="55">
        <v>0</v>
      </c>
      <c r="P43" s="55"/>
      <c r="Q43" s="56"/>
      <c r="R43" s="56">
        <f t="shared" si="7"/>
        <v>4093.0909495713313</v>
      </c>
      <c r="S43" s="33"/>
      <c r="T43" s="17"/>
    </row>
    <row r="44" spans="1:20" ht="12.75" customHeight="1">
      <c r="A44" s="41" t="s">
        <v>111</v>
      </c>
      <c r="B44" s="13" t="s">
        <v>112</v>
      </c>
      <c r="C44" s="9">
        <v>490</v>
      </c>
      <c r="D44" s="55">
        <f t="shared" si="0"/>
        <v>0</v>
      </c>
      <c r="E44" s="55">
        <f t="shared" si="1"/>
        <v>490</v>
      </c>
      <c r="F44" s="55">
        <f t="shared" si="2"/>
        <v>1.2338606618781122E-3</v>
      </c>
      <c r="G44" s="55">
        <f t="shared" si="3"/>
        <v>47.627021548495129</v>
      </c>
      <c r="H44" s="41">
        <v>3</v>
      </c>
      <c r="I44" s="55">
        <f t="shared" si="4"/>
        <v>353.434977</v>
      </c>
      <c r="J44" s="55">
        <f t="shared" si="5"/>
        <v>406.58442006412014</v>
      </c>
      <c r="K44" s="55">
        <f t="shared" si="6"/>
        <v>3670.90625</v>
      </c>
      <c r="L44" s="7">
        <v>0</v>
      </c>
      <c r="M44" s="55">
        <v>0</v>
      </c>
      <c r="N44" s="55">
        <v>0</v>
      </c>
      <c r="O44" s="55">
        <v>0</v>
      </c>
      <c r="P44" s="55"/>
      <c r="Q44" s="56"/>
      <c r="R44" s="56">
        <f t="shared" si="7"/>
        <v>4077.49067006412</v>
      </c>
      <c r="S44" s="33"/>
      <c r="T44" s="17"/>
    </row>
    <row r="45" spans="1:20" ht="12.75" customHeight="1">
      <c r="A45" s="41" t="s">
        <v>113</v>
      </c>
      <c r="B45" s="13" t="s">
        <v>114</v>
      </c>
      <c r="C45" s="9">
        <v>8499</v>
      </c>
      <c r="D45" s="55">
        <f t="shared" si="0"/>
        <v>0</v>
      </c>
      <c r="E45" s="55">
        <f t="shared" si="1"/>
        <v>8499</v>
      </c>
      <c r="F45" s="55">
        <f t="shared" si="2"/>
        <v>2.1401187276126686E-2</v>
      </c>
      <c r="G45" s="55">
        <f t="shared" si="3"/>
        <v>826.08582885849012</v>
      </c>
      <c r="H45" s="41">
        <v>3</v>
      </c>
      <c r="I45" s="55">
        <f t="shared" si="4"/>
        <v>353.434977</v>
      </c>
      <c r="J45" s="55">
        <f t="shared" si="5"/>
        <v>1185.0432273741151</v>
      </c>
      <c r="K45" s="55">
        <f t="shared" si="6"/>
        <v>3670.90625</v>
      </c>
      <c r="L45" s="7">
        <v>0</v>
      </c>
      <c r="M45" s="55">
        <v>0</v>
      </c>
      <c r="N45" s="55">
        <v>2000</v>
      </c>
      <c r="O45" s="55">
        <v>0</v>
      </c>
      <c r="P45" s="55"/>
      <c r="Q45" s="56"/>
      <c r="R45" s="56">
        <f t="shared" si="7"/>
        <v>6855.9494773741153</v>
      </c>
      <c r="S45" s="33"/>
      <c r="T45" s="17"/>
    </row>
    <row r="46" spans="1:20" ht="12.75" customHeight="1">
      <c r="A46" s="41" t="s">
        <v>115</v>
      </c>
      <c r="B46" s="13" t="s">
        <v>116</v>
      </c>
      <c r="C46" s="9">
        <v>9262.5</v>
      </c>
      <c r="D46" s="55">
        <f t="shared" si="0"/>
        <v>0</v>
      </c>
      <c r="E46" s="55">
        <f t="shared" si="1"/>
        <v>9262.5</v>
      </c>
      <c r="F46" s="55">
        <f t="shared" si="2"/>
        <v>2.3323743633971456E-2</v>
      </c>
      <c r="G46" s="55">
        <f t="shared" si="3"/>
        <v>900.2965042712982</v>
      </c>
      <c r="H46" s="41">
        <v>4</v>
      </c>
      <c r="I46" s="55">
        <f t="shared" si="4"/>
        <v>471.24663600000002</v>
      </c>
      <c r="J46" s="55">
        <f t="shared" si="5"/>
        <v>1377.0655617869231</v>
      </c>
      <c r="K46" s="55">
        <f t="shared" si="6"/>
        <v>3670.90625</v>
      </c>
      <c r="L46" s="7">
        <v>0</v>
      </c>
      <c r="M46" s="55">
        <v>0</v>
      </c>
      <c r="N46" s="55">
        <v>0</v>
      </c>
      <c r="O46" s="55">
        <v>0</v>
      </c>
      <c r="P46" s="55"/>
      <c r="Q46" s="56"/>
      <c r="R46" s="56">
        <f t="shared" si="7"/>
        <v>5047.9718117869234</v>
      </c>
      <c r="S46" s="33"/>
      <c r="T46" s="17"/>
    </row>
    <row r="47" spans="1:20" ht="12.75" customHeight="1">
      <c r="A47" s="41" t="s">
        <v>117</v>
      </c>
      <c r="B47" s="13" t="s">
        <v>118</v>
      </c>
      <c r="C47" s="9">
        <v>713.5</v>
      </c>
      <c r="D47" s="55">
        <f t="shared" si="0"/>
        <v>0</v>
      </c>
      <c r="E47" s="55">
        <f t="shared" si="1"/>
        <v>713.5</v>
      </c>
      <c r="F47" s="55">
        <f t="shared" si="2"/>
        <v>1.7966522086735369E-3</v>
      </c>
      <c r="G47" s="55">
        <f t="shared" si="3"/>
        <v>69.350775254798521</v>
      </c>
      <c r="H47" s="41">
        <v>3</v>
      </c>
      <c r="I47" s="55">
        <f t="shared" si="4"/>
        <v>353.434977</v>
      </c>
      <c r="J47" s="55">
        <f t="shared" si="5"/>
        <v>428.30817377042354</v>
      </c>
      <c r="K47" s="55">
        <f t="shared" si="6"/>
        <v>3670.90625</v>
      </c>
      <c r="L47" s="7">
        <v>0</v>
      </c>
      <c r="M47" s="55">
        <v>0</v>
      </c>
      <c r="N47" s="55">
        <v>0</v>
      </c>
      <c r="O47" s="55">
        <v>0</v>
      </c>
      <c r="P47" s="55"/>
      <c r="Q47" s="56"/>
      <c r="R47" s="56">
        <f t="shared" si="7"/>
        <v>4099.2144237704233</v>
      </c>
      <c r="S47" s="33"/>
      <c r="T47" s="17"/>
    </row>
    <row r="48" spans="1:20" ht="12.75" customHeight="1">
      <c r="A48" s="41" t="s">
        <v>119</v>
      </c>
      <c r="B48" s="13" t="s">
        <v>120</v>
      </c>
      <c r="C48" s="9">
        <v>3447.5</v>
      </c>
      <c r="D48" s="55">
        <f t="shared" si="0"/>
        <v>0</v>
      </c>
      <c r="E48" s="55">
        <f t="shared" si="1"/>
        <v>3447.5</v>
      </c>
      <c r="F48" s="55">
        <f t="shared" si="2"/>
        <v>8.6810910853567184E-3</v>
      </c>
      <c r="G48" s="55">
        <f t="shared" si="3"/>
        <v>335.09011589476933</v>
      </c>
      <c r="H48" s="41">
        <v>3</v>
      </c>
      <c r="I48" s="55">
        <f t="shared" si="4"/>
        <v>353.434977</v>
      </c>
      <c r="J48" s="55">
        <f t="shared" si="5"/>
        <v>694.04751441039434</v>
      </c>
      <c r="K48" s="55">
        <f t="shared" si="6"/>
        <v>3670.90625</v>
      </c>
      <c r="L48" s="7">
        <v>0</v>
      </c>
      <c r="M48" s="55">
        <v>0</v>
      </c>
      <c r="N48" s="55">
        <v>0</v>
      </c>
      <c r="O48" s="55">
        <v>0</v>
      </c>
      <c r="P48" s="55"/>
      <c r="Q48" s="56"/>
      <c r="R48" s="56">
        <f t="shared" si="7"/>
        <v>4364.9537644103948</v>
      </c>
      <c r="S48" s="33"/>
      <c r="T48" s="17"/>
    </row>
    <row r="49" spans="1:20" ht="12.75" customHeight="1">
      <c r="A49" s="41" t="s">
        <v>121</v>
      </c>
      <c r="B49" s="13" t="s">
        <v>122</v>
      </c>
      <c r="C49" s="9">
        <v>9854</v>
      </c>
      <c r="D49" s="55">
        <f t="shared" si="0"/>
        <v>0</v>
      </c>
      <c r="E49" s="55">
        <f t="shared" si="1"/>
        <v>9854</v>
      </c>
      <c r="F49" s="55">
        <f t="shared" si="2"/>
        <v>2.4813189718667177E-2</v>
      </c>
      <c r="G49" s="55">
        <f t="shared" si="3"/>
        <v>957.78912314055299</v>
      </c>
      <c r="H49" s="41">
        <v>3</v>
      </c>
      <c r="I49" s="55">
        <f t="shared" si="4"/>
        <v>353.434977</v>
      </c>
      <c r="J49" s="55">
        <f t="shared" si="5"/>
        <v>1316.7465216561779</v>
      </c>
      <c r="K49" s="55">
        <f t="shared" si="6"/>
        <v>3670.90625</v>
      </c>
      <c r="L49" s="7">
        <v>0</v>
      </c>
      <c r="M49" s="55">
        <v>0</v>
      </c>
      <c r="N49" s="55">
        <v>1000</v>
      </c>
      <c r="O49" s="55">
        <v>0</v>
      </c>
      <c r="P49" s="55"/>
      <c r="Q49" s="56"/>
      <c r="R49" s="56">
        <f t="shared" si="7"/>
        <v>5987.6527716561777</v>
      </c>
      <c r="S49" s="33"/>
      <c r="T49" s="17"/>
    </row>
    <row r="50" spans="1:20" ht="12.75" customHeight="1">
      <c r="A50" s="41" t="s">
        <v>123</v>
      </c>
      <c r="B50" s="13" t="s">
        <v>124</v>
      </c>
      <c r="C50" s="9">
        <v>3228</v>
      </c>
      <c r="D50" s="55">
        <f t="shared" si="0"/>
        <v>0</v>
      </c>
      <c r="E50" s="55">
        <f t="shared" si="1"/>
        <v>3228</v>
      </c>
      <c r="F50" s="55">
        <f t="shared" si="2"/>
        <v>8.1283718704949926E-3</v>
      </c>
      <c r="G50" s="55">
        <f t="shared" si="3"/>
        <v>313.75515420110673</v>
      </c>
      <c r="H50" s="41">
        <v>4</v>
      </c>
      <c r="I50" s="55">
        <f t="shared" si="4"/>
        <v>471.24663600000002</v>
      </c>
      <c r="J50" s="55">
        <f t="shared" si="5"/>
        <v>790.52421171673177</v>
      </c>
      <c r="K50" s="55">
        <f t="shared" si="6"/>
        <v>3670.90625</v>
      </c>
      <c r="L50" s="7">
        <v>0</v>
      </c>
      <c r="M50" s="55">
        <v>0</v>
      </c>
      <c r="N50" s="55">
        <v>0</v>
      </c>
      <c r="O50" s="55">
        <v>0</v>
      </c>
      <c r="P50" s="55"/>
      <c r="Q50" s="56"/>
      <c r="R50" s="56">
        <f t="shared" si="7"/>
        <v>4461.4304617167318</v>
      </c>
      <c r="S50" s="33"/>
      <c r="T50" s="17"/>
    </row>
    <row r="51" spans="1:20" ht="12.75" customHeight="1">
      <c r="A51" s="41" t="s">
        <v>125</v>
      </c>
      <c r="B51" s="13" t="s">
        <v>126</v>
      </c>
      <c r="C51" s="9">
        <v>1972</v>
      </c>
      <c r="D51" s="55">
        <f t="shared" si="0"/>
        <v>0</v>
      </c>
      <c r="E51" s="55">
        <f t="shared" si="1"/>
        <v>1972</v>
      </c>
      <c r="F51" s="55">
        <f t="shared" si="2"/>
        <v>4.9656596433135455E-3</v>
      </c>
      <c r="G51" s="55">
        <f t="shared" si="3"/>
        <v>191.67446223190285</v>
      </c>
      <c r="H51" s="41">
        <v>4</v>
      </c>
      <c r="I51" s="55">
        <f t="shared" si="4"/>
        <v>471.24663600000002</v>
      </c>
      <c r="J51" s="55">
        <f t="shared" si="5"/>
        <v>668.44351974752794</v>
      </c>
      <c r="K51" s="55">
        <f t="shared" si="6"/>
        <v>3670.90625</v>
      </c>
      <c r="L51" s="7">
        <v>0</v>
      </c>
      <c r="M51" s="55">
        <v>0</v>
      </c>
      <c r="N51" s="55">
        <v>0</v>
      </c>
      <c r="O51" s="55">
        <v>0</v>
      </c>
      <c r="P51" s="55"/>
      <c r="Q51" s="56"/>
      <c r="R51" s="56">
        <f t="shared" si="7"/>
        <v>4339.3497697475277</v>
      </c>
      <c r="S51" s="33"/>
      <c r="T51" s="17"/>
    </row>
    <row r="52" spans="1:20" ht="12.75" customHeight="1">
      <c r="A52" s="41" t="s">
        <v>127</v>
      </c>
      <c r="B52" s="13" t="s">
        <v>128</v>
      </c>
      <c r="C52" s="9">
        <v>13528.5</v>
      </c>
      <c r="D52" s="55">
        <f t="shared" si="0"/>
        <v>0</v>
      </c>
      <c r="E52" s="55">
        <f t="shared" si="1"/>
        <v>13528.5</v>
      </c>
      <c r="F52" s="55">
        <f t="shared" si="2"/>
        <v>3.4065885641261305E-2</v>
      </c>
      <c r="G52" s="55">
        <f t="shared" si="3"/>
        <v>1314.9431857526863</v>
      </c>
      <c r="H52" s="41">
        <v>4</v>
      </c>
      <c r="I52" s="55">
        <f t="shared" si="4"/>
        <v>471.24663600000002</v>
      </c>
      <c r="J52" s="55">
        <f t="shared" si="5"/>
        <v>1791.7122432683113</v>
      </c>
      <c r="K52" s="55">
        <f t="shared" si="6"/>
        <v>3670.90625</v>
      </c>
      <c r="L52" s="7">
        <v>0</v>
      </c>
      <c r="M52" s="55">
        <v>0</v>
      </c>
      <c r="N52" s="55">
        <v>0</v>
      </c>
      <c r="O52" s="55">
        <v>0</v>
      </c>
      <c r="P52" s="55"/>
      <c r="Q52" s="56"/>
      <c r="R52" s="56">
        <f t="shared" si="7"/>
        <v>5462.6184932683118</v>
      </c>
      <c r="S52" s="33"/>
      <c r="T52" s="17"/>
    </row>
    <row r="53" spans="1:20" ht="12.75" customHeight="1">
      <c r="A53" s="41" t="s">
        <v>129</v>
      </c>
      <c r="B53" s="13" t="s">
        <v>130</v>
      </c>
      <c r="C53" s="9">
        <v>3689</v>
      </c>
      <c r="D53" s="55">
        <f t="shared" si="0"/>
        <v>0</v>
      </c>
      <c r="E53" s="55">
        <f t="shared" si="1"/>
        <v>3689</v>
      </c>
      <c r="F53" s="55">
        <f t="shared" si="2"/>
        <v>9.2892081258537876E-3</v>
      </c>
      <c r="G53" s="55">
        <f t="shared" si="3"/>
        <v>358.56343365795618</v>
      </c>
      <c r="H53" s="41">
        <v>3</v>
      </c>
      <c r="I53" s="55">
        <f t="shared" si="4"/>
        <v>353.434977</v>
      </c>
      <c r="J53" s="55">
        <f t="shared" si="5"/>
        <v>717.5208321735812</v>
      </c>
      <c r="K53" s="55">
        <f t="shared" si="6"/>
        <v>3670.90625</v>
      </c>
      <c r="L53" s="7">
        <v>0</v>
      </c>
      <c r="M53" s="55">
        <v>0</v>
      </c>
      <c r="N53" s="55">
        <v>0</v>
      </c>
      <c r="O53" s="55">
        <v>0</v>
      </c>
      <c r="P53" s="55"/>
      <c r="Q53" s="56"/>
      <c r="R53" s="56">
        <f t="shared" si="7"/>
        <v>4388.4270821735809</v>
      </c>
      <c r="S53" s="33"/>
      <c r="T53" s="17"/>
    </row>
    <row r="54" spans="1:20" ht="12.75" customHeight="1">
      <c r="A54" s="41" t="s">
        <v>131</v>
      </c>
      <c r="B54" s="13" t="s">
        <v>132</v>
      </c>
      <c r="C54" s="9">
        <v>16232</v>
      </c>
      <c r="D54" s="55">
        <f t="shared" si="0"/>
        <v>0</v>
      </c>
      <c r="E54" s="55">
        <f t="shared" si="1"/>
        <v>16232</v>
      </c>
      <c r="F54" s="55">
        <f t="shared" si="2"/>
        <v>4.0873522986950038E-2</v>
      </c>
      <c r="G54" s="55">
        <f t="shared" si="3"/>
        <v>1577.7179872962715</v>
      </c>
      <c r="H54" s="41">
        <v>3</v>
      </c>
      <c r="I54" s="55">
        <f t="shared" si="4"/>
        <v>353.434977</v>
      </c>
      <c r="J54" s="55">
        <f t="shared" si="5"/>
        <v>1936.6753858118964</v>
      </c>
      <c r="K54" s="55">
        <f t="shared" si="6"/>
        <v>3670.90625</v>
      </c>
      <c r="L54" s="7">
        <v>0</v>
      </c>
      <c r="M54" s="55">
        <v>0</v>
      </c>
      <c r="N54" s="55">
        <v>0</v>
      </c>
      <c r="O54" s="55">
        <v>0</v>
      </c>
      <c r="P54" s="55"/>
      <c r="Q54" s="56"/>
      <c r="R54" s="56">
        <f t="shared" si="7"/>
        <v>5607.5816358118964</v>
      </c>
      <c r="S54" s="33"/>
      <c r="T54" s="17"/>
    </row>
    <row r="55" spans="1:20" ht="12.75" customHeight="1">
      <c r="A55" s="41" t="s">
        <v>133</v>
      </c>
      <c r="B55" s="13" t="s">
        <v>134</v>
      </c>
      <c r="C55" s="9">
        <v>14171.5</v>
      </c>
      <c r="D55" s="55">
        <f t="shared" si="0"/>
        <v>0</v>
      </c>
      <c r="E55" s="55">
        <f t="shared" si="1"/>
        <v>14171.5</v>
      </c>
      <c r="F55" s="55">
        <f t="shared" si="2"/>
        <v>3.5685012999603402E-2</v>
      </c>
      <c r="G55" s="55">
        <f t="shared" si="3"/>
        <v>1377.4415017846914</v>
      </c>
      <c r="H55" s="41">
        <v>4</v>
      </c>
      <c r="I55" s="55">
        <f t="shared" si="4"/>
        <v>471.24663600000002</v>
      </c>
      <c r="J55" s="55">
        <f t="shared" si="5"/>
        <v>1854.2105593003164</v>
      </c>
      <c r="K55" s="55">
        <f t="shared" si="6"/>
        <v>3670.90625</v>
      </c>
      <c r="L55" s="7">
        <v>0</v>
      </c>
      <c r="M55" s="55">
        <v>0</v>
      </c>
      <c r="N55" s="55">
        <v>0</v>
      </c>
      <c r="O55" s="55">
        <v>0</v>
      </c>
      <c r="P55" s="55"/>
      <c r="Q55" s="56"/>
      <c r="R55" s="56">
        <f t="shared" si="7"/>
        <v>5525.1168093003162</v>
      </c>
      <c r="S55" s="33"/>
      <c r="T55" s="17"/>
    </row>
    <row r="56" spans="1:20" ht="12.75" customHeight="1">
      <c r="A56" s="41" t="s">
        <v>135</v>
      </c>
      <c r="B56" s="13" t="s">
        <v>136</v>
      </c>
      <c r="C56" s="9">
        <v>8023</v>
      </c>
      <c r="D56" s="55">
        <f t="shared" si="0"/>
        <v>0</v>
      </c>
      <c r="E56" s="55">
        <f t="shared" si="1"/>
        <v>8023</v>
      </c>
      <c r="F56" s="55">
        <f t="shared" si="2"/>
        <v>2.020257977601652E-2</v>
      </c>
      <c r="G56" s="55">
        <f t="shared" si="3"/>
        <v>779.8195793542377</v>
      </c>
      <c r="H56" s="41">
        <v>4</v>
      </c>
      <c r="I56" s="55">
        <f t="shared" si="4"/>
        <v>471.24663600000002</v>
      </c>
      <c r="J56" s="55">
        <f t="shared" si="5"/>
        <v>1256.5886368698627</v>
      </c>
      <c r="K56" s="55">
        <f t="shared" si="6"/>
        <v>3670.90625</v>
      </c>
      <c r="L56" s="7">
        <v>0</v>
      </c>
      <c r="M56" s="55">
        <v>0</v>
      </c>
      <c r="N56" s="55">
        <v>0</v>
      </c>
      <c r="O56" s="55">
        <v>0</v>
      </c>
      <c r="P56" s="55"/>
      <c r="Q56" s="56"/>
      <c r="R56" s="56">
        <f t="shared" si="7"/>
        <v>4927.494886869863</v>
      </c>
      <c r="S56" s="33"/>
      <c r="T56" s="17"/>
    </row>
    <row r="57" spans="1:20" ht="12.75" customHeight="1">
      <c r="A57" s="41" t="s">
        <v>137</v>
      </c>
      <c r="B57" s="13" t="s">
        <v>138</v>
      </c>
      <c r="C57" s="9">
        <v>703.5</v>
      </c>
      <c r="D57" s="55">
        <f t="shared" si="0"/>
        <v>0</v>
      </c>
      <c r="E57" s="55">
        <f t="shared" si="1"/>
        <v>703.5</v>
      </c>
      <c r="F57" s="55">
        <f t="shared" si="2"/>
        <v>1.7714713788392897E-3</v>
      </c>
      <c r="G57" s="55">
        <f t="shared" si="3"/>
        <v>68.37879522319659</v>
      </c>
      <c r="H57" s="41">
        <v>4</v>
      </c>
      <c r="I57" s="55">
        <f t="shared" si="4"/>
        <v>471.24663600000002</v>
      </c>
      <c r="J57" s="55">
        <f t="shared" si="5"/>
        <v>545.1478527388216</v>
      </c>
      <c r="K57" s="55">
        <f t="shared" si="6"/>
        <v>3670.90625</v>
      </c>
      <c r="L57" s="7">
        <v>0</v>
      </c>
      <c r="M57" s="55">
        <v>0</v>
      </c>
      <c r="N57" s="55">
        <v>0</v>
      </c>
      <c r="O57" s="55">
        <v>0</v>
      </c>
      <c r="P57" s="55"/>
      <c r="Q57" s="56"/>
      <c r="R57" s="56">
        <f t="shared" si="7"/>
        <v>4216.0541027388217</v>
      </c>
      <c r="S57" s="33"/>
      <c r="T57" s="17"/>
    </row>
    <row r="58" spans="1:20" ht="12.75" customHeight="1">
      <c r="A58" s="41" t="s">
        <v>139</v>
      </c>
      <c r="B58" s="13" t="s">
        <v>140</v>
      </c>
      <c r="C58" s="9">
        <v>4318</v>
      </c>
      <c r="D58" s="55">
        <f t="shared" si="0"/>
        <v>0</v>
      </c>
      <c r="E58" s="55">
        <f t="shared" si="1"/>
        <v>4318</v>
      </c>
      <c r="F58" s="55">
        <f t="shared" si="2"/>
        <v>1.0873082322427936E-2</v>
      </c>
      <c r="G58" s="55">
        <f t="shared" si="3"/>
        <v>419.70097764571835</v>
      </c>
      <c r="H58" s="41">
        <v>3</v>
      </c>
      <c r="I58" s="55">
        <f t="shared" si="4"/>
        <v>353.434977</v>
      </c>
      <c r="J58" s="55">
        <f t="shared" si="5"/>
        <v>778.65837616134331</v>
      </c>
      <c r="K58" s="55">
        <f t="shared" si="6"/>
        <v>3670.90625</v>
      </c>
      <c r="L58" s="7">
        <v>0</v>
      </c>
      <c r="M58" s="55">
        <v>0</v>
      </c>
      <c r="N58" s="55">
        <v>0</v>
      </c>
      <c r="O58" s="55">
        <v>0</v>
      </c>
      <c r="P58" s="55"/>
      <c r="Q58" s="56"/>
      <c r="R58" s="56">
        <f t="shared" si="7"/>
        <v>4449.5646261613438</v>
      </c>
      <c r="S58" s="33"/>
      <c r="T58" s="17"/>
    </row>
    <row r="59" spans="1:20" ht="12.75" customHeight="1">
      <c r="A59" s="41" t="s">
        <v>141</v>
      </c>
      <c r="B59" s="13" t="s">
        <v>142</v>
      </c>
      <c r="C59" s="9">
        <v>11730.5</v>
      </c>
      <c r="D59" s="55">
        <f t="shared" si="0"/>
        <v>0</v>
      </c>
      <c r="E59" s="55">
        <f t="shared" si="1"/>
        <v>11730.5</v>
      </c>
      <c r="F59" s="55">
        <f t="shared" si="2"/>
        <v>2.9538372437063663E-2</v>
      </c>
      <c r="G59" s="55">
        <f t="shared" si="3"/>
        <v>1140.1811760706573</v>
      </c>
      <c r="H59" s="41">
        <v>3</v>
      </c>
      <c r="I59" s="55">
        <f t="shared" si="4"/>
        <v>353.434977</v>
      </c>
      <c r="J59" s="55">
        <f t="shared" si="5"/>
        <v>1499.1385745862822</v>
      </c>
      <c r="K59" s="55">
        <f t="shared" si="6"/>
        <v>3670.90625</v>
      </c>
      <c r="L59" s="7">
        <v>0</v>
      </c>
      <c r="M59" s="55">
        <v>0</v>
      </c>
      <c r="N59" s="55">
        <v>0</v>
      </c>
      <c r="O59" s="55">
        <v>0</v>
      </c>
      <c r="P59" s="55"/>
      <c r="Q59" s="56"/>
      <c r="R59" s="56">
        <f t="shared" si="7"/>
        <v>5170.0448245862826</v>
      </c>
      <c r="S59" s="33"/>
      <c r="T59" s="17"/>
    </row>
    <row r="60" spans="1:20" ht="12.75" customHeight="1">
      <c r="A60" s="41" t="s">
        <v>143</v>
      </c>
      <c r="B60" s="13" t="s">
        <v>144</v>
      </c>
      <c r="C60" s="9">
        <v>645.5</v>
      </c>
      <c r="D60" s="55">
        <f t="shared" si="0"/>
        <v>0</v>
      </c>
      <c r="E60" s="55">
        <f t="shared" si="1"/>
        <v>645.5</v>
      </c>
      <c r="F60" s="55">
        <f t="shared" si="2"/>
        <v>1.625422565800656E-3</v>
      </c>
      <c r="G60" s="55">
        <f t="shared" si="3"/>
        <v>62.74131103990532</v>
      </c>
      <c r="H60" s="41">
        <v>3</v>
      </c>
      <c r="I60" s="55">
        <f t="shared" si="4"/>
        <v>353.434977</v>
      </c>
      <c r="J60" s="55">
        <f t="shared" si="5"/>
        <v>421.69870955553034</v>
      </c>
      <c r="K60" s="55">
        <f t="shared" si="6"/>
        <v>3670.90625</v>
      </c>
      <c r="L60" s="7">
        <v>0</v>
      </c>
      <c r="M60" s="55">
        <v>0</v>
      </c>
      <c r="N60" s="55">
        <v>0</v>
      </c>
      <c r="O60" s="55">
        <v>0</v>
      </c>
      <c r="P60" s="55"/>
      <c r="Q60" s="56"/>
      <c r="R60" s="56">
        <f t="shared" si="7"/>
        <v>4092.6049595555305</v>
      </c>
      <c r="S60" s="33"/>
      <c r="T60" s="17"/>
    </row>
    <row r="61" spans="1:20" ht="12.75" customHeight="1">
      <c r="A61" s="41" t="s">
        <v>145</v>
      </c>
      <c r="B61" s="13" t="s">
        <v>146</v>
      </c>
      <c r="C61" s="9">
        <v>7872</v>
      </c>
      <c r="D61" s="55">
        <f t="shared" si="0"/>
        <v>0</v>
      </c>
      <c r="E61" s="55">
        <f t="shared" si="1"/>
        <v>7872</v>
      </c>
      <c r="F61" s="55">
        <f t="shared" si="2"/>
        <v>1.9822349245519386E-2</v>
      </c>
      <c r="G61" s="55">
        <f t="shared" si="3"/>
        <v>765.14268087704829</v>
      </c>
      <c r="H61" s="41">
        <v>3</v>
      </c>
      <c r="I61" s="55">
        <f t="shared" si="4"/>
        <v>353.434977</v>
      </c>
      <c r="J61" s="55">
        <f t="shared" si="5"/>
        <v>1124.1000793926733</v>
      </c>
      <c r="K61" s="55">
        <f t="shared" si="6"/>
        <v>3670.90625</v>
      </c>
      <c r="L61" s="7">
        <v>0</v>
      </c>
      <c r="M61" s="55">
        <v>0</v>
      </c>
      <c r="N61" s="55">
        <v>0</v>
      </c>
      <c r="O61" s="55">
        <v>0</v>
      </c>
      <c r="P61" s="55"/>
      <c r="Q61" s="56"/>
      <c r="R61" s="56">
        <f t="shared" si="7"/>
        <v>4795.0063293926733</v>
      </c>
      <c r="S61" s="33"/>
      <c r="T61" s="17"/>
    </row>
    <row r="62" spans="1:20" ht="12.75" customHeight="1">
      <c r="A62" s="41" t="s">
        <v>147</v>
      </c>
      <c r="B62" s="13" t="s">
        <v>148</v>
      </c>
      <c r="C62" s="9">
        <v>13385</v>
      </c>
      <c r="D62" s="55">
        <f t="shared" si="0"/>
        <v>0</v>
      </c>
      <c r="E62" s="55">
        <f t="shared" si="1"/>
        <v>13385</v>
      </c>
      <c r="F62" s="55">
        <f t="shared" si="2"/>
        <v>3.3704540733139859E-2</v>
      </c>
      <c r="G62" s="55">
        <f t="shared" si="3"/>
        <v>1300.9952722991986</v>
      </c>
      <c r="H62" s="41">
        <v>4</v>
      </c>
      <c r="I62" s="55">
        <f t="shared" si="4"/>
        <v>471.24663600000002</v>
      </c>
      <c r="J62" s="55">
        <f t="shared" si="5"/>
        <v>1777.7643298148237</v>
      </c>
      <c r="K62" s="55">
        <f t="shared" si="6"/>
        <v>3670.90625</v>
      </c>
      <c r="L62" s="7">
        <v>0</v>
      </c>
      <c r="M62" s="55">
        <v>0</v>
      </c>
      <c r="N62" s="55">
        <v>0</v>
      </c>
      <c r="O62" s="55">
        <v>0</v>
      </c>
      <c r="P62" s="55"/>
      <c r="Q62" s="56"/>
      <c r="R62" s="56">
        <f t="shared" si="7"/>
        <v>5448.6705798148232</v>
      </c>
      <c r="S62" s="33"/>
      <c r="T62" s="17"/>
    </row>
    <row r="63" spans="1:20" ht="12.75" customHeight="1">
      <c r="A63" s="41" t="s">
        <v>149</v>
      </c>
      <c r="B63" s="13" t="s">
        <v>36</v>
      </c>
      <c r="C63" s="9">
        <v>2017</v>
      </c>
      <c r="D63" s="55">
        <f t="shared" si="0"/>
        <v>0</v>
      </c>
      <c r="E63" s="55">
        <f t="shared" si="1"/>
        <v>2017</v>
      </c>
      <c r="F63" s="55">
        <f t="shared" si="2"/>
        <v>5.0789733775676573E-3</v>
      </c>
      <c r="G63" s="55">
        <f t="shared" si="3"/>
        <v>196.04837237411158</v>
      </c>
      <c r="H63" s="41">
        <v>3</v>
      </c>
      <c r="I63" s="55">
        <f t="shared" si="4"/>
        <v>353.434977</v>
      </c>
      <c r="J63" s="55">
        <f t="shared" si="5"/>
        <v>555.0057708897366</v>
      </c>
      <c r="K63" s="55">
        <f t="shared" si="6"/>
        <v>3670.90625</v>
      </c>
      <c r="L63" s="7">
        <v>750</v>
      </c>
      <c r="M63" s="55">
        <v>0</v>
      </c>
      <c r="N63" s="55">
        <v>0</v>
      </c>
      <c r="O63" s="55">
        <v>0</v>
      </c>
      <c r="P63" s="55"/>
      <c r="Q63" s="56"/>
      <c r="R63" s="56">
        <f t="shared" si="7"/>
        <v>4975.9120208897366</v>
      </c>
      <c r="S63" s="33"/>
      <c r="T63" s="17"/>
    </row>
    <row r="64" spans="1:20" ht="12.75" customHeight="1">
      <c r="A64" s="41" t="s">
        <v>150</v>
      </c>
      <c r="B64" s="13" t="s">
        <v>151</v>
      </c>
      <c r="C64" s="9">
        <v>8709.5</v>
      </c>
      <c r="D64" s="55">
        <f t="shared" si="0"/>
        <v>0</v>
      </c>
      <c r="E64" s="55">
        <f t="shared" si="1"/>
        <v>8709.5</v>
      </c>
      <c r="F64" s="55">
        <f t="shared" si="2"/>
        <v>2.1931243744137588E-2</v>
      </c>
      <c r="G64" s="55">
        <f t="shared" si="3"/>
        <v>846.54600852371084</v>
      </c>
      <c r="H64" s="41">
        <v>3</v>
      </c>
      <c r="I64" s="55">
        <f t="shared" si="4"/>
        <v>353.434977</v>
      </c>
      <c r="J64" s="55">
        <f t="shared" si="5"/>
        <v>1205.5034070393358</v>
      </c>
      <c r="K64" s="55">
        <f t="shared" si="6"/>
        <v>3670.90625</v>
      </c>
      <c r="L64" s="7">
        <v>0</v>
      </c>
      <c r="M64" s="55">
        <v>0</v>
      </c>
      <c r="N64" s="55">
        <v>0</v>
      </c>
      <c r="O64" s="55">
        <v>0</v>
      </c>
      <c r="P64" s="55"/>
      <c r="Q64" s="56"/>
      <c r="R64" s="56">
        <f t="shared" si="7"/>
        <v>4876.4096570393358</v>
      </c>
      <c r="S64" s="33"/>
      <c r="T64" s="17"/>
    </row>
    <row r="65" spans="1:20" ht="12.75" customHeight="1">
      <c r="A65" s="41" t="s">
        <v>152</v>
      </c>
      <c r="B65" s="13" t="s">
        <v>153</v>
      </c>
      <c r="C65" s="9">
        <v>1876</v>
      </c>
      <c r="D65" s="55">
        <f t="shared" si="0"/>
        <v>0</v>
      </c>
      <c r="E65" s="55">
        <f t="shared" si="1"/>
        <v>1876</v>
      </c>
      <c r="F65" s="55">
        <f t="shared" si="2"/>
        <v>4.7239236769047723E-3</v>
      </c>
      <c r="G65" s="55">
        <f t="shared" si="3"/>
        <v>182.34345392852421</v>
      </c>
      <c r="H65" s="41">
        <v>3</v>
      </c>
      <c r="I65" s="55">
        <f t="shared" si="4"/>
        <v>353.434977</v>
      </c>
      <c r="J65" s="55">
        <f t="shared" si="5"/>
        <v>541.3008524441492</v>
      </c>
      <c r="K65" s="55">
        <f t="shared" si="6"/>
        <v>3670.90625</v>
      </c>
      <c r="L65" s="7">
        <v>0</v>
      </c>
      <c r="M65" s="55">
        <v>0</v>
      </c>
      <c r="N65" s="55">
        <v>0</v>
      </c>
      <c r="O65" s="55">
        <v>0</v>
      </c>
      <c r="P65" s="55"/>
      <c r="Q65" s="56"/>
      <c r="R65" s="56">
        <f t="shared" si="7"/>
        <v>4212.2071024441493</v>
      </c>
      <c r="S65" s="33"/>
      <c r="T65" s="17"/>
    </row>
    <row r="66" spans="1:20" ht="12.75" customHeight="1">
      <c r="A66" s="41" t="s">
        <v>154</v>
      </c>
      <c r="B66" s="13" t="s">
        <v>155</v>
      </c>
      <c r="C66" s="9">
        <v>4073.5</v>
      </c>
      <c r="D66" s="55">
        <f t="shared" si="0"/>
        <v>0</v>
      </c>
      <c r="E66" s="55">
        <f t="shared" si="1"/>
        <v>4073.5</v>
      </c>
      <c r="F66" s="55">
        <f t="shared" si="2"/>
        <v>1.0257411032980591E-2</v>
      </c>
      <c r="G66" s="55">
        <f t="shared" si="3"/>
        <v>395.93606587305084</v>
      </c>
      <c r="H66" s="41">
        <v>4</v>
      </c>
      <c r="I66" s="55">
        <f t="shared" si="4"/>
        <v>471.24663600000002</v>
      </c>
      <c r="J66" s="55">
        <f t="shared" si="5"/>
        <v>872.70512338867593</v>
      </c>
      <c r="K66" s="55">
        <f t="shared" si="6"/>
        <v>3670.90625</v>
      </c>
      <c r="L66" s="7">
        <v>0</v>
      </c>
      <c r="M66" s="55">
        <v>0</v>
      </c>
      <c r="N66" s="55">
        <v>0</v>
      </c>
      <c r="O66" s="55">
        <v>0</v>
      </c>
      <c r="P66" s="55"/>
      <c r="Q66" s="56"/>
      <c r="R66" s="56">
        <f t="shared" si="7"/>
        <v>4543.6113733886759</v>
      </c>
      <c r="S66" s="33"/>
      <c r="T66" s="17"/>
    </row>
    <row r="67" spans="1:20" ht="12.75" customHeight="1">
      <c r="A67" s="41" t="s">
        <v>156</v>
      </c>
      <c r="B67" s="13" t="s">
        <v>157</v>
      </c>
      <c r="C67" s="9">
        <v>4254</v>
      </c>
      <c r="D67" s="55">
        <f t="shared" si="0"/>
        <v>0</v>
      </c>
      <c r="E67" s="55">
        <f t="shared" si="1"/>
        <v>4254</v>
      </c>
      <c r="F67" s="55">
        <f t="shared" si="2"/>
        <v>1.0711925011488753E-2</v>
      </c>
      <c r="G67" s="55">
        <f t="shared" si="3"/>
        <v>413.48030544346585</v>
      </c>
      <c r="H67" s="41">
        <v>4</v>
      </c>
      <c r="I67" s="55">
        <f t="shared" si="4"/>
        <v>471.24663600000002</v>
      </c>
      <c r="J67" s="55">
        <f t="shared" si="5"/>
        <v>890.24936295909083</v>
      </c>
      <c r="K67" s="55">
        <f t="shared" si="6"/>
        <v>3670.90625</v>
      </c>
      <c r="L67" s="7">
        <v>0</v>
      </c>
      <c r="M67" s="55">
        <v>0</v>
      </c>
      <c r="N67" s="55">
        <v>0</v>
      </c>
      <c r="O67" s="55">
        <v>0</v>
      </c>
      <c r="P67" s="55"/>
      <c r="Q67" s="56"/>
      <c r="R67" s="56">
        <f t="shared" si="7"/>
        <v>4561.1556129590908</v>
      </c>
      <c r="S67" s="33"/>
      <c r="T67" s="17"/>
    </row>
    <row r="68" spans="1:20" ht="12.75" customHeight="1">
      <c r="A68" s="41" t="s">
        <v>158</v>
      </c>
      <c r="B68" s="13" t="s">
        <v>159</v>
      </c>
      <c r="C68" s="9">
        <v>10967.5</v>
      </c>
      <c r="D68" s="55">
        <f t="shared" si="0"/>
        <v>0</v>
      </c>
      <c r="E68" s="55">
        <f t="shared" si="1"/>
        <v>10967.5</v>
      </c>
      <c r="F68" s="55">
        <f t="shared" si="2"/>
        <v>2.7617075120710603E-2</v>
      </c>
      <c r="G68" s="55">
        <f t="shared" si="3"/>
        <v>1066.0190996594292</v>
      </c>
      <c r="H68" s="41">
        <v>4</v>
      </c>
      <c r="I68" s="55">
        <f t="shared" si="4"/>
        <v>471.24663600000002</v>
      </c>
      <c r="J68" s="55">
        <f t="shared" si="5"/>
        <v>1542.7881571750543</v>
      </c>
      <c r="K68" s="55">
        <f t="shared" si="6"/>
        <v>3670.90625</v>
      </c>
      <c r="L68" s="7">
        <v>0</v>
      </c>
      <c r="M68" s="55">
        <v>0</v>
      </c>
      <c r="N68" s="55">
        <v>0</v>
      </c>
      <c r="O68" s="55">
        <v>0</v>
      </c>
      <c r="P68" s="55"/>
      <c r="Q68" s="56"/>
      <c r="R68" s="56">
        <f t="shared" si="7"/>
        <v>5213.694407175054</v>
      </c>
      <c r="S68" s="33"/>
      <c r="T68" s="17"/>
    </row>
    <row r="69" spans="1:20" ht="12.75" customHeight="1">
      <c r="A69" s="41" t="s">
        <v>160</v>
      </c>
      <c r="B69" s="13" t="s">
        <v>161</v>
      </c>
      <c r="C69" s="9">
        <v>1094</v>
      </c>
      <c r="D69" s="55">
        <f t="shared" si="0"/>
        <v>0</v>
      </c>
      <c r="E69" s="55">
        <f t="shared" si="1"/>
        <v>1094</v>
      </c>
      <c r="F69" s="55">
        <f t="shared" si="2"/>
        <v>2.7547827838666425E-3</v>
      </c>
      <c r="G69" s="55">
        <f t="shared" si="3"/>
        <v>106.3346154572524</v>
      </c>
      <c r="H69" s="41">
        <v>3</v>
      </c>
      <c r="I69" s="55">
        <f t="shared" si="4"/>
        <v>353.434977</v>
      </c>
      <c r="J69" s="55">
        <f t="shared" si="5"/>
        <v>465.29201397287738</v>
      </c>
      <c r="K69" s="55">
        <f t="shared" si="6"/>
        <v>3670.90625</v>
      </c>
      <c r="L69" s="7">
        <v>0</v>
      </c>
      <c r="M69" s="55">
        <v>0</v>
      </c>
      <c r="N69" s="55">
        <v>0</v>
      </c>
      <c r="O69" s="55">
        <v>0</v>
      </c>
      <c r="P69" s="55"/>
      <c r="Q69" s="56"/>
      <c r="R69" s="56">
        <f t="shared" si="7"/>
        <v>4136.1982639728776</v>
      </c>
      <c r="S69" s="33"/>
      <c r="T69" s="17"/>
    </row>
    <row r="70" spans="1:20" ht="12.75" customHeight="1">
      <c r="A70" s="52" t="s">
        <v>162</v>
      </c>
      <c r="B70" s="69" t="s">
        <v>162</v>
      </c>
      <c r="C70" s="56">
        <f t="shared" ref="C70:D70" si="8">SUM(C3:C69)</f>
        <v>397127.5</v>
      </c>
      <c r="D70" s="56">
        <f t="shared" si="8"/>
        <v>0</v>
      </c>
      <c r="E70" s="56">
        <f>SUM(E5:E69)</f>
        <v>397127.5</v>
      </c>
      <c r="F70" s="56">
        <f>SUM(F6:F69)</f>
        <v>1</v>
      </c>
      <c r="G70" s="56">
        <f>SUM(G6:G69)</f>
        <v>38600.000000000007</v>
      </c>
      <c r="H70" s="56">
        <f>SUM(H3:H69)</f>
        <v>223</v>
      </c>
      <c r="I70" s="56">
        <f>SUM(I3:I69)</f>
        <v>26271.999957000018</v>
      </c>
      <c r="J70" s="56">
        <f t="shared" ref="J70:K70" si="9">SUM(J6:J69)</f>
        <v>64871.999956999985</v>
      </c>
      <c r="K70" s="56">
        <f t="shared" si="9"/>
        <v>234938</v>
      </c>
      <c r="L70" s="52">
        <f t="shared" ref="L70:P70" si="10">SUM(L3:L69)</f>
        <v>3750</v>
      </c>
      <c r="M70" s="52">
        <f t="shared" si="10"/>
        <v>0</v>
      </c>
      <c r="N70" s="52">
        <f t="shared" si="10"/>
        <v>5000</v>
      </c>
      <c r="O70" s="52">
        <f t="shared" si="10"/>
        <v>0</v>
      </c>
      <c r="P70" s="52">
        <f t="shared" si="10"/>
        <v>0</v>
      </c>
      <c r="Q70" s="52"/>
      <c r="R70" s="52">
        <f>SUM(R3:R69)</f>
        <v>308559.99995700002</v>
      </c>
      <c r="S70" s="33"/>
      <c r="T70" s="17"/>
    </row>
    <row r="71" spans="1:20" ht="12.75" customHeight="1">
      <c r="S71" s="33"/>
      <c r="T71" s="17"/>
    </row>
    <row r="72" spans="1:20" ht="12.75" customHeight="1">
      <c r="S72" s="33"/>
      <c r="T72" s="17"/>
    </row>
    <row r="73" spans="1:20" ht="12.75" customHeight="1">
      <c r="S73" s="34"/>
      <c r="T73" s="35"/>
    </row>
  </sheetData>
  <mergeCells count="1">
    <mergeCell ref="B1:T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70" t="s">
        <v>164</v>
      </c>
      <c r="E1" s="37" t="s">
        <v>163</v>
      </c>
      <c r="F1" s="70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5513</v>
      </c>
      <c r="D2" s="71">
        <v>45800</v>
      </c>
      <c r="F2" s="71"/>
      <c r="H2" s="71"/>
      <c r="K2" s="40">
        <f t="shared" ref="K2:K65" si="0">SUM(C2,E2,G2,I2)</f>
        <v>5513</v>
      </c>
    </row>
    <row r="3" spans="1:11" ht="15" customHeight="1">
      <c r="A3" s="41" t="s">
        <v>26</v>
      </c>
      <c r="B3" s="13" t="s">
        <v>27</v>
      </c>
      <c r="C3" s="40">
        <v>9182</v>
      </c>
      <c r="D3" s="72">
        <v>45798</v>
      </c>
      <c r="F3" s="72"/>
      <c r="H3" s="72"/>
      <c r="K3" s="40">
        <f t="shared" si="0"/>
        <v>9182</v>
      </c>
    </row>
    <row r="4" spans="1:11" ht="15" customHeight="1">
      <c r="A4" s="41" t="s">
        <v>29</v>
      </c>
      <c r="B4" s="13" t="s">
        <v>30</v>
      </c>
      <c r="C4" s="40">
        <v>6000</v>
      </c>
      <c r="D4" s="71">
        <v>45778</v>
      </c>
      <c r="E4" s="46"/>
      <c r="F4" s="71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5710</v>
      </c>
      <c r="D5" s="72">
        <v>45792</v>
      </c>
      <c r="F5" s="72"/>
      <c r="H5" s="72"/>
      <c r="K5" s="46">
        <f t="shared" si="0"/>
        <v>5710</v>
      </c>
    </row>
    <row r="6" spans="1:11" ht="15" customHeight="1">
      <c r="A6" s="41" t="s">
        <v>35</v>
      </c>
      <c r="B6" s="13" t="s">
        <v>36</v>
      </c>
      <c r="C6" s="42">
        <v>5354</v>
      </c>
      <c r="D6" s="71">
        <v>45792</v>
      </c>
      <c r="F6" s="71"/>
      <c r="H6" s="71"/>
      <c r="K6" s="40">
        <f t="shared" si="0"/>
        <v>5354</v>
      </c>
    </row>
    <row r="7" spans="1:11" ht="15" customHeight="1">
      <c r="A7" s="41" t="s">
        <v>37</v>
      </c>
      <c r="B7" s="13" t="s">
        <v>38</v>
      </c>
      <c r="C7" s="40">
        <v>5864</v>
      </c>
      <c r="D7" s="72">
        <v>45807</v>
      </c>
      <c r="F7" s="72"/>
      <c r="H7" s="72"/>
      <c r="K7" s="40">
        <f t="shared" si="0"/>
        <v>5864</v>
      </c>
    </row>
    <row r="8" spans="1:11" ht="15" customHeight="1">
      <c r="A8" s="41" t="s">
        <v>40</v>
      </c>
      <c r="B8" s="13" t="s">
        <v>41</v>
      </c>
      <c r="C8" s="40">
        <v>5466</v>
      </c>
      <c r="D8" s="71">
        <v>45781</v>
      </c>
      <c r="E8" s="42">
        <v>6136</v>
      </c>
      <c r="F8" s="71">
        <v>45798</v>
      </c>
      <c r="H8" s="71"/>
      <c r="K8" s="40">
        <f t="shared" si="0"/>
        <v>11602</v>
      </c>
    </row>
    <row r="9" spans="1:11" ht="15" customHeight="1">
      <c r="A9" s="41" t="s">
        <v>43</v>
      </c>
      <c r="B9" s="13" t="s">
        <v>44</v>
      </c>
      <c r="C9" s="73">
        <v>5312</v>
      </c>
      <c r="D9" s="74">
        <v>45792</v>
      </c>
      <c r="F9" s="71"/>
      <c r="H9" s="71"/>
      <c r="K9" s="46">
        <f t="shared" si="0"/>
        <v>5312</v>
      </c>
    </row>
    <row r="10" spans="1:11" ht="15" customHeight="1">
      <c r="A10" s="41" t="s">
        <v>46</v>
      </c>
      <c r="B10" s="13" t="s">
        <v>47</v>
      </c>
      <c r="C10" s="73">
        <v>5516</v>
      </c>
      <c r="D10" s="72">
        <v>45796</v>
      </c>
      <c r="F10" s="71"/>
      <c r="H10" s="71"/>
      <c r="K10" s="46">
        <f t="shared" si="0"/>
        <v>5516</v>
      </c>
    </row>
    <row r="11" spans="1:11" ht="15" customHeight="1">
      <c r="A11" s="41" t="s">
        <v>49</v>
      </c>
      <c r="B11" s="13" t="s">
        <v>50</v>
      </c>
      <c r="C11" s="46">
        <v>5600</v>
      </c>
      <c r="D11" s="72">
        <v>45806</v>
      </c>
      <c r="F11" s="72"/>
      <c r="H11" s="72"/>
      <c r="K11" s="46">
        <f t="shared" si="0"/>
        <v>5600</v>
      </c>
    </row>
    <row r="12" spans="1:11" ht="15" customHeight="1">
      <c r="A12" s="41" t="s">
        <v>52</v>
      </c>
      <c r="B12" s="13" t="s">
        <v>53</v>
      </c>
      <c r="C12" s="73">
        <v>5340</v>
      </c>
      <c r="D12" s="74">
        <v>45794</v>
      </c>
      <c r="F12" s="71"/>
      <c r="H12" s="71"/>
      <c r="K12" s="46">
        <f t="shared" si="0"/>
        <v>5340</v>
      </c>
    </row>
    <row r="13" spans="1:11" ht="15" customHeight="1">
      <c r="A13" s="41" t="s">
        <v>55</v>
      </c>
      <c r="B13" s="13" t="s">
        <v>56</v>
      </c>
      <c r="C13" s="46">
        <v>5286</v>
      </c>
      <c r="D13" s="71">
        <v>45796</v>
      </c>
      <c r="F13" s="71"/>
      <c r="H13" s="71"/>
      <c r="K13" s="46">
        <f t="shared" si="0"/>
        <v>5286</v>
      </c>
    </row>
    <row r="14" spans="1:11" ht="15" customHeight="1">
      <c r="A14" s="41" t="s">
        <v>58</v>
      </c>
      <c r="B14" s="13" t="s">
        <v>59</v>
      </c>
      <c r="C14" s="42">
        <v>5426</v>
      </c>
      <c r="D14" s="71">
        <v>45806</v>
      </c>
      <c r="E14" s="42"/>
      <c r="F14" s="71"/>
      <c r="G14" s="42"/>
      <c r="H14" s="71"/>
      <c r="K14" s="40">
        <f t="shared" si="0"/>
        <v>5426</v>
      </c>
    </row>
    <row r="15" spans="1:11" ht="15" customHeight="1">
      <c r="A15" s="41" t="s">
        <v>61</v>
      </c>
      <c r="B15" s="13" t="s">
        <v>62</v>
      </c>
      <c r="C15" s="46">
        <v>6148</v>
      </c>
      <c r="D15" s="71">
        <v>45793</v>
      </c>
      <c r="F15" s="72"/>
      <c r="H15" s="72"/>
      <c r="K15" s="46">
        <f t="shared" si="0"/>
        <v>6148</v>
      </c>
    </row>
    <row r="16" spans="1:11" ht="15" customHeight="1">
      <c r="A16" s="41" t="s">
        <v>63</v>
      </c>
      <c r="B16" s="13" t="s">
        <v>64</v>
      </c>
      <c r="C16" s="42">
        <v>6465</v>
      </c>
      <c r="D16" s="71">
        <v>45797</v>
      </c>
      <c r="F16" s="71"/>
      <c r="H16" s="71"/>
      <c r="K16" s="40">
        <f t="shared" si="0"/>
        <v>6465</v>
      </c>
    </row>
    <row r="17" spans="1:11" ht="15" customHeight="1">
      <c r="A17" s="41" t="s">
        <v>65</v>
      </c>
      <c r="B17" s="13" t="s">
        <v>66</v>
      </c>
      <c r="D17" s="72"/>
      <c r="F17" s="72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/>
      <c r="D18" s="72"/>
      <c r="E18" s="46"/>
      <c r="H18" s="72"/>
      <c r="K18" s="46">
        <f t="shared" si="0"/>
        <v>0</v>
      </c>
    </row>
    <row r="19" spans="1:11" ht="15" customHeight="1">
      <c r="A19" s="41" t="s">
        <v>69</v>
      </c>
      <c r="B19" s="13" t="s">
        <v>70</v>
      </c>
      <c r="C19" s="73"/>
      <c r="D19" s="74"/>
      <c r="F19" s="71"/>
      <c r="H19" s="71"/>
      <c r="K19" s="46">
        <f t="shared" si="0"/>
        <v>0</v>
      </c>
    </row>
    <row r="20" spans="1:11" ht="15" customHeight="1">
      <c r="A20" s="41" t="s">
        <v>71</v>
      </c>
      <c r="B20" s="13" t="s">
        <v>72</v>
      </c>
      <c r="C20" s="73">
        <v>6545</v>
      </c>
      <c r="D20" s="74">
        <v>45796</v>
      </c>
      <c r="F20" s="71"/>
      <c r="H20" s="71"/>
      <c r="K20" s="46">
        <f t="shared" si="0"/>
        <v>6545</v>
      </c>
    </row>
    <row r="21" spans="1:11" ht="15" customHeight="1">
      <c r="A21" s="41" t="s">
        <v>73</v>
      </c>
      <c r="B21" s="13" t="s">
        <v>74</v>
      </c>
      <c r="C21" s="73">
        <v>6908</v>
      </c>
      <c r="D21" s="74">
        <v>45793</v>
      </c>
      <c r="F21" s="71"/>
      <c r="H21" s="71"/>
      <c r="K21" s="46">
        <f t="shared" si="0"/>
        <v>6908</v>
      </c>
    </row>
    <row r="22" spans="1:11" ht="16">
      <c r="A22" s="41" t="s">
        <v>75</v>
      </c>
      <c r="B22" s="13" t="s">
        <v>76</v>
      </c>
      <c r="C22" s="46">
        <v>6000</v>
      </c>
      <c r="D22" s="71">
        <v>45797</v>
      </c>
      <c r="F22" s="72"/>
      <c r="H22" s="72"/>
      <c r="K22" s="46">
        <f t="shared" si="0"/>
        <v>6000</v>
      </c>
    </row>
    <row r="23" spans="1:11" ht="16">
      <c r="A23" s="41" t="s">
        <v>77</v>
      </c>
      <c r="B23" s="13" t="s">
        <v>78</v>
      </c>
      <c r="D23" s="72"/>
      <c r="F23" s="72"/>
      <c r="H23" s="72"/>
      <c r="K23" s="40">
        <f t="shared" si="0"/>
        <v>0</v>
      </c>
    </row>
    <row r="24" spans="1:11" ht="16">
      <c r="A24" s="41" t="s">
        <v>79</v>
      </c>
      <c r="B24" s="13" t="s">
        <v>80</v>
      </c>
      <c r="C24" s="73">
        <v>5752</v>
      </c>
      <c r="D24" s="74">
        <v>45798</v>
      </c>
      <c r="F24" s="71"/>
      <c r="H24" s="71"/>
      <c r="K24" s="46">
        <f t="shared" si="0"/>
        <v>5752</v>
      </c>
    </row>
    <row r="25" spans="1:11" ht="16">
      <c r="A25" s="41" t="s">
        <v>81</v>
      </c>
      <c r="B25" s="13" t="s">
        <v>82</v>
      </c>
      <c r="C25" s="40">
        <v>6328</v>
      </c>
      <c r="D25" s="72">
        <v>45806</v>
      </c>
      <c r="F25" s="72"/>
      <c r="H25" s="72"/>
      <c r="K25" s="40">
        <f t="shared" si="0"/>
        <v>6328</v>
      </c>
    </row>
    <row r="26" spans="1:11" ht="16">
      <c r="A26" s="41" t="s">
        <v>83</v>
      </c>
      <c r="B26" s="13" t="s">
        <v>84</v>
      </c>
      <c r="C26" s="73">
        <v>5203</v>
      </c>
      <c r="D26" s="74">
        <v>45781</v>
      </c>
      <c r="F26" s="71"/>
      <c r="H26" s="71"/>
      <c r="K26" s="46">
        <f t="shared" si="0"/>
        <v>5203</v>
      </c>
    </row>
    <row r="27" spans="1:11" ht="16">
      <c r="A27" s="41" t="s">
        <v>85</v>
      </c>
      <c r="B27" s="13" t="s">
        <v>86</v>
      </c>
      <c r="C27" s="46">
        <v>6240</v>
      </c>
      <c r="D27" s="72">
        <v>45799</v>
      </c>
      <c r="F27" s="72"/>
      <c r="H27" s="72"/>
      <c r="K27" s="46">
        <f t="shared" si="0"/>
        <v>6240</v>
      </c>
    </row>
    <row r="28" spans="1:11" ht="16">
      <c r="A28" s="41" t="s">
        <v>87</v>
      </c>
      <c r="B28" s="13" t="s">
        <v>88</v>
      </c>
      <c r="C28" s="73">
        <v>4689</v>
      </c>
      <c r="D28" s="71">
        <v>45780</v>
      </c>
      <c r="E28" s="40">
        <v>5599</v>
      </c>
      <c r="F28" s="71">
        <v>45792</v>
      </c>
      <c r="H28" s="71"/>
      <c r="K28" s="46">
        <f t="shared" si="0"/>
        <v>10288</v>
      </c>
    </row>
    <row r="29" spans="1:11" ht="16">
      <c r="A29" s="41" t="s">
        <v>89</v>
      </c>
      <c r="B29" s="13" t="s">
        <v>90</v>
      </c>
      <c r="C29" s="73">
        <v>5803</v>
      </c>
      <c r="D29" s="74">
        <v>45806</v>
      </c>
      <c r="F29" s="71"/>
      <c r="H29" s="71"/>
      <c r="K29" s="46">
        <f t="shared" si="0"/>
        <v>5803</v>
      </c>
    </row>
    <row r="30" spans="1:11" ht="16">
      <c r="A30" s="41" t="s">
        <v>91</v>
      </c>
      <c r="B30" s="13" t="s">
        <v>92</v>
      </c>
      <c r="C30" s="40">
        <v>6379</v>
      </c>
      <c r="D30" s="72">
        <v>45807</v>
      </c>
      <c r="F30" s="72"/>
      <c r="H30" s="72"/>
      <c r="K30" s="40">
        <f t="shared" si="0"/>
        <v>6379</v>
      </c>
    </row>
    <row r="31" spans="1:11" ht="16">
      <c r="A31" s="41" t="s">
        <v>93</v>
      </c>
      <c r="B31" s="13" t="s">
        <v>94</v>
      </c>
      <c r="C31" s="42">
        <v>5734</v>
      </c>
      <c r="D31" s="71">
        <v>45806</v>
      </c>
      <c r="F31" s="71"/>
      <c r="H31" s="71"/>
      <c r="K31" s="40">
        <f t="shared" si="0"/>
        <v>5734</v>
      </c>
    </row>
    <row r="32" spans="1:11" ht="16">
      <c r="A32" s="41" t="s">
        <v>95</v>
      </c>
      <c r="B32" s="13" t="s">
        <v>96</v>
      </c>
      <c r="C32" s="73"/>
      <c r="D32" s="42"/>
      <c r="F32" s="71"/>
      <c r="H32" s="71"/>
      <c r="K32" s="46">
        <f t="shared" si="0"/>
        <v>0</v>
      </c>
    </row>
    <row r="33" spans="1:11" ht="16">
      <c r="A33" s="41" t="s">
        <v>97</v>
      </c>
      <c r="B33" s="13" t="s">
        <v>98</v>
      </c>
      <c r="C33" s="42"/>
      <c r="D33" s="71"/>
      <c r="F33" s="71"/>
      <c r="H33" s="71"/>
      <c r="K33" s="40">
        <f t="shared" si="0"/>
        <v>0</v>
      </c>
    </row>
    <row r="34" spans="1:11" ht="16">
      <c r="A34" s="41" t="s">
        <v>99</v>
      </c>
      <c r="B34" s="13" t="s">
        <v>100</v>
      </c>
      <c r="C34" s="73">
        <v>5286</v>
      </c>
      <c r="D34" s="74">
        <v>45796</v>
      </c>
      <c r="F34" s="71"/>
      <c r="H34" s="71"/>
      <c r="K34" s="46">
        <f t="shared" si="0"/>
        <v>5286</v>
      </c>
    </row>
    <row r="35" spans="1:11" ht="16">
      <c r="A35" s="41" t="s">
        <v>101</v>
      </c>
      <c r="B35" s="13" t="s">
        <v>102</v>
      </c>
      <c r="C35" s="40">
        <v>12856</v>
      </c>
      <c r="D35" s="72">
        <v>45780</v>
      </c>
      <c r="E35" s="40">
        <v>8243</v>
      </c>
      <c r="F35" s="72">
        <v>45806</v>
      </c>
      <c r="H35" s="72"/>
      <c r="K35" s="40">
        <f t="shared" si="0"/>
        <v>21099</v>
      </c>
    </row>
    <row r="36" spans="1:11" ht="16">
      <c r="A36" s="41" t="s">
        <v>103</v>
      </c>
      <c r="B36" s="13" t="s">
        <v>104</v>
      </c>
      <c r="C36" s="40">
        <v>5553</v>
      </c>
      <c r="D36" s="72">
        <v>45798</v>
      </c>
      <c r="F36" s="72"/>
      <c r="H36" s="72"/>
      <c r="K36" s="40">
        <f t="shared" si="0"/>
        <v>5553</v>
      </c>
    </row>
    <row r="37" spans="1:11" ht="16">
      <c r="A37" s="41" t="s">
        <v>105</v>
      </c>
      <c r="B37" s="13" t="s">
        <v>106</v>
      </c>
      <c r="C37" s="73">
        <v>6853</v>
      </c>
      <c r="D37" s="71">
        <v>45792</v>
      </c>
      <c r="F37" s="71"/>
      <c r="H37" s="71"/>
      <c r="K37" s="46">
        <f t="shared" si="0"/>
        <v>6853</v>
      </c>
    </row>
    <row r="38" spans="1:11" ht="16">
      <c r="A38" s="41" t="s">
        <v>107</v>
      </c>
      <c r="B38" s="13" t="s">
        <v>108</v>
      </c>
      <c r="C38" s="42">
        <v>6314</v>
      </c>
      <c r="D38" s="71">
        <v>45797</v>
      </c>
      <c r="F38" s="71"/>
      <c r="H38" s="71"/>
      <c r="K38" s="40">
        <f t="shared" si="0"/>
        <v>6314</v>
      </c>
    </row>
    <row r="39" spans="1:11" ht="16">
      <c r="A39" s="41" t="s">
        <v>109</v>
      </c>
      <c r="B39" s="30" t="s">
        <v>110</v>
      </c>
      <c r="C39" s="40">
        <v>5320</v>
      </c>
      <c r="D39" s="71">
        <v>45795</v>
      </c>
      <c r="F39" s="71"/>
      <c r="H39" s="71"/>
      <c r="K39" s="40">
        <f t="shared" si="0"/>
        <v>5320</v>
      </c>
    </row>
    <row r="40" spans="1:11" ht="16">
      <c r="A40" s="41" t="s">
        <v>111</v>
      </c>
      <c r="B40" s="13" t="s">
        <v>112</v>
      </c>
      <c r="C40" s="73">
        <v>5402</v>
      </c>
      <c r="D40" s="74">
        <v>45804</v>
      </c>
      <c r="F40" s="71"/>
      <c r="H40" s="71"/>
      <c r="K40" s="46">
        <f t="shared" si="0"/>
        <v>5402</v>
      </c>
    </row>
    <row r="41" spans="1:11" ht="16">
      <c r="A41" s="41" t="s">
        <v>113</v>
      </c>
      <c r="B41" s="13" t="s">
        <v>114</v>
      </c>
      <c r="C41" s="73">
        <v>5431</v>
      </c>
      <c r="D41" s="74">
        <v>45807</v>
      </c>
      <c r="F41" s="71"/>
      <c r="H41" s="71"/>
      <c r="K41" s="46">
        <f t="shared" si="0"/>
        <v>5431</v>
      </c>
    </row>
    <row r="42" spans="1:11" ht="16">
      <c r="A42" s="41" t="s">
        <v>115</v>
      </c>
      <c r="B42" s="13" t="s">
        <v>116</v>
      </c>
      <c r="C42" s="73">
        <v>6410</v>
      </c>
      <c r="D42" s="74">
        <v>45798</v>
      </c>
      <c r="E42" s="40">
        <v>5302</v>
      </c>
      <c r="F42" s="71">
        <v>45808</v>
      </c>
      <c r="H42" s="71"/>
      <c r="K42" s="46">
        <f t="shared" si="0"/>
        <v>11712</v>
      </c>
    </row>
    <row r="43" spans="1:11" ht="16">
      <c r="A43" s="41" t="s">
        <v>117</v>
      </c>
      <c r="B43" s="13" t="s">
        <v>118</v>
      </c>
      <c r="C43" s="73"/>
      <c r="D43" s="42"/>
      <c r="F43" s="71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2">
        <v>5330</v>
      </c>
      <c r="D44" s="71">
        <v>45792</v>
      </c>
      <c r="F44" s="71"/>
      <c r="H44" s="71"/>
      <c r="K44" s="40">
        <f t="shared" si="0"/>
        <v>5330</v>
      </c>
    </row>
    <row r="45" spans="1:11" ht="16">
      <c r="A45" s="41" t="s">
        <v>121</v>
      </c>
      <c r="B45" s="13" t="s">
        <v>122</v>
      </c>
      <c r="C45" s="73"/>
      <c r="D45" s="71"/>
      <c r="F45" s="71"/>
      <c r="H45" s="71"/>
      <c r="K45" s="46">
        <f t="shared" si="0"/>
        <v>0</v>
      </c>
    </row>
    <row r="46" spans="1:11" ht="16">
      <c r="A46" s="41" t="s">
        <v>123</v>
      </c>
      <c r="B46" s="13" t="s">
        <v>124</v>
      </c>
      <c r="C46" s="42">
        <v>5665</v>
      </c>
      <c r="D46" s="71">
        <v>45806</v>
      </c>
      <c r="E46" s="42"/>
      <c r="F46" s="71"/>
      <c r="G46" s="42"/>
      <c r="H46" s="71"/>
      <c r="K46" s="40">
        <f t="shared" si="0"/>
        <v>5665</v>
      </c>
    </row>
    <row r="47" spans="1:11" ht="16">
      <c r="A47" s="41" t="s">
        <v>125</v>
      </c>
      <c r="B47" s="13" t="s">
        <v>126</v>
      </c>
      <c r="D47" s="72"/>
      <c r="F47" s="72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>
        <v>7056</v>
      </c>
      <c r="D48" s="74">
        <v>45806</v>
      </c>
      <c r="F48" s="71"/>
      <c r="H48" s="71"/>
      <c r="K48" s="46">
        <f t="shared" si="0"/>
        <v>7056</v>
      </c>
    </row>
    <row r="49" spans="1:11" ht="16">
      <c r="A49" s="41" t="s">
        <v>129</v>
      </c>
      <c r="B49" s="13" t="s">
        <v>130</v>
      </c>
      <c r="C49" s="40">
        <v>5800</v>
      </c>
      <c r="D49" s="72">
        <v>45793</v>
      </c>
      <c r="F49" s="72"/>
      <c r="H49" s="72"/>
      <c r="K49" s="40">
        <f t="shared" si="0"/>
        <v>5800</v>
      </c>
    </row>
    <row r="50" spans="1:11" ht="16">
      <c r="A50" s="41" t="s">
        <v>131</v>
      </c>
      <c r="B50" s="13" t="s">
        <v>132</v>
      </c>
      <c r="C50" s="42">
        <v>6823</v>
      </c>
      <c r="D50" s="71">
        <v>45801</v>
      </c>
      <c r="F50" s="71"/>
      <c r="H50" s="71"/>
      <c r="K50" s="40">
        <f t="shared" si="0"/>
        <v>6823</v>
      </c>
    </row>
    <row r="51" spans="1:11" ht="16">
      <c r="A51" s="41" t="s">
        <v>133</v>
      </c>
      <c r="B51" s="13" t="s">
        <v>134</v>
      </c>
      <c r="C51" s="46"/>
      <c r="D51" s="72"/>
      <c r="F51" s="72"/>
      <c r="H51" s="72"/>
      <c r="K51" s="46">
        <f t="shared" si="0"/>
        <v>0</v>
      </c>
    </row>
    <row r="52" spans="1:11" ht="16">
      <c r="A52" s="41" t="s">
        <v>135</v>
      </c>
      <c r="B52" s="13" t="s">
        <v>136</v>
      </c>
      <c r="C52" s="73">
        <v>6537</v>
      </c>
      <c r="D52" s="74">
        <v>45794</v>
      </c>
      <c r="E52" s="40">
        <v>5391</v>
      </c>
      <c r="F52" s="71">
        <v>45806</v>
      </c>
      <c r="H52" s="71"/>
      <c r="K52" s="46">
        <f t="shared" si="0"/>
        <v>11928</v>
      </c>
    </row>
    <row r="53" spans="1:11" ht="16">
      <c r="A53" s="41" t="s">
        <v>137</v>
      </c>
      <c r="B53" s="13" t="s">
        <v>138</v>
      </c>
      <c r="C53" s="73"/>
      <c r="D53" s="71"/>
      <c r="F53" s="71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>
        <v>5941</v>
      </c>
      <c r="D54" s="71">
        <v>45797</v>
      </c>
      <c r="F54" s="71"/>
      <c r="H54" s="71"/>
      <c r="K54" s="40">
        <f t="shared" si="0"/>
        <v>5941</v>
      </c>
    </row>
    <row r="55" spans="1:11" ht="16">
      <c r="A55" s="41" t="s">
        <v>141</v>
      </c>
      <c r="B55" s="13" t="s">
        <v>142</v>
      </c>
      <c r="C55" s="46">
        <v>6739</v>
      </c>
      <c r="D55" s="72">
        <v>45806</v>
      </c>
      <c r="F55" s="72"/>
      <c r="H55" s="72"/>
      <c r="K55" s="46">
        <f t="shared" si="0"/>
        <v>6739</v>
      </c>
    </row>
    <row r="56" spans="1:11" ht="16">
      <c r="A56" s="41" t="s">
        <v>143</v>
      </c>
      <c r="B56" s="13" t="s">
        <v>144</v>
      </c>
      <c r="C56" s="42"/>
      <c r="D56" s="71"/>
      <c r="F56" s="71"/>
      <c r="H56" s="71"/>
      <c r="K56" s="40">
        <f t="shared" si="0"/>
        <v>0</v>
      </c>
    </row>
    <row r="57" spans="1:11" ht="16">
      <c r="A57" s="41" t="s">
        <v>145</v>
      </c>
      <c r="B57" s="13" t="s">
        <v>146</v>
      </c>
      <c r="C57" s="46">
        <v>6007</v>
      </c>
      <c r="D57" s="75">
        <v>45806</v>
      </c>
      <c r="F57" s="72"/>
      <c r="H57" s="72"/>
      <c r="K57" s="46">
        <f t="shared" si="0"/>
        <v>6007</v>
      </c>
    </row>
    <row r="58" spans="1:11" ht="16">
      <c r="A58" s="41" t="s">
        <v>147</v>
      </c>
      <c r="B58" s="13" t="s">
        <v>148</v>
      </c>
      <c r="C58" s="40">
        <v>5977</v>
      </c>
      <c r="D58" s="72">
        <v>45792</v>
      </c>
      <c r="F58" s="72"/>
      <c r="H58" s="72"/>
      <c r="K58" s="40">
        <f t="shared" si="0"/>
        <v>5977</v>
      </c>
    </row>
    <row r="59" spans="1:11" ht="16">
      <c r="A59" s="41" t="s">
        <v>149</v>
      </c>
      <c r="B59" s="13" t="s">
        <v>36</v>
      </c>
      <c r="C59" s="73">
        <v>6577</v>
      </c>
      <c r="D59" s="74">
        <v>45792</v>
      </c>
      <c r="F59" s="71"/>
      <c r="H59" s="71"/>
      <c r="K59" s="46">
        <f t="shared" si="0"/>
        <v>6577</v>
      </c>
    </row>
    <row r="60" spans="1:11" ht="16">
      <c r="A60" s="41" t="s">
        <v>150</v>
      </c>
      <c r="B60" s="13" t="s">
        <v>151</v>
      </c>
      <c r="C60" s="73"/>
      <c r="D60" s="74"/>
      <c r="F60" s="71"/>
      <c r="H60" s="71"/>
      <c r="K60" s="46">
        <f t="shared" si="0"/>
        <v>0</v>
      </c>
    </row>
    <row r="61" spans="1:11" ht="16">
      <c r="A61" s="41" t="s">
        <v>152</v>
      </c>
      <c r="B61" s="13" t="s">
        <v>153</v>
      </c>
      <c r="C61" s="46">
        <v>5427</v>
      </c>
      <c r="D61" s="71">
        <v>45791</v>
      </c>
      <c r="E61" s="40">
        <v>676</v>
      </c>
      <c r="F61" s="71">
        <v>45797</v>
      </c>
      <c r="H61" s="71"/>
      <c r="K61" s="46">
        <f t="shared" si="0"/>
        <v>6103</v>
      </c>
    </row>
    <row r="62" spans="1:11" ht="16">
      <c r="A62" s="41" t="s">
        <v>154</v>
      </c>
      <c r="B62" s="13" t="s">
        <v>155</v>
      </c>
      <c r="C62" s="73">
        <v>12000</v>
      </c>
      <c r="D62" s="74">
        <v>45785</v>
      </c>
      <c r="F62" s="71"/>
      <c r="H62" s="71"/>
      <c r="K62" s="46">
        <f t="shared" si="0"/>
        <v>12000</v>
      </c>
    </row>
    <row r="63" spans="1:11" ht="16">
      <c r="A63" s="41" t="s">
        <v>156</v>
      </c>
      <c r="B63" s="13" t="s">
        <v>157</v>
      </c>
      <c r="C63" s="46">
        <v>6000</v>
      </c>
      <c r="D63" s="72">
        <v>45794</v>
      </c>
      <c r="E63" s="40">
        <v>5709</v>
      </c>
      <c r="F63" s="72">
        <v>45806</v>
      </c>
      <c r="H63" s="72"/>
      <c r="K63" s="46">
        <f t="shared" si="0"/>
        <v>11709</v>
      </c>
    </row>
    <row r="64" spans="1:11" ht="16">
      <c r="A64" s="41" t="s">
        <v>158</v>
      </c>
      <c r="B64" s="13" t="s">
        <v>159</v>
      </c>
      <c r="C64" s="73">
        <v>6247</v>
      </c>
      <c r="D64" s="74">
        <v>45798</v>
      </c>
      <c r="F64" s="71"/>
      <c r="H64" s="71"/>
      <c r="K64" s="46">
        <f t="shared" si="0"/>
        <v>6247</v>
      </c>
    </row>
    <row r="65" spans="1:27" ht="16">
      <c r="A65" s="41" t="s">
        <v>160</v>
      </c>
      <c r="B65" s="13" t="s">
        <v>161</v>
      </c>
      <c r="C65" s="42">
        <v>5625</v>
      </c>
      <c r="D65" s="71">
        <v>45806</v>
      </c>
      <c r="F65" s="71"/>
      <c r="H65" s="71"/>
      <c r="K65" s="40">
        <f t="shared" si="0"/>
        <v>5625</v>
      </c>
    </row>
    <row r="66" spans="1:27">
      <c r="A66" s="50" t="s">
        <v>162</v>
      </c>
      <c r="B66" s="51"/>
      <c r="C66" s="51"/>
      <c r="D66" s="76"/>
      <c r="E66" s="51"/>
      <c r="F66" s="76"/>
      <c r="G66" s="51"/>
      <c r="H66" s="76"/>
      <c r="I66" s="51"/>
      <c r="J66" s="51"/>
      <c r="K66" s="51">
        <f>SUM(K2:K65)</f>
        <v>353995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72"/>
      <c r="F67" s="72"/>
      <c r="H67" s="72"/>
    </row>
    <row r="68" spans="1:27">
      <c r="D68" s="72"/>
      <c r="F68" s="72"/>
      <c r="H68" s="72"/>
    </row>
    <row r="69" spans="1:27">
      <c r="D69" s="72"/>
      <c r="F69" s="72"/>
      <c r="H69" s="72"/>
    </row>
    <row r="70" spans="1:27">
      <c r="A70" s="36"/>
      <c r="D70" s="72"/>
      <c r="F70" s="72"/>
      <c r="H70" s="72"/>
    </row>
    <row r="71" spans="1:27">
      <c r="A71" s="36"/>
      <c r="D71" s="72"/>
      <c r="F71" s="72"/>
      <c r="H71" s="72"/>
    </row>
    <row r="72" spans="1:27">
      <c r="A72" s="41"/>
      <c r="D72" s="72"/>
      <c r="F72" s="72"/>
      <c r="H72" s="72"/>
    </row>
    <row r="73" spans="1:27">
      <c r="A73" s="41"/>
      <c r="D73" s="72"/>
      <c r="F73" s="72"/>
      <c r="H73" s="72"/>
    </row>
    <row r="74" spans="1:27">
      <c r="A74" s="41"/>
      <c r="D74" s="72"/>
      <c r="F74" s="72"/>
      <c r="H74" s="72"/>
    </row>
    <row r="75" spans="1:27">
      <c r="A75" s="41"/>
      <c r="D75" s="72"/>
      <c r="F75" s="72"/>
      <c r="H75" s="72"/>
    </row>
    <row r="76" spans="1:27">
      <c r="A76" s="41"/>
      <c r="D76" s="72"/>
      <c r="F76" s="72"/>
      <c r="H76" s="72"/>
    </row>
    <row r="77" spans="1:27">
      <c r="A77" s="41"/>
      <c r="D77" s="72"/>
      <c r="F77" s="72"/>
      <c r="H77" s="72"/>
    </row>
    <row r="78" spans="1:27">
      <c r="A78" s="41"/>
      <c r="D78" s="72"/>
      <c r="F78" s="72"/>
      <c r="H78" s="72"/>
    </row>
    <row r="79" spans="1:27">
      <c r="A79" s="41"/>
      <c r="D79" s="72"/>
      <c r="F79" s="72"/>
      <c r="H79" s="72"/>
    </row>
    <row r="80" spans="1:27">
      <c r="A80" s="41"/>
      <c r="D80" s="72"/>
      <c r="F80" s="72"/>
      <c r="H80" s="72"/>
    </row>
    <row r="81" spans="1:8">
      <c r="A81" s="41"/>
      <c r="D81" s="72"/>
      <c r="F81" s="72"/>
      <c r="H81" s="72"/>
    </row>
    <row r="82" spans="1:8">
      <c r="A82" s="41"/>
      <c r="D82" s="72"/>
      <c r="F82" s="72"/>
      <c r="H82" s="72"/>
    </row>
    <row r="83" spans="1:8">
      <c r="A83" s="41"/>
      <c r="D83" s="72"/>
      <c r="F83" s="72"/>
      <c r="H83" s="72"/>
    </row>
    <row r="84" spans="1:8">
      <c r="A84" s="41"/>
      <c r="D84" s="72"/>
      <c r="F84" s="72"/>
      <c r="H84" s="72"/>
    </row>
    <row r="85" spans="1:8">
      <c r="A85" s="41"/>
      <c r="D85" s="72"/>
      <c r="F85" s="72"/>
      <c r="H85" s="72"/>
    </row>
    <row r="86" spans="1:8">
      <c r="A86" s="41"/>
      <c r="D86" s="72"/>
      <c r="F86" s="72"/>
      <c r="H86" s="72"/>
    </row>
    <row r="87" spans="1:8">
      <c r="A87" s="41"/>
      <c r="D87" s="72"/>
      <c r="F87" s="72"/>
      <c r="H87" s="72"/>
    </row>
    <row r="88" spans="1:8">
      <c r="A88" s="41"/>
      <c r="D88" s="72"/>
      <c r="F88" s="72"/>
      <c r="H88" s="72"/>
    </row>
    <row r="89" spans="1:8">
      <c r="A89" s="41"/>
      <c r="D89" s="72"/>
      <c r="F89" s="72"/>
      <c r="H89" s="72"/>
    </row>
    <row r="90" spans="1:8">
      <c r="A90" s="41"/>
      <c r="D90" s="72"/>
      <c r="F90" s="72"/>
      <c r="H90" s="72"/>
    </row>
    <row r="91" spans="1:8">
      <c r="A91" s="41"/>
      <c r="D91" s="72"/>
      <c r="F91" s="72"/>
      <c r="H91" s="72"/>
    </row>
    <row r="92" spans="1:8">
      <c r="A92" s="41"/>
      <c r="D92" s="72"/>
      <c r="F92" s="72"/>
      <c r="H92" s="72"/>
    </row>
    <row r="93" spans="1:8">
      <c r="A93" s="41"/>
      <c r="D93" s="72"/>
      <c r="F93" s="72"/>
      <c r="H93" s="72"/>
    </row>
    <row r="94" spans="1:8">
      <c r="A94" s="41"/>
      <c r="D94" s="72"/>
      <c r="F94" s="72"/>
      <c r="H94" s="72"/>
    </row>
    <row r="95" spans="1:8">
      <c r="A95" s="41"/>
      <c r="D95" s="72"/>
      <c r="F95" s="72"/>
      <c r="H95" s="72"/>
    </row>
    <row r="96" spans="1:8">
      <c r="A96" s="41"/>
      <c r="D96" s="72"/>
      <c r="F96" s="72"/>
      <c r="H96" s="72"/>
    </row>
    <row r="97" spans="1:8">
      <c r="A97" s="41"/>
      <c r="D97" s="72"/>
      <c r="F97" s="72"/>
      <c r="H97" s="72"/>
    </row>
    <row r="98" spans="1:8">
      <c r="A98" s="41"/>
      <c r="D98" s="72"/>
      <c r="F98" s="72"/>
      <c r="H98" s="72"/>
    </row>
    <row r="99" spans="1:8">
      <c r="A99" s="41"/>
      <c r="D99" s="72"/>
      <c r="F99" s="72"/>
      <c r="H99" s="72"/>
    </row>
    <row r="100" spans="1:8">
      <c r="A100" s="41"/>
      <c r="D100" s="72"/>
      <c r="F100" s="72"/>
      <c r="H100" s="72"/>
    </row>
    <row r="101" spans="1:8">
      <c r="A101" s="41"/>
      <c r="D101" s="72"/>
      <c r="F101" s="72"/>
      <c r="H101" s="72"/>
    </row>
    <row r="102" spans="1:8">
      <c r="A102" s="41"/>
      <c r="D102" s="72"/>
      <c r="F102" s="72"/>
      <c r="H102" s="72"/>
    </row>
    <row r="103" spans="1:8">
      <c r="A103" s="41"/>
      <c r="D103" s="72"/>
      <c r="F103" s="72"/>
      <c r="H103" s="72"/>
    </row>
    <row r="104" spans="1:8">
      <c r="A104" s="41"/>
      <c r="D104" s="72"/>
      <c r="F104" s="72"/>
      <c r="H104" s="72"/>
    </row>
    <row r="105" spans="1:8">
      <c r="A105" s="41"/>
      <c r="D105" s="72"/>
      <c r="F105" s="72"/>
      <c r="H105" s="72"/>
    </row>
    <row r="106" spans="1:8">
      <c r="A106" s="41"/>
      <c r="D106" s="72"/>
      <c r="F106" s="72"/>
      <c r="H106" s="72"/>
    </row>
    <row r="107" spans="1:8">
      <c r="A107" s="41"/>
      <c r="D107" s="72"/>
      <c r="F107" s="72"/>
      <c r="H107" s="72"/>
    </row>
    <row r="108" spans="1:8">
      <c r="A108" s="41"/>
      <c r="D108" s="72"/>
      <c r="F108" s="72"/>
      <c r="H108" s="72"/>
    </row>
    <row r="109" spans="1:8">
      <c r="A109" s="41"/>
      <c r="D109" s="72"/>
      <c r="F109" s="72"/>
      <c r="H109" s="72"/>
    </row>
    <row r="110" spans="1:8">
      <c r="A110" s="41"/>
      <c r="D110" s="72"/>
      <c r="F110" s="72"/>
      <c r="H110" s="72"/>
    </row>
    <row r="111" spans="1:8">
      <c r="A111" s="41"/>
      <c r="D111" s="72"/>
      <c r="F111" s="72"/>
      <c r="H111" s="72"/>
    </row>
    <row r="112" spans="1:8">
      <c r="A112" s="41"/>
      <c r="D112" s="72"/>
      <c r="F112" s="72"/>
      <c r="H112" s="72"/>
    </row>
    <row r="113" spans="1:8">
      <c r="A113" s="41"/>
      <c r="D113" s="72"/>
      <c r="F113" s="72"/>
      <c r="H113" s="72"/>
    </row>
    <row r="114" spans="1:8">
      <c r="A114" s="41"/>
      <c r="D114" s="72"/>
      <c r="F114" s="72"/>
      <c r="H114" s="72"/>
    </row>
    <row r="115" spans="1:8">
      <c r="A115" s="41"/>
      <c r="D115" s="72"/>
      <c r="F115" s="72"/>
      <c r="H115" s="72"/>
    </row>
    <row r="116" spans="1:8">
      <c r="A116" s="41"/>
      <c r="D116" s="72"/>
      <c r="F116" s="72"/>
      <c r="H116" s="72"/>
    </row>
    <row r="117" spans="1:8">
      <c r="A117" s="41"/>
      <c r="D117" s="72"/>
      <c r="F117" s="72"/>
      <c r="H117" s="72"/>
    </row>
    <row r="118" spans="1:8">
      <c r="A118" s="41"/>
      <c r="D118" s="72"/>
      <c r="F118" s="72"/>
      <c r="H118" s="72"/>
    </row>
    <row r="119" spans="1:8">
      <c r="A119" s="41"/>
      <c r="D119" s="72"/>
      <c r="F119" s="72"/>
      <c r="H119" s="72"/>
    </row>
    <row r="120" spans="1:8">
      <c r="A120" s="41"/>
      <c r="D120" s="72"/>
      <c r="F120" s="72"/>
      <c r="H120" s="72"/>
    </row>
    <row r="121" spans="1:8">
      <c r="A121" s="41"/>
      <c r="D121" s="72"/>
      <c r="F121" s="72"/>
      <c r="H121" s="72"/>
    </row>
    <row r="122" spans="1:8">
      <c r="A122" s="41"/>
      <c r="D122" s="72"/>
      <c r="F122" s="72"/>
      <c r="H122" s="72"/>
    </row>
    <row r="123" spans="1:8">
      <c r="A123" s="41"/>
      <c r="D123" s="72"/>
      <c r="F123" s="72"/>
      <c r="H123" s="72"/>
    </row>
    <row r="124" spans="1:8">
      <c r="A124" s="41"/>
      <c r="D124" s="72"/>
      <c r="F124" s="72"/>
      <c r="H124" s="72"/>
    </row>
    <row r="125" spans="1:8">
      <c r="A125" s="41"/>
      <c r="D125" s="72"/>
      <c r="F125" s="72"/>
      <c r="H125" s="72"/>
    </row>
    <row r="126" spans="1:8">
      <c r="A126" s="41"/>
      <c r="D126" s="72"/>
      <c r="F126" s="72"/>
      <c r="H126" s="72"/>
    </row>
    <row r="127" spans="1:8">
      <c r="A127" s="41"/>
      <c r="D127" s="72"/>
      <c r="F127" s="72"/>
      <c r="H127" s="72"/>
    </row>
    <row r="128" spans="1:8">
      <c r="A128" s="41"/>
      <c r="D128" s="72"/>
      <c r="F128" s="72"/>
      <c r="H128" s="72"/>
    </row>
    <row r="129" spans="1:8">
      <c r="A129" s="41"/>
      <c r="D129" s="72"/>
      <c r="F129" s="72"/>
      <c r="H129" s="72"/>
    </row>
    <row r="130" spans="1:8">
      <c r="A130" s="41"/>
      <c r="D130" s="72"/>
      <c r="F130" s="72"/>
      <c r="H130" s="72"/>
    </row>
    <row r="131" spans="1:8">
      <c r="A131" s="41"/>
      <c r="D131" s="72"/>
      <c r="F131" s="72"/>
      <c r="H131" s="72"/>
    </row>
    <row r="132" spans="1:8">
      <c r="A132" s="41"/>
      <c r="D132" s="72"/>
      <c r="F132" s="72"/>
      <c r="H132" s="72"/>
    </row>
    <row r="133" spans="1:8">
      <c r="A133" s="41"/>
      <c r="D133" s="72"/>
      <c r="F133" s="72"/>
      <c r="H133" s="72"/>
    </row>
    <row r="134" spans="1:8">
      <c r="A134" s="41"/>
      <c r="D134" s="72"/>
      <c r="F134" s="72"/>
      <c r="H134" s="72"/>
    </row>
    <row r="135" spans="1:8">
      <c r="A135" s="41"/>
      <c r="D135" s="72"/>
      <c r="F135" s="72"/>
      <c r="H135" s="72"/>
    </row>
    <row r="136" spans="1:8">
      <c r="A136" s="41"/>
      <c r="D136" s="72"/>
      <c r="F136" s="72"/>
      <c r="H136" s="72"/>
    </row>
    <row r="137" spans="1:8">
      <c r="A137" s="41"/>
      <c r="D137" s="72"/>
      <c r="F137" s="72"/>
      <c r="H137" s="72"/>
    </row>
    <row r="138" spans="1:8">
      <c r="A138" s="41"/>
      <c r="D138" s="72"/>
      <c r="F138" s="72"/>
      <c r="H138" s="72"/>
    </row>
    <row r="139" spans="1:8">
      <c r="A139" s="52"/>
      <c r="D139" s="72"/>
      <c r="F139" s="72"/>
      <c r="H139" s="72"/>
    </row>
    <row r="140" spans="1:8">
      <c r="D140" s="72"/>
      <c r="F140" s="72"/>
      <c r="H140" s="72"/>
    </row>
    <row r="141" spans="1:8">
      <c r="D141" s="72"/>
      <c r="F141" s="72"/>
      <c r="H141" s="72"/>
    </row>
    <row r="142" spans="1:8">
      <c r="D142" s="72"/>
      <c r="F142" s="72"/>
      <c r="H142" s="72"/>
    </row>
    <row r="143" spans="1:8">
      <c r="A143" s="36"/>
      <c r="D143" s="72"/>
      <c r="F143" s="72"/>
      <c r="H143" s="72"/>
    </row>
    <row r="144" spans="1:8">
      <c r="A144" s="36"/>
      <c r="D144" s="72"/>
      <c r="F144" s="72"/>
      <c r="H144" s="72"/>
    </row>
    <row r="145" spans="1:8">
      <c r="A145" s="41"/>
      <c r="D145" s="72"/>
      <c r="F145" s="72"/>
      <c r="H145" s="72"/>
    </row>
    <row r="146" spans="1:8">
      <c r="A146" s="41"/>
      <c r="D146" s="72"/>
      <c r="F146" s="72"/>
      <c r="H146" s="72"/>
    </row>
    <row r="147" spans="1:8">
      <c r="A147" s="41"/>
      <c r="D147" s="72"/>
      <c r="F147" s="72"/>
      <c r="H147" s="72"/>
    </row>
    <row r="148" spans="1:8">
      <c r="A148" s="41"/>
      <c r="D148" s="72"/>
      <c r="F148" s="72"/>
      <c r="H148" s="72"/>
    </row>
    <row r="149" spans="1:8">
      <c r="A149" s="41"/>
      <c r="D149" s="72"/>
      <c r="F149" s="72"/>
      <c r="H149" s="72"/>
    </row>
    <row r="150" spans="1:8">
      <c r="A150" s="41"/>
      <c r="D150" s="72"/>
      <c r="F150" s="72"/>
      <c r="H150" s="72"/>
    </row>
    <row r="151" spans="1:8">
      <c r="A151" s="41"/>
      <c r="D151" s="72"/>
      <c r="F151" s="72"/>
      <c r="H151" s="72"/>
    </row>
    <row r="152" spans="1:8">
      <c r="A152" s="41"/>
      <c r="D152" s="72"/>
      <c r="F152" s="72"/>
      <c r="H152" s="72"/>
    </row>
    <row r="153" spans="1:8">
      <c r="A153" s="41"/>
      <c r="D153" s="72"/>
      <c r="F153" s="72"/>
      <c r="H153" s="72"/>
    </row>
    <row r="154" spans="1:8">
      <c r="A154" s="41"/>
      <c r="D154" s="72"/>
      <c r="F154" s="72"/>
      <c r="H154" s="72"/>
    </row>
    <row r="155" spans="1:8">
      <c r="A155" s="41"/>
      <c r="D155" s="72"/>
      <c r="F155" s="72"/>
      <c r="H155" s="72"/>
    </row>
    <row r="156" spans="1:8">
      <c r="A156" s="41"/>
      <c r="D156" s="72"/>
      <c r="F156" s="72"/>
      <c r="H156" s="72"/>
    </row>
    <row r="157" spans="1:8">
      <c r="A157" s="41"/>
      <c r="D157" s="72"/>
      <c r="F157" s="72"/>
      <c r="H157" s="72"/>
    </row>
    <row r="158" spans="1:8">
      <c r="A158" s="41"/>
      <c r="D158" s="72"/>
      <c r="F158" s="72"/>
      <c r="H158" s="72"/>
    </row>
    <row r="159" spans="1:8">
      <c r="A159" s="41"/>
      <c r="D159" s="72"/>
      <c r="F159" s="72"/>
      <c r="H159" s="72"/>
    </row>
    <row r="160" spans="1:8">
      <c r="A160" s="41"/>
      <c r="D160" s="72"/>
      <c r="F160" s="72"/>
      <c r="H160" s="72"/>
    </row>
    <row r="161" spans="1:8">
      <c r="A161" s="41"/>
      <c r="D161" s="72"/>
      <c r="F161" s="72"/>
      <c r="H161" s="72"/>
    </row>
    <row r="162" spans="1:8">
      <c r="A162" s="41"/>
      <c r="D162" s="72"/>
      <c r="F162" s="72"/>
      <c r="H162" s="72"/>
    </row>
    <row r="163" spans="1:8">
      <c r="A163" s="41"/>
      <c r="D163" s="72"/>
      <c r="F163" s="72"/>
      <c r="H163" s="72"/>
    </row>
    <row r="164" spans="1:8">
      <c r="A164" s="41"/>
      <c r="D164" s="72"/>
      <c r="F164" s="72"/>
      <c r="H164" s="72"/>
    </row>
    <row r="165" spans="1:8">
      <c r="A165" s="41"/>
      <c r="D165" s="72"/>
      <c r="F165" s="72"/>
      <c r="H165" s="72"/>
    </row>
    <row r="166" spans="1:8">
      <c r="A166" s="41"/>
      <c r="D166" s="72"/>
      <c r="F166" s="72"/>
      <c r="H166" s="72"/>
    </row>
    <row r="167" spans="1:8">
      <c r="A167" s="41"/>
      <c r="D167" s="72"/>
      <c r="F167" s="72"/>
      <c r="H167" s="72"/>
    </row>
    <row r="168" spans="1:8">
      <c r="A168" s="41"/>
      <c r="D168" s="72"/>
      <c r="F168" s="72"/>
      <c r="H168" s="72"/>
    </row>
    <row r="169" spans="1:8">
      <c r="A169" s="41"/>
      <c r="D169" s="72"/>
      <c r="F169" s="72"/>
      <c r="H169" s="72"/>
    </row>
    <row r="170" spans="1:8">
      <c r="A170" s="41"/>
      <c r="D170" s="72"/>
      <c r="F170" s="72"/>
      <c r="H170" s="72"/>
    </row>
    <row r="171" spans="1:8">
      <c r="A171" s="41"/>
      <c r="D171" s="72"/>
      <c r="F171" s="72"/>
      <c r="H171" s="72"/>
    </row>
    <row r="172" spans="1:8">
      <c r="A172" s="41"/>
      <c r="D172" s="72"/>
      <c r="F172" s="72"/>
      <c r="H172" s="72"/>
    </row>
    <row r="173" spans="1:8">
      <c r="A173" s="41"/>
      <c r="D173" s="72"/>
      <c r="F173" s="72"/>
      <c r="H173" s="72"/>
    </row>
    <row r="174" spans="1:8">
      <c r="A174" s="41"/>
      <c r="D174" s="72"/>
      <c r="F174" s="72"/>
      <c r="H174" s="72"/>
    </row>
    <row r="175" spans="1:8">
      <c r="A175" s="41"/>
      <c r="D175" s="72"/>
      <c r="F175" s="72"/>
      <c r="H175" s="72"/>
    </row>
    <row r="176" spans="1:8">
      <c r="A176" s="41"/>
      <c r="D176" s="72"/>
      <c r="F176" s="72"/>
      <c r="H176" s="72"/>
    </row>
    <row r="177" spans="1:8">
      <c r="A177" s="41"/>
      <c r="D177" s="72"/>
      <c r="F177" s="72"/>
      <c r="H177" s="72"/>
    </row>
    <row r="178" spans="1:8">
      <c r="A178" s="41"/>
      <c r="D178" s="72"/>
      <c r="F178" s="72"/>
      <c r="H178" s="72"/>
    </row>
    <row r="179" spans="1:8">
      <c r="A179" s="41"/>
      <c r="D179" s="72"/>
      <c r="F179" s="72"/>
      <c r="H179" s="72"/>
    </row>
    <row r="180" spans="1:8">
      <c r="A180" s="41"/>
      <c r="D180" s="72"/>
      <c r="F180" s="72"/>
      <c r="H180" s="72"/>
    </row>
    <row r="181" spans="1:8">
      <c r="A181" s="41"/>
      <c r="D181" s="72"/>
      <c r="F181" s="72"/>
      <c r="H181" s="72"/>
    </row>
    <row r="182" spans="1:8">
      <c r="A182" s="41"/>
      <c r="D182" s="72"/>
      <c r="F182" s="72"/>
      <c r="H182" s="72"/>
    </row>
    <row r="183" spans="1:8">
      <c r="A183" s="41"/>
      <c r="D183" s="72"/>
      <c r="F183" s="72"/>
      <c r="H183" s="72"/>
    </row>
    <row r="184" spans="1:8">
      <c r="A184" s="41"/>
      <c r="D184" s="72"/>
      <c r="F184" s="72"/>
      <c r="H184" s="72"/>
    </row>
    <row r="185" spans="1:8">
      <c r="A185" s="41"/>
      <c r="D185" s="72"/>
      <c r="F185" s="72"/>
      <c r="H185" s="72"/>
    </row>
    <row r="186" spans="1:8">
      <c r="A186" s="41"/>
      <c r="D186" s="72"/>
      <c r="F186" s="72"/>
      <c r="H186" s="72"/>
    </row>
    <row r="187" spans="1:8">
      <c r="A187" s="41"/>
      <c r="D187" s="72"/>
      <c r="F187" s="72"/>
      <c r="H187" s="72"/>
    </row>
    <row r="188" spans="1:8">
      <c r="A188" s="41"/>
      <c r="D188" s="72"/>
      <c r="F188" s="72"/>
      <c r="H188" s="72"/>
    </row>
    <row r="189" spans="1:8">
      <c r="A189" s="41"/>
      <c r="D189" s="72"/>
      <c r="F189" s="72"/>
      <c r="H189" s="72"/>
    </row>
    <row r="190" spans="1:8">
      <c r="A190" s="41"/>
      <c r="D190" s="72"/>
      <c r="F190" s="72"/>
      <c r="H190" s="72"/>
    </row>
    <row r="191" spans="1:8">
      <c r="A191" s="41"/>
      <c r="D191" s="72"/>
      <c r="F191" s="72"/>
      <c r="H191" s="72"/>
    </row>
    <row r="192" spans="1:8">
      <c r="A192" s="41"/>
      <c r="D192" s="72"/>
      <c r="F192" s="72"/>
      <c r="H192" s="72"/>
    </row>
    <row r="193" spans="1:8">
      <c r="A193" s="41"/>
      <c r="D193" s="72"/>
      <c r="F193" s="72"/>
      <c r="H193" s="72"/>
    </row>
    <row r="194" spans="1:8">
      <c r="A194" s="41"/>
      <c r="D194" s="72"/>
      <c r="F194" s="72"/>
      <c r="H194" s="72"/>
    </row>
    <row r="195" spans="1:8">
      <c r="A195" s="41"/>
      <c r="D195" s="72"/>
      <c r="F195" s="72"/>
      <c r="H195" s="72"/>
    </row>
    <row r="196" spans="1:8">
      <c r="A196" s="41"/>
      <c r="D196" s="72"/>
      <c r="F196" s="72"/>
      <c r="H196" s="72"/>
    </row>
    <row r="197" spans="1:8">
      <c r="A197" s="41"/>
      <c r="D197" s="72"/>
      <c r="F197" s="72"/>
      <c r="H197" s="72"/>
    </row>
    <row r="198" spans="1:8">
      <c r="A198" s="41"/>
      <c r="D198" s="72"/>
      <c r="F198" s="72"/>
      <c r="H198" s="72"/>
    </row>
    <row r="199" spans="1:8">
      <c r="A199" s="41"/>
      <c r="D199" s="72"/>
      <c r="F199" s="72"/>
      <c r="H199" s="72"/>
    </row>
    <row r="200" spans="1:8">
      <c r="A200" s="41"/>
      <c r="D200" s="72"/>
      <c r="F200" s="72"/>
      <c r="H200" s="72"/>
    </row>
    <row r="201" spans="1:8">
      <c r="A201" s="41"/>
      <c r="D201" s="72"/>
      <c r="F201" s="72"/>
      <c r="H201" s="72"/>
    </row>
    <row r="202" spans="1:8">
      <c r="A202" s="41"/>
      <c r="D202" s="72"/>
      <c r="F202" s="72"/>
      <c r="H202" s="72"/>
    </row>
    <row r="203" spans="1:8">
      <c r="A203" s="41"/>
      <c r="D203" s="72"/>
      <c r="F203" s="72"/>
      <c r="H203" s="72"/>
    </row>
    <row r="204" spans="1:8">
      <c r="A204" s="41"/>
      <c r="D204" s="72"/>
      <c r="F204" s="72"/>
      <c r="H204" s="72"/>
    </row>
    <row r="205" spans="1:8">
      <c r="A205" s="41"/>
      <c r="D205" s="72"/>
      <c r="F205" s="72"/>
      <c r="H205" s="72"/>
    </row>
    <row r="206" spans="1:8">
      <c r="A206" s="41"/>
      <c r="D206" s="72"/>
      <c r="F206" s="72"/>
      <c r="H206" s="72"/>
    </row>
    <row r="207" spans="1:8">
      <c r="A207" s="41"/>
      <c r="D207" s="72"/>
      <c r="F207" s="72"/>
      <c r="H207" s="72"/>
    </row>
    <row r="208" spans="1:8">
      <c r="A208" s="41"/>
      <c r="D208" s="72"/>
      <c r="F208" s="72"/>
      <c r="H208" s="72"/>
    </row>
    <row r="209" spans="1:8">
      <c r="A209" s="41"/>
      <c r="D209" s="72"/>
      <c r="F209" s="72"/>
      <c r="H209" s="72"/>
    </row>
    <row r="210" spans="1:8">
      <c r="A210" s="41"/>
      <c r="D210" s="72"/>
      <c r="F210" s="72"/>
      <c r="H210" s="72"/>
    </row>
    <row r="211" spans="1:8">
      <c r="A211" s="41"/>
      <c r="D211" s="72"/>
      <c r="F211" s="72"/>
      <c r="H211" s="72"/>
    </row>
    <row r="212" spans="1:8">
      <c r="A212" s="52"/>
      <c r="D212" s="72"/>
      <c r="F212" s="72"/>
      <c r="H212" s="72"/>
    </row>
    <row r="213" spans="1:8">
      <c r="D213" s="72"/>
      <c r="F213" s="72"/>
      <c r="H213" s="72"/>
    </row>
    <row r="214" spans="1:8">
      <c r="D214" s="72"/>
      <c r="F214" s="72"/>
      <c r="H214" s="72"/>
    </row>
    <row r="215" spans="1:8">
      <c r="D215" s="72"/>
      <c r="F215" s="72"/>
      <c r="H215" s="72"/>
    </row>
    <row r="216" spans="1:8">
      <c r="A216" s="36"/>
      <c r="D216" s="72"/>
      <c r="F216" s="72"/>
      <c r="H216" s="72"/>
    </row>
    <row r="217" spans="1:8">
      <c r="A217" s="36"/>
      <c r="D217" s="72"/>
      <c r="F217" s="72"/>
      <c r="H217" s="72"/>
    </row>
    <row r="218" spans="1:8">
      <c r="A218" s="41"/>
      <c r="D218" s="72"/>
      <c r="F218" s="72"/>
      <c r="H218" s="72"/>
    </row>
    <row r="219" spans="1:8">
      <c r="A219" s="41"/>
      <c r="D219" s="72"/>
      <c r="F219" s="72"/>
      <c r="H219" s="72"/>
    </row>
    <row r="220" spans="1:8">
      <c r="A220" s="41"/>
      <c r="D220" s="72"/>
      <c r="F220" s="72"/>
      <c r="H220" s="72"/>
    </row>
    <row r="221" spans="1:8">
      <c r="A221" s="41"/>
      <c r="D221" s="72"/>
      <c r="F221" s="72"/>
      <c r="H221" s="72"/>
    </row>
    <row r="222" spans="1:8">
      <c r="A222" s="41"/>
      <c r="D222" s="72"/>
      <c r="F222" s="72"/>
      <c r="H222" s="72"/>
    </row>
    <row r="223" spans="1:8">
      <c r="A223" s="41"/>
      <c r="D223" s="72"/>
      <c r="F223" s="72"/>
      <c r="H223" s="72"/>
    </row>
    <row r="224" spans="1:8">
      <c r="A224" s="41"/>
      <c r="D224" s="72"/>
      <c r="F224" s="72"/>
      <c r="H224" s="72"/>
    </row>
    <row r="225" spans="1:8">
      <c r="A225" s="41"/>
      <c r="D225" s="72"/>
      <c r="F225" s="72"/>
      <c r="H225" s="72"/>
    </row>
    <row r="226" spans="1:8">
      <c r="A226" s="41"/>
      <c r="D226" s="72"/>
      <c r="F226" s="72"/>
      <c r="H226" s="72"/>
    </row>
    <row r="227" spans="1:8">
      <c r="A227" s="41"/>
      <c r="D227" s="72"/>
      <c r="F227" s="72"/>
      <c r="H227" s="72"/>
    </row>
    <row r="228" spans="1:8">
      <c r="A228" s="41"/>
      <c r="D228" s="72"/>
      <c r="F228" s="72"/>
      <c r="H228" s="72"/>
    </row>
    <row r="229" spans="1:8">
      <c r="A229" s="41"/>
      <c r="D229" s="72"/>
      <c r="F229" s="72"/>
      <c r="H229" s="72"/>
    </row>
    <row r="230" spans="1:8">
      <c r="A230" s="41"/>
      <c r="D230" s="72"/>
      <c r="F230" s="72"/>
      <c r="H230" s="72"/>
    </row>
    <row r="231" spans="1:8">
      <c r="A231" s="41"/>
      <c r="D231" s="72"/>
      <c r="F231" s="72"/>
      <c r="H231" s="72"/>
    </row>
    <row r="232" spans="1:8">
      <c r="A232" s="41"/>
      <c r="D232" s="72"/>
      <c r="F232" s="72"/>
      <c r="H232" s="72"/>
    </row>
    <row r="233" spans="1:8">
      <c r="A233" s="41"/>
      <c r="D233" s="72"/>
      <c r="F233" s="72"/>
      <c r="H233" s="72"/>
    </row>
    <row r="234" spans="1:8">
      <c r="A234" s="41"/>
      <c r="D234" s="72"/>
      <c r="F234" s="72"/>
      <c r="H234" s="72"/>
    </row>
    <row r="235" spans="1:8">
      <c r="A235" s="41"/>
      <c r="D235" s="72"/>
      <c r="F235" s="72"/>
      <c r="H235" s="72"/>
    </row>
    <row r="236" spans="1:8">
      <c r="A236" s="41"/>
      <c r="D236" s="72"/>
      <c r="F236" s="72"/>
      <c r="H236" s="72"/>
    </row>
    <row r="237" spans="1:8">
      <c r="A237" s="41"/>
      <c r="D237" s="72"/>
      <c r="F237" s="72"/>
      <c r="H237" s="72"/>
    </row>
    <row r="238" spans="1:8">
      <c r="A238" s="41"/>
      <c r="D238" s="72"/>
      <c r="F238" s="72"/>
      <c r="H238" s="72"/>
    </row>
    <row r="239" spans="1:8">
      <c r="A239" s="41"/>
      <c r="D239" s="72"/>
      <c r="F239" s="72"/>
      <c r="H239" s="72"/>
    </row>
    <row r="240" spans="1:8">
      <c r="A240" s="41"/>
      <c r="D240" s="72"/>
      <c r="F240" s="72"/>
      <c r="H240" s="72"/>
    </row>
    <row r="241" spans="1:8">
      <c r="A241" s="41"/>
      <c r="D241" s="72"/>
      <c r="F241" s="72"/>
      <c r="H241" s="72"/>
    </row>
    <row r="242" spans="1:8">
      <c r="A242" s="41"/>
      <c r="D242" s="72"/>
      <c r="F242" s="72"/>
      <c r="H242" s="72"/>
    </row>
    <row r="243" spans="1:8">
      <c r="A243" s="41"/>
      <c r="D243" s="72"/>
      <c r="F243" s="72"/>
      <c r="H243" s="72"/>
    </row>
    <row r="244" spans="1:8">
      <c r="A244" s="41"/>
      <c r="D244" s="72"/>
      <c r="F244" s="72"/>
      <c r="H244" s="72"/>
    </row>
    <row r="245" spans="1:8">
      <c r="A245" s="41"/>
      <c r="D245" s="72"/>
      <c r="F245" s="72"/>
      <c r="H245" s="72"/>
    </row>
    <row r="246" spans="1:8">
      <c r="A246" s="41"/>
      <c r="D246" s="72"/>
      <c r="F246" s="72"/>
      <c r="H246" s="72"/>
    </row>
    <row r="247" spans="1:8">
      <c r="A247" s="41"/>
      <c r="D247" s="72"/>
      <c r="F247" s="72"/>
      <c r="H247" s="72"/>
    </row>
    <row r="248" spans="1:8">
      <c r="A248" s="41"/>
      <c r="D248" s="72"/>
      <c r="F248" s="72"/>
      <c r="H248" s="72"/>
    </row>
    <row r="249" spans="1:8">
      <c r="A249" s="41"/>
      <c r="D249" s="72"/>
      <c r="F249" s="72"/>
      <c r="H249" s="72"/>
    </row>
    <row r="250" spans="1:8">
      <c r="A250" s="41"/>
      <c r="D250" s="72"/>
      <c r="F250" s="72"/>
      <c r="H250" s="72"/>
    </row>
    <row r="251" spans="1:8">
      <c r="A251" s="41"/>
      <c r="D251" s="72"/>
      <c r="F251" s="72"/>
      <c r="H251" s="72"/>
    </row>
    <row r="252" spans="1:8">
      <c r="A252" s="41"/>
      <c r="D252" s="72"/>
      <c r="F252" s="72"/>
      <c r="H252" s="72"/>
    </row>
    <row r="253" spans="1:8">
      <c r="A253" s="41"/>
      <c r="D253" s="72"/>
      <c r="F253" s="72"/>
      <c r="H253" s="72"/>
    </row>
    <row r="254" spans="1:8">
      <c r="A254" s="41"/>
      <c r="D254" s="72"/>
      <c r="F254" s="72"/>
      <c r="H254" s="72"/>
    </row>
    <row r="255" spans="1:8">
      <c r="A255" s="41"/>
      <c r="D255" s="72"/>
      <c r="F255" s="72"/>
      <c r="H255" s="72"/>
    </row>
    <row r="256" spans="1:8">
      <c r="A256" s="41"/>
      <c r="D256" s="72"/>
      <c r="F256" s="72"/>
      <c r="H256" s="72"/>
    </row>
    <row r="257" spans="1:8">
      <c r="A257" s="41"/>
      <c r="D257" s="72"/>
      <c r="F257" s="72"/>
      <c r="H257" s="72"/>
    </row>
    <row r="258" spans="1:8">
      <c r="A258" s="41"/>
      <c r="D258" s="72"/>
      <c r="F258" s="72"/>
      <c r="H258" s="72"/>
    </row>
    <row r="259" spans="1:8">
      <c r="A259" s="41"/>
      <c r="D259" s="72"/>
      <c r="F259" s="72"/>
      <c r="H259" s="72"/>
    </row>
    <row r="260" spans="1:8">
      <c r="A260" s="41"/>
      <c r="D260" s="72"/>
      <c r="F260" s="72"/>
      <c r="H260" s="72"/>
    </row>
    <row r="261" spans="1:8">
      <c r="A261" s="41"/>
      <c r="D261" s="72"/>
      <c r="F261" s="72"/>
      <c r="H261" s="72"/>
    </row>
    <row r="262" spans="1:8">
      <c r="A262" s="41"/>
      <c r="D262" s="72"/>
      <c r="F262" s="72"/>
      <c r="H262" s="72"/>
    </row>
    <row r="263" spans="1:8">
      <c r="A263" s="41"/>
      <c r="D263" s="72"/>
      <c r="F263" s="72"/>
      <c r="H263" s="72"/>
    </row>
    <row r="264" spans="1:8">
      <c r="A264" s="41"/>
      <c r="D264" s="72"/>
      <c r="F264" s="72"/>
      <c r="H264" s="72"/>
    </row>
    <row r="265" spans="1:8">
      <c r="A265" s="41"/>
      <c r="D265" s="72"/>
      <c r="F265" s="72"/>
      <c r="H265" s="72"/>
    </row>
    <row r="266" spans="1:8">
      <c r="A266" s="41"/>
      <c r="D266" s="72"/>
      <c r="F266" s="72"/>
      <c r="H266" s="72"/>
    </row>
    <row r="267" spans="1:8">
      <c r="A267" s="41"/>
      <c r="D267" s="72"/>
      <c r="F267" s="72"/>
      <c r="H267" s="72"/>
    </row>
    <row r="268" spans="1:8">
      <c r="A268" s="41"/>
      <c r="D268" s="72"/>
      <c r="F268" s="72"/>
      <c r="H268" s="72"/>
    </row>
    <row r="269" spans="1:8">
      <c r="A269" s="41"/>
      <c r="D269" s="72"/>
      <c r="F269" s="72"/>
      <c r="H269" s="72"/>
    </row>
    <row r="270" spans="1:8">
      <c r="A270" s="41"/>
      <c r="D270" s="72"/>
      <c r="F270" s="72"/>
      <c r="H270" s="72"/>
    </row>
    <row r="271" spans="1:8">
      <c r="A271" s="41"/>
      <c r="D271" s="72"/>
      <c r="F271" s="72"/>
      <c r="H271" s="72"/>
    </row>
    <row r="272" spans="1:8">
      <c r="A272" s="41"/>
      <c r="D272" s="72"/>
      <c r="F272" s="72"/>
      <c r="H272" s="72"/>
    </row>
    <row r="273" spans="1:8">
      <c r="A273" s="41"/>
      <c r="D273" s="72"/>
      <c r="F273" s="72"/>
      <c r="H273" s="72"/>
    </row>
    <row r="274" spans="1:8">
      <c r="A274" s="41"/>
      <c r="D274" s="72"/>
      <c r="F274" s="72"/>
      <c r="H274" s="72"/>
    </row>
    <row r="275" spans="1:8">
      <c r="A275" s="41"/>
      <c r="D275" s="72"/>
      <c r="F275" s="72"/>
      <c r="H275" s="72"/>
    </row>
    <row r="276" spans="1:8">
      <c r="A276" s="41"/>
      <c r="D276" s="72"/>
      <c r="F276" s="72"/>
      <c r="H276" s="72"/>
    </row>
    <row r="277" spans="1:8">
      <c r="A277" s="41"/>
      <c r="D277" s="72"/>
      <c r="F277" s="72"/>
      <c r="H277" s="72"/>
    </row>
    <row r="278" spans="1:8">
      <c r="A278" s="41"/>
      <c r="D278" s="72"/>
      <c r="F278" s="72"/>
      <c r="H278" s="72"/>
    </row>
    <row r="279" spans="1:8">
      <c r="A279" s="41"/>
      <c r="D279" s="72"/>
      <c r="F279" s="72"/>
      <c r="H279" s="72"/>
    </row>
    <row r="280" spans="1:8">
      <c r="A280" s="41"/>
      <c r="D280" s="72"/>
      <c r="F280" s="72"/>
      <c r="H280" s="72"/>
    </row>
    <row r="281" spans="1:8">
      <c r="A281" s="41"/>
      <c r="D281" s="72"/>
      <c r="F281" s="72"/>
      <c r="H281" s="72"/>
    </row>
    <row r="282" spans="1:8">
      <c r="A282" s="41"/>
      <c r="D282" s="72"/>
      <c r="F282" s="72"/>
      <c r="H282" s="72"/>
    </row>
    <row r="283" spans="1:8">
      <c r="A283" s="41"/>
      <c r="D283" s="72"/>
      <c r="F283" s="72"/>
      <c r="H283" s="72"/>
    </row>
    <row r="284" spans="1:8">
      <c r="A284" s="41"/>
      <c r="D284" s="72"/>
      <c r="F284" s="72"/>
      <c r="H284" s="72"/>
    </row>
    <row r="285" spans="1:8">
      <c r="A285" s="52"/>
      <c r="D285" s="72"/>
      <c r="F285" s="72"/>
      <c r="H285" s="72"/>
    </row>
    <row r="286" spans="1:8">
      <c r="D286" s="72"/>
      <c r="F286" s="72"/>
      <c r="H286" s="72"/>
    </row>
    <row r="287" spans="1:8">
      <c r="D287" s="72"/>
      <c r="F287" s="72"/>
      <c r="H287" s="72"/>
    </row>
    <row r="288" spans="1:8">
      <c r="D288" s="72"/>
      <c r="F288" s="72"/>
      <c r="H288" s="72"/>
    </row>
    <row r="289" spans="1:8">
      <c r="A289" s="36"/>
      <c r="D289" s="72"/>
      <c r="F289" s="72"/>
      <c r="H289" s="72"/>
    </row>
    <row r="290" spans="1:8">
      <c r="A290" s="36"/>
      <c r="D290" s="72"/>
      <c r="F290" s="72"/>
      <c r="H290" s="72"/>
    </row>
    <row r="291" spans="1:8">
      <c r="A291" s="41"/>
      <c r="D291" s="72"/>
      <c r="F291" s="72"/>
      <c r="H291" s="72"/>
    </row>
    <row r="292" spans="1:8">
      <c r="A292" s="41"/>
      <c r="D292" s="72"/>
      <c r="F292" s="72"/>
      <c r="H292" s="72"/>
    </row>
    <row r="293" spans="1:8">
      <c r="A293" s="41"/>
      <c r="D293" s="72"/>
      <c r="F293" s="72"/>
      <c r="H293" s="72"/>
    </row>
    <row r="294" spans="1:8">
      <c r="A294" s="41"/>
      <c r="D294" s="72"/>
      <c r="F294" s="72"/>
      <c r="H294" s="72"/>
    </row>
    <row r="295" spans="1:8">
      <c r="A295" s="41"/>
      <c r="D295" s="72"/>
      <c r="F295" s="72"/>
      <c r="H295" s="72"/>
    </row>
    <row r="296" spans="1:8">
      <c r="A296" s="41"/>
      <c r="D296" s="72"/>
      <c r="F296" s="72"/>
      <c r="H296" s="72"/>
    </row>
    <row r="297" spans="1:8">
      <c r="A297" s="41"/>
      <c r="D297" s="72"/>
      <c r="F297" s="72"/>
      <c r="H297" s="72"/>
    </row>
    <row r="298" spans="1:8">
      <c r="A298" s="41"/>
      <c r="D298" s="72"/>
      <c r="F298" s="72"/>
      <c r="H298" s="72"/>
    </row>
    <row r="299" spans="1:8">
      <c r="A299" s="41"/>
      <c r="D299" s="72"/>
      <c r="F299" s="72"/>
      <c r="H299" s="72"/>
    </row>
    <row r="300" spans="1:8">
      <c r="A300" s="41"/>
      <c r="D300" s="72"/>
      <c r="F300" s="72"/>
      <c r="H300" s="72"/>
    </row>
    <row r="301" spans="1:8">
      <c r="A301" s="41"/>
      <c r="D301" s="72"/>
      <c r="F301" s="72"/>
      <c r="H301" s="72"/>
    </row>
    <row r="302" spans="1:8">
      <c r="A302" s="41"/>
      <c r="D302" s="72"/>
      <c r="F302" s="72"/>
      <c r="H302" s="72"/>
    </row>
    <row r="303" spans="1:8">
      <c r="A303" s="41"/>
      <c r="D303" s="72"/>
      <c r="F303" s="72"/>
      <c r="H303" s="72"/>
    </row>
    <row r="304" spans="1:8">
      <c r="A304" s="41"/>
      <c r="D304" s="72"/>
      <c r="F304" s="72"/>
      <c r="H304" s="72"/>
    </row>
    <row r="305" spans="1:8">
      <c r="A305" s="41"/>
      <c r="D305" s="72"/>
      <c r="F305" s="72"/>
      <c r="H305" s="72"/>
    </row>
    <row r="306" spans="1:8">
      <c r="A306" s="41"/>
      <c r="D306" s="72"/>
      <c r="F306" s="72"/>
      <c r="H306" s="72"/>
    </row>
    <row r="307" spans="1:8">
      <c r="A307" s="41"/>
      <c r="D307" s="72"/>
      <c r="F307" s="72"/>
      <c r="H307" s="72"/>
    </row>
    <row r="308" spans="1:8">
      <c r="A308" s="41"/>
      <c r="D308" s="72"/>
      <c r="F308" s="72"/>
      <c r="H308" s="72"/>
    </row>
    <row r="309" spans="1:8">
      <c r="A309" s="41"/>
      <c r="D309" s="72"/>
      <c r="F309" s="72"/>
      <c r="H309" s="72"/>
    </row>
    <row r="310" spans="1:8">
      <c r="A310" s="41"/>
      <c r="D310" s="72"/>
      <c r="F310" s="72"/>
      <c r="H310" s="72"/>
    </row>
    <row r="311" spans="1:8">
      <c r="A311" s="41"/>
      <c r="D311" s="72"/>
      <c r="F311" s="72"/>
      <c r="H311" s="72"/>
    </row>
    <row r="312" spans="1:8">
      <c r="A312" s="41"/>
      <c r="D312" s="72"/>
      <c r="F312" s="72"/>
      <c r="H312" s="72"/>
    </row>
    <row r="313" spans="1:8">
      <c r="A313" s="41"/>
      <c r="D313" s="72"/>
      <c r="F313" s="72"/>
      <c r="H313" s="72"/>
    </row>
    <row r="314" spans="1:8">
      <c r="A314" s="41"/>
      <c r="D314" s="72"/>
      <c r="F314" s="72"/>
      <c r="H314" s="72"/>
    </row>
    <row r="315" spans="1:8">
      <c r="A315" s="41"/>
      <c r="D315" s="72"/>
      <c r="F315" s="72"/>
      <c r="H315" s="72"/>
    </row>
    <row r="316" spans="1:8">
      <c r="A316" s="41"/>
      <c r="D316" s="72"/>
      <c r="F316" s="72"/>
      <c r="H316" s="72"/>
    </row>
    <row r="317" spans="1:8">
      <c r="A317" s="41"/>
      <c r="D317" s="72"/>
      <c r="F317" s="72"/>
      <c r="H317" s="72"/>
    </row>
    <row r="318" spans="1:8">
      <c r="A318" s="41"/>
      <c r="D318" s="72"/>
      <c r="F318" s="72"/>
      <c r="H318" s="72"/>
    </row>
    <row r="319" spans="1:8">
      <c r="A319" s="41"/>
      <c r="D319" s="72"/>
      <c r="F319" s="72"/>
      <c r="H319" s="72"/>
    </row>
    <row r="320" spans="1:8">
      <c r="A320" s="41"/>
      <c r="D320" s="72"/>
      <c r="F320" s="72"/>
      <c r="H320" s="72"/>
    </row>
    <row r="321" spans="1:8">
      <c r="A321" s="41"/>
      <c r="D321" s="72"/>
      <c r="F321" s="72"/>
      <c r="H321" s="72"/>
    </row>
    <row r="322" spans="1:8">
      <c r="A322" s="41"/>
      <c r="D322" s="72"/>
      <c r="F322" s="72"/>
      <c r="H322" s="72"/>
    </row>
    <row r="323" spans="1:8">
      <c r="A323" s="41"/>
      <c r="D323" s="72"/>
      <c r="F323" s="72"/>
      <c r="H323" s="72"/>
    </row>
    <row r="324" spans="1:8">
      <c r="A324" s="41"/>
      <c r="D324" s="72"/>
      <c r="F324" s="72"/>
      <c r="H324" s="72"/>
    </row>
    <row r="325" spans="1:8">
      <c r="A325" s="41"/>
      <c r="D325" s="72"/>
      <c r="F325" s="72"/>
      <c r="H325" s="72"/>
    </row>
    <row r="326" spans="1:8">
      <c r="A326" s="41"/>
      <c r="D326" s="72"/>
      <c r="F326" s="72"/>
      <c r="H326" s="72"/>
    </row>
    <row r="327" spans="1:8">
      <c r="A327" s="41"/>
      <c r="D327" s="72"/>
      <c r="F327" s="72"/>
      <c r="H327" s="72"/>
    </row>
    <row r="328" spans="1:8">
      <c r="A328" s="41"/>
      <c r="D328" s="72"/>
      <c r="F328" s="72"/>
      <c r="H328" s="72"/>
    </row>
    <row r="329" spans="1:8">
      <c r="A329" s="41"/>
      <c r="D329" s="72"/>
      <c r="F329" s="72"/>
      <c r="H329" s="72"/>
    </row>
    <row r="330" spans="1:8">
      <c r="A330" s="41"/>
      <c r="D330" s="72"/>
      <c r="F330" s="72"/>
      <c r="H330" s="72"/>
    </row>
    <row r="331" spans="1:8">
      <c r="A331" s="41"/>
      <c r="D331" s="72"/>
      <c r="F331" s="72"/>
      <c r="H331" s="72"/>
    </row>
    <row r="332" spans="1:8">
      <c r="A332" s="41"/>
      <c r="D332" s="72"/>
      <c r="F332" s="72"/>
      <c r="H332" s="72"/>
    </row>
    <row r="333" spans="1:8">
      <c r="A333" s="41"/>
      <c r="D333" s="72"/>
      <c r="F333" s="72"/>
      <c r="H333" s="72"/>
    </row>
    <row r="334" spans="1:8">
      <c r="A334" s="41"/>
      <c r="D334" s="72"/>
      <c r="F334" s="72"/>
      <c r="H334" s="72"/>
    </row>
    <row r="335" spans="1:8">
      <c r="A335" s="41"/>
      <c r="D335" s="72"/>
      <c r="F335" s="72"/>
      <c r="H335" s="72"/>
    </row>
    <row r="336" spans="1:8">
      <c r="A336" s="41"/>
      <c r="D336" s="72"/>
      <c r="F336" s="72"/>
      <c r="H336" s="72"/>
    </row>
    <row r="337" spans="1:8">
      <c r="A337" s="41"/>
      <c r="D337" s="72"/>
      <c r="F337" s="72"/>
      <c r="H337" s="72"/>
    </row>
    <row r="338" spans="1:8">
      <c r="A338" s="41"/>
      <c r="D338" s="72"/>
      <c r="F338" s="72"/>
      <c r="H338" s="72"/>
    </row>
    <row r="339" spans="1:8">
      <c r="A339" s="41"/>
      <c r="D339" s="72"/>
      <c r="F339" s="72"/>
      <c r="H339" s="72"/>
    </row>
    <row r="340" spans="1:8">
      <c r="A340" s="41"/>
      <c r="D340" s="72"/>
      <c r="F340" s="72"/>
      <c r="H340" s="72"/>
    </row>
    <row r="341" spans="1:8">
      <c r="A341" s="41"/>
      <c r="D341" s="72"/>
      <c r="F341" s="72"/>
      <c r="H341" s="72"/>
    </row>
    <row r="342" spans="1:8">
      <c r="A342" s="41"/>
      <c r="D342" s="72"/>
      <c r="F342" s="72"/>
      <c r="H342" s="72"/>
    </row>
    <row r="343" spans="1:8">
      <c r="A343" s="41"/>
      <c r="D343" s="72"/>
      <c r="F343" s="72"/>
      <c r="H343" s="72"/>
    </row>
    <row r="344" spans="1:8">
      <c r="A344" s="41"/>
      <c r="D344" s="72"/>
      <c r="F344" s="72"/>
      <c r="H344" s="72"/>
    </row>
    <row r="345" spans="1:8">
      <c r="A345" s="41"/>
      <c r="D345" s="72"/>
      <c r="F345" s="72"/>
      <c r="H345" s="72"/>
    </row>
    <row r="346" spans="1:8">
      <c r="A346" s="41"/>
      <c r="D346" s="72"/>
      <c r="F346" s="72"/>
      <c r="H346" s="72"/>
    </row>
    <row r="347" spans="1:8">
      <c r="A347" s="41"/>
      <c r="D347" s="72"/>
      <c r="F347" s="72"/>
      <c r="H347" s="72"/>
    </row>
    <row r="348" spans="1:8">
      <c r="A348" s="41"/>
      <c r="D348" s="72"/>
      <c r="F348" s="72"/>
      <c r="H348" s="72"/>
    </row>
    <row r="349" spans="1:8">
      <c r="A349" s="41"/>
      <c r="D349" s="72"/>
      <c r="F349" s="72"/>
      <c r="H349" s="72"/>
    </row>
    <row r="350" spans="1:8">
      <c r="A350" s="41"/>
      <c r="D350" s="72"/>
      <c r="F350" s="72"/>
      <c r="H350" s="72"/>
    </row>
    <row r="351" spans="1:8">
      <c r="A351" s="41"/>
      <c r="D351" s="72"/>
      <c r="F351" s="72"/>
      <c r="H351" s="72"/>
    </row>
    <row r="352" spans="1:8">
      <c r="A352" s="41"/>
      <c r="D352" s="72"/>
      <c r="F352" s="72"/>
      <c r="H352" s="72"/>
    </row>
    <row r="353" spans="1:8">
      <c r="A353" s="41"/>
      <c r="D353" s="72"/>
      <c r="F353" s="72"/>
      <c r="H353" s="72"/>
    </row>
    <row r="354" spans="1:8">
      <c r="A354" s="41"/>
      <c r="D354" s="72"/>
      <c r="F354" s="72"/>
      <c r="H354" s="72"/>
    </row>
    <row r="355" spans="1:8">
      <c r="A355" s="41"/>
      <c r="D355" s="72"/>
      <c r="F355" s="72"/>
      <c r="H355" s="72"/>
    </row>
    <row r="356" spans="1:8">
      <c r="A356" s="41"/>
      <c r="D356" s="72"/>
      <c r="F356" s="72"/>
      <c r="H356" s="72"/>
    </row>
    <row r="357" spans="1:8">
      <c r="A357" s="41"/>
      <c r="D357" s="72"/>
      <c r="F357" s="72"/>
      <c r="H357" s="72"/>
    </row>
    <row r="358" spans="1:8">
      <c r="A358" s="52"/>
      <c r="D358" s="72"/>
      <c r="F358" s="72"/>
      <c r="H358" s="72"/>
    </row>
    <row r="359" spans="1:8">
      <c r="D359" s="72"/>
      <c r="F359" s="72"/>
      <c r="H359" s="72"/>
    </row>
    <row r="360" spans="1:8">
      <c r="D360" s="72"/>
      <c r="F360" s="72"/>
      <c r="H360" s="72"/>
    </row>
    <row r="361" spans="1:8">
      <c r="D361" s="72"/>
      <c r="F361" s="72"/>
      <c r="H361" s="72"/>
    </row>
    <row r="362" spans="1:8">
      <c r="A362" s="36"/>
      <c r="D362" s="72"/>
      <c r="F362" s="72"/>
      <c r="H362" s="72"/>
    </row>
    <row r="363" spans="1:8">
      <c r="A363" s="36"/>
      <c r="D363" s="72"/>
      <c r="F363" s="72"/>
      <c r="H363" s="72"/>
    </row>
    <row r="364" spans="1:8">
      <c r="A364" s="41"/>
      <c r="D364" s="72"/>
      <c r="F364" s="72"/>
      <c r="H364" s="72"/>
    </row>
    <row r="365" spans="1:8">
      <c r="A365" s="41"/>
      <c r="D365" s="72"/>
      <c r="F365" s="72"/>
      <c r="H365" s="72"/>
    </row>
    <row r="366" spans="1:8">
      <c r="A366" s="41"/>
      <c r="D366" s="72"/>
      <c r="F366" s="72"/>
      <c r="H366" s="72"/>
    </row>
    <row r="367" spans="1:8">
      <c r="A367" s="41"/>
      <c r="D367" s="72"/>
      <c r="F367" s="72"/>
      <c r="H367" s="72"/>
    </row>
    <row r="368" spans="1:8">
      <c r="A368" s="41"/>
      <c r="D368" s="72"/>
      <c r="F368" s="72"/>
      <c r="H368" s="72"/>
    </row>
    <row r="369" spans="1:8">
      <c r="A369" s="41"/>
      <c r="D369" s="72"/>
      <c r="F369" s="72"/>
      <c r="H369" s="72"/>
    </row>
    <row r="370" spans="1:8">
      <c r="A370" s="41"/>
      <c r="D370" s="72"/>
      <c r="F370" s="72"/>
      <c r="H370" s="72"/>
    </row>
    <row r="371" spans="1:8">
      <c r="A371" s="41"/>
      <c r="D371" s="72"/>
      <c r="F371" s="72"/>
      <c r="H371" s="72"/>
    </row>
    <row r="372" spans="1:8">
      <c r="A372" s="41"/>
      <c r="D372" s="72"/>
      <c r="F372" s="72"/>
      <c r="H372" s="72"/>
    </row>
    <row r="373" spans="1:8">
      <c r="A373" s="41"/>
      <c r="D373" s="72"/>
      <c r="F373" s="72"/>
      <c r="H373" s="72"/>
    </row>
    <row r="374" spans="1:8">
      <c r="A374" s="41"/>
      <c r="D374" s="72"/>
      <c r="F374" s="72"/>
      <c r="H374" s="72"/>
    </row>
    <row r="375" spans="1:8">
      <c r="A375" s="41"/>
      <c r="D375" s="72"/>
      <c r="F375" s="72"/>
      <c r="H375" s="72"/>
    </row>
    <row r="376" spans="1:8">
      <c r="A376" s="41"/>
      <c r="D376" s="72"/>
      <c r="F376" s="72"/>
      <c r="H376" s="72"/>
    </row>
    <row r="377" spans="1:8">
      <c r="A377" s="41"/>
      <c r="D377" s="72"/>
      <c r="F377" s="72"/>
      <c r="H377" s="72"/>
    </row>
    <row r="378" spans="1:8">
      <c r="A378" s="41"/>
      <c r="D378" s="72"/>
      <c r="F378" s="72"/>
      <c r="H378" s="72"/>
    </row>
    <row r="379" spans="1:8">
      <c r="A379" s="41"/>
      <c r="D379" s="72"/>
      <c r="F379" s="72"/>
      <c r="H379" s="72"/>
    </row>
    <row r="380" spans="1:8">
      <c r="A380" s="41"/>
      <c r="D380" s="72"/>
      <c r="F380" s="72"/>
      <c r="H380" s="72"/>
    </row>
    <row r="381" spans="1:8">
      <c r="A381" s="41"/>
      <c r="D381" s="72"/>
      <c r="F381" s="72"/>
      <c r="H381" s="72"/>
    </row>
    <row r="382" spans="1:8">
      <c r="A382" s="41"/>
      <c r="D382" s="72"/>
      <c r="F382" s="72"/>
      <c r="H382" s="72"/>
    </row>
    <row r="383" spans="1:8">
      <c r="A383" s="41"/>
      <c r="D383" s="72"/>
      <c r="F383" s="72"/>
      <c r="H383" s="72"/>
    </row>
    <row r="384" spans="1:8">
      <c r="A384" s="41"/>
      <c r="D384" s="72"/>
      <c r="F384" s="72"/>
      <c r="H384" s="72"/>
    </row>
    <row r="385" spans="1:8">
      <c r="A385" s="41"/>
      <c r="D385" s="72"/>
      <c r="F385" s="72"/>
      <c r="H385" s="72"/>
    </row>
    <row r="386" spans="1:8">
      <c r="A386" s="41"/>
      <c r="D386" s="72"/>
      <c r="F386" s="72"/>
      <c r="H386" s="72"/>
    </row>
    <row r="387" spans="1:8">
      <c r="A387" s="41"/>
      <c r="D387" s="72"/>
      <c r="F387" s="72"/>
      <c r="H387" s="72"/>
    </row>
    <row r="388" spans="1:8">
      <c r="A388" s="41"/>
      <c r="D388" s="72"/>
      <c r="F388" s="72"/>
      <c r="H388" s="72"/>
    </row>
    <row r="389" spans="1:8">
      <c r="A389" s="41"/>
      <c r="D389" s="72"/>
      <c r="F389" s="72"/>
      <c r="H389" s="72"/>
    </row>
    <row r="390" spans="1:8">
      <c r="A390" s="41"/>
      <c r="D390" s="72"/>
      <c r="F390" s="72"/>
      <c r="H390" s="72"/>
    </row>
    <row r="391" spans="1:8">
      <c r="A391" s="41"/>
      <c r="D391" s="72"/>
      <c r="F391" s="72"/>
      <c r="H391" s="72"/>
    </row>
    <row r="392" spans="1:8">
      <c r="A392" s="41"/>
      <c r="D392" s="72"/>
      <c r="F392" s="72"/>
      <c r="H392" s="72"/>
    </row>
    <row r="393" spans="1:8">
      <c r="A393" s="41"/>
      <c r="D393" s="72"/>
      <c r="F393" s="72"/>
      <c r="H393" s="72"/>
    </row>
    <row r="394" spans="1:8">
      <c r="A394" s="41"/>
      <c r="D394" s="72"/>
      <c r="F394" s="72"/>
      <c r="H394" s="72"/>
    </row>
    <row r="395" spans="1:8">
      <c r="A395" s="41"/>
      <c r="D395" s="72"/>
      <c r="F395" s="72"/>
      <c r="H395" s="72"/>
    </row>
    <row r="396" spans="1:8">
      <c r="A396" s="41"/>
      <c r="D396" s="72"/>
      <c r="F396" s="72"/>
      <c r="H396" s="72"/>
    </row>
    <row r="397" spans="1:8">
      <c r="A397" s="41"/>
      <c r="D397" s="72"/>
      <c r="F397" s="72"/>
      <c r="H397" s="72"/>
    </row>
    <row r="398" spans="1:8">
      <c r="A398" s="41"/>
      <c r="D398" s="72"/>
      <c r="F398" s="72"/>
      <c r="H398" s="72"/>
    </row>
    <row r="399" spans="1:8">
      <c r="A399" s="41"/>
      <c r="D399" s="72"/>
      <c r="F399" s="72"/>
      <c r="H399" s="72"/>
    </row>
    <row r="400" spans="1:8">
      <c r="A400" s="41"/>
      <c r="D400" s="72"/>
      <c r="F400" s="72"/>
      <c r="H400" s="72"/>
    </row>
    <row r="401" spans="1:8">
      <c r="A401" s="41"/>
      <c r="D401" s="72"/>
      <c r="F401" s="72"/>
      <c r="H401" s="72"/>
    </row>
    <row r="402" spans="1:8">
      <c r="A402" s="41"/>
      <c r="D402" s="72"/>
      <c r="F402" s="72"/>
      <c r="H402" s="72"/>
    </row>
    <row r="403" spans="1:8">
      <c r="A403" s="41"/>
      <c r="D403" s="72"/>
      <c r="F403" s="72"/>
      <c r="H403" s="72"/>
    </row>
    <row r="404" spans="1:8">
      <c r="A404" s="41"/>
      <c r="D404" s="72"/>
      <c r="F404" s="72"/>
      <c r="H404" s="72"/>
    </row>
    <row r="405" spans="1:8">
      <c r="A405" s="41"/>
      <c r="D405" s="72"/>
      <c r="F405" s="72"/>
      <c r="H405" s="72"/>
    </row>
    <row r="406" spans="1:8">
      <c r="A406" s="41"/>
      <c r="D406" s="72"/>
      <c r="F406" s="72"/>
      <c r="H406" s="72"/>
    </row>
    <row r="407" spans="1:8">
      <c r="A407" s="41"/>
      <c r="D407" s="72"/>
      <c r="F407" s="72"/>
      <c r="H407" s="72"/>
    </row>
    <row r="408" spans="1:8">
      <c r="A408" s="41"/>
      <c r="D408" s="72"/>
      <c r="F408" s="72"/>
      <c r="H408" s="72"/>
    </row>
    <row r="409" spans="1:8">
      <c r="A409" s="41"/>
      <c r="D409" s="72"/>
      <c r="F409" s="72"/>
      <c r="H409" s="72"/>
    </row>
    <row r="410" spans="1:8">
      <c r="A410" s="41"/>
      <c r="D410" s="72"/>
      <c r="F410" s="72"/>
      <c r="H410" s="72"/>
    </row>
    <row r="411" spans="1:8">
      <c r="A411" s="41"/>
      <c r="D411" s="72"/>
      <c r="F411" s="72"/>
      <c r="H411" s="72"/>
    </row>
    <row r="412" spans="1:8">
      <c r="A412" s="41"/>
      <c r="D412" s="72"/>
      <c r="F412" s="72"/>
      <c r="H412" s="72"/>
    </row>
    <row r="413" spans="1:8">
      <c r="A413" s="41"/>
      <c r="D413" s="72"/>
      <c r="F413" s="72"/>
      <c r="H413" s="72"/>
    </row>
    <row r="414" spans="1:8">
      <c r="A414" s="41"/>
      <c r="D414" s="72"/>
      <c r="F414" s="72"/>
      <c r="H414" s="72"/>
    </row>
    <row r="415" spans="1:8">
      <c r="A415" s="41"/>
      <c r="D415" s="72"/>
      <c r="F415" s="72"/>
      <c r="H415" s="72"/>
    </row>
    <row r="416" spans="1:8">
      <c r="A416" s="41"/>
      <c r="D416" s="72"/>
      <c r="F416" s="72"/>
      <c r="H416" s="72"/>
    </row>
    <row r="417" spans="1:8">
      <c r="A417" s="41"/>
      <c r="D417" s="72"/>
      <c r="F417" s="72"/>
      <c r="H417" s="72"/>
    </row>
    <row r="418" spans="1:8">
      <c r="A418" s="41"/>
      <c r="D418" s="72"/>
      <c r="F418" s="72"/>
      <c r="H418" s="72"/>
    </row>
    <row r="419" spans="1:8">
      <c r="A419" s="41"/>
      <c r="D419" s="72"/>
      <c r="F419" s="72"/>
      <c r="H419" s="72"/>
    </row>
    <row r="420" spans="1:8">
      <c r="A420" s="41"/>
      <c r="D420" s="72"/>
      <c r="F420" s="72"/>
      <c r="H420" s="72"/>
    </row>
    <row r="421" spans="1:8">
      <c r="A421" s="41"/>
      <c r="D421" s="72"/>
      <c r="F421" s="72"/>
      <c r="H421" s="72"/>
    </row>
    <row r="422" spans="1:8">
      <c r="A422" s="41"/>
      <c r="D422" s="72"/>
      <c r="F422" s="72"/>
      <c r="H422" s="72"/>
    </row>
    <row r="423" spans="1:8">
      <c r="A423" s="41"/>
      <c r="D423" s="72"/>
      <c r="F423" s="72"/>
      <c r="H423" s="72"/>
    </row>
    <row r="424" spans="1:8">
      <c r="A424" s="41"/>
      <c r="D424" s="72"/>
      <c r="F424" s="72"/>
      <c r="H424" s="72"/>
    </row>
    <row r="425" spans="1:8">
      <c r="A425" s="41"/>
      <c r="D425" s="72"/>
      <c r="F425" s="72"/>
      <c r="H425" s="72"/>
    </row>
    <row r="426" spans="1:8">
      <c r="A426" s="41"/>
      <c r="D426" s="72"/>
      <c r="F426" s="72"/>
      <c r="H426" s="72"/>
    </row>
    <row r="427" spans="1:8">
      <c r="A427" s="41"/>
      <c r="D427" s="72"/>
      <c r="F427" s="72"/>
      <c r="H427" s="72"/>
    </row>
    <row r="428" spans="1:8">
      <c r="A428" s="41"/>
      <c r="D428" s="72"/>
      <c r="F428" s="72"/>
      <c r="H428" s="72"/>
    </row>
    <row r="429" spans="1:8">
      <c r="A429" s="41"/>
      <c r="D429" s="72"/>
      <c r="F429" s="72"/>
      <c r="H429" s="72"/>
    </row>
    <row r="430" spans="1:8">
      <c r="A430" s="41"/>
      <c r="D430" s="72"/>
      <c r="F430" s="72"/>
      <c r="H430" s="72"/>
    </row>
    <row r="431" spans="1:8">
      <c r="A431" s="52"/>
      <c r="D431" s="72"/>
      <c r="F431" s="72"/>
      <c r="H431" s="72"/>
    </row>
    <row r="432" spans="1:8">
      <c r="D432" s="72"/>
      <c r="F432" s="72"/>
      <c r="H432" s="72"/>
    </row>
    <row r="433" spans="1:8">
      <c r="D433" s="72"/>
      <c r="F433" s="72"/>
      <c r="H433" s="72"/>
    </row>
    <row r="434" spans="1:8">
      <c r="D434" s="72"/>
      <c r="F434" s="72"/>
      <c r="H434" s="72"/>
    </row>
    <row r="435" spans="1:8">
      <c r="A435" s="36"/>
      <c r="D435" s="72"/>
      <c r="F435" s="72"/>
      <c r="H435" s="72"/>
    </row>
    <row r="436" spans="1:8">
      <c r="A436" s="36"/>
      <c r="D436" s="72"/>
      <c r="F436" s="72"/>
      <c r="H436" s="72"/>
    </row>
    <row r="437" spans="1:8">
      <c r="A437" s="41"/>
      <c r="D437" s="72"/>
      <c r="F437" s="72"/>
      <c r="H437" s="72"/>
    </row>
    <row r="438" spans="1:8">
      <c r="A438" s="41"/>
      <c r="D438" s="72"/>
      <c r="F438" s="72"/>
      <c r="H438" s="72"/>
    </row>
    <row r="439" spans="1:8">
      <c r="A439" s="41"/>
      <c r="D439" s="72"/>
      <c r="F439" s="72"/>
      <c r="H439" s="72"/>
    </row>
    <row r="440" spans="1:8">
      <c r="A440" s="41"/>
      <c r="D440" s="72"/>
      <c r="F440" s="72"/>
      <c r="H440" s="72"/>
    </row>
    <row r="441" spans="1:8">
      <c r="A441" s="41"/>
      <c r="D441" s="72"/>
      <c r="F441" s="72"/>
      <c r="H441" s="72"/>
    </row>
    <row r="442" spans="1:8">
      <c r="A442" s="41"/>
      <c r="D442" s="72"/>
      <c r="F442" s="72"/>
      <c r="H442" s="72"/>
    </row>
    <row r="443" spans="1:8">
      <c r="A443" s="41"/>
      <c r="D443" s="72"/>
      <c r="F443" s="72"/>
      <c r="H443" s="72"/>
    </row>
    <row r="444" spans="1:8">
      <c r="A444" s="41"/>
      <c r="D444" s="72"/>
      <c r="F444" s="72"/>
      <c r="H444" s="72"/>
    </row>
    <row r="445" spans="1:8">
      <c r="A445" s="41"/>
      <c r="D445" s="72"/>
      <c r="F445" s="72"/>
      <c r="H445" s="72"/>
    </row>
    <row r="446" spans="1:8">
      <c r="A446" s="41"/>
      <c r="D446" s="72"/>
      <c r="F446" s="72"/>
      <c r="H446" s="72"/>
    </row>
    <row r="447" spans="1:8">
      <c r="A447" s="41"/>
      <c r="D447" s="72"/>
      <c r="F447" s="72"/>
      <c r="H447" s="72"/>
    </row>
    <row r="448" spans="1:8">
      <c r="A448" s="41"/>
      <c r="D448" s="72"/>
      <c r="F448" s="72"/>
      <c r="H448" s="72"/>
    </row>
    <row r="449" spans="1:8">
      <c r="A449" s="41"/>
      <c r="D449" s="72"/>
      <c r="F449" s="72"/>
      <c r="H449" s="72"/>
    </row>
    <row r="450" spans="1:8">
      <c r="A450" s="41"/>
      <c r="D450" s="72"/>
      <c r="F450" s="72"/>
      <c r="H450" s="72"/>
    </row>
    <row r="451" spans="1:8">
      <c r="A451" s="41"/>
      <c r="D451" s="72"/>
      <c r="F451" s="72"/>
      <c r="H451" s="72"/>
    </row>
    <row r="452" spans="1:8">
      <c r="A452" s="41"/>
      <c r="D452" s="72"/>
      <c r="F452" s="72"/>
      <c r="H452" s="72"/>
    </row>
    <row r="453" spans="1:8">
      <c r="A453" s="41"/>
      <c r="D453" s="72"/>
      <c r="F453" s="72"/>
      <c r="H453" s="72"/>
    </row>
    <row r="454" spans="1:8">
      <c r="A454" s="41"/>
      <c r="D454" s="72"/>
      <c r="F454" s="72"/>
      <c r="H454" s="72"/>
    </row>
    <row r="455" spans="1:8">
      <c r="A455" s="41"/>
      <c r="D455" s="72"/>
      <c r="F455" s="72"/>
      <c r="H455" s="72"/>
    </row>
    <row r="456" spans="1:8">
      <c r="A456" s="41"/>
      <c r="D456" s="72"/>
      <c r="F456" s="72"/>
      <c r="H456" s="72"/>
    </row>
    <row r="457" spans="1:8">
      <c r="A457" s="41"/>
      <c r="D457" s="72"/>
      <c r="F457" s="72"/>
      <c r="H457" s="72"/>
    </row>
    <row r="458" spans="1:8">
      <c r="A458" s="41"/>
      <c r="D458" s="72"/>
      <c r="F458" s="72"/>
      <c r="H458" s="72"/>
    </row>
    <row r="459" spans="1:8">
      <c r="A459" s="41"/>
      <c r="D459" s="72"/>
      <c r="F459" s="72"/>
      <c r="H459" s="72"/>
    </row>
    <row r="460" spans="1:8">
      <c r="A460" s="41"/>
      <c r="D460" s="72"/>
      <c r="F460" s="72"/>
      <c r="H460" s="72"/>
    </row>
    <row r="461" spans="1:8">
      <c r="A461" s="41"/>
      <c r="D461" s="72"/>
      <c r="F461" s="72"/>
      <c r="H461" s="72"/>
    </row>
    <row r="462" spans="1:8">
      <c r="A462" s="41"/>
      <c r="D462" s="72"/>
      <c r="F462" s="72"/>
      <c r="H462" s="72"/>
    </row>
    <row r="463" spans="1:8">
      <c r="A463" s="41"/>
      <c r="D463" s="72"/>
      <c r="F463" s="72"/>
      <c r="H463" s="72"/>
    </row>
    <row r="464" spans="1:8">
      <c r="A464" s="41"/>
      <c r="D464" s="72"/>
      <c r="F464" s="72"/>
      <c r="H464" s="72"/>
    </row>
    <row r="465" spans="1:8">
      <c r="A465" s="41"/>
      <c r="D465" s="72"/>
      <c r="F465" s="72"/>
      <c r="H465" s="72"/>
    </row>
    <row r="466" spans="1:8">
      <c r="A466" s="41"/>
      <c r="D466" s="72"/>
      <c r="F466" s="72"/>
      <c r="H466" s="72"/>
    </row>
    <row r="467" spans="1:8">
      <c r="A467" s="41"/>
      <c r="D467" s="72"/>
      <c r="F467" s="72"/>
      <c r="H467" s="72"/>
    </row>
    <row r="468" spans="1:8">
      <c r="A468" s="41"/>
      <c r="D468" s="72"/>
      <c r="F468" s="72"/>
      <c r="H468" s="72"/>
    </row>
    <row r="469" spans="1:8">
      <c r="A469" s="41"/>
      <c r="D469" s="72"/>
      <c r="F469" s="72"/>
      <c r="H469" s="72"/>
    </row>
    <row r="470" spans="1:8">
      <c r="A470" s="41"/>
      <c r="D470" s="72"/>
      <c r="F470" s="72"/>
      <c r="H470" s="72"/>
    </row>
    <row r="471" spans="1:8">
      <c r="A471" s="41"/>
      <c r="D471" s="72"/>
      <c r="F471" s="72"/>
      <c r="H471" s="72"/>
    </row>
    <row r="472" spans="1:8">
      <c r="A472" s="41"/>
      <c r="D472" s="72"/>
      <c r="F472" s="72"/>
      <c r="H472" s="72"/>
    </row>
    <row r="473" spans="1:8">
      <c r="A473" s="41"/>
      <c r="D473" s="72"/>
      <c r="F473" s="72"/>
      <c r="H473" s="72"/>
    </row>
    <row r="474" spans="1:8">
      <c r="A474" s="41"/>
      <c r="D474" s="72"/>
      <c r="F474" s="72"/>
      <c r="H474" s="72"/>
    </row>
    <row r="475" spans="1:8">
      <c r="A475" s="41"/>
      <c r="D475" s="72"/>
      <c r="F475" s="72"/>
      <c r="H475" s="72"/>
    </row>
    <row r="476" spans="1:8">
      <c r="A476" s="41"/>
      <c r="D476" s="72"/>
      <c r="F476" s="72"/>
      <c r="H476" s="72"/>
    </row>
    <row r="477" spans="1:8">
      <c r="A477" s="41"/>
      <c r="D477" s="72"/>
      <c r="F477" s="72"/>
      <c r="H477" s="72"/>
    </row>
    <row r="478" spans="1:8">
      <c r="A478" s="41"/>
      <c r="D478" s="72"/>
      <c r="F478" s="72"/>
      <c r="H478" s="72"/>
    </row>
    <row r="479" spans="1:8">
      <c r="A479" s="41"/>
      <c r="D479" s="72"/>
      <c r="F479" s="72"/>
      <c r="H479" s="72"/>
    </row>
    <row r="480" spans="1:8">
      <c r="A480" s="41"/>
      <c r="D480" s="72"/>
      <c r="F480" s="72"/>
      <c r="H480" s="72"/>
    </row>
    <row r="481" spans="1:8">
      <c r="A481" s="41"/>
      <c r="D481" s="72"/>
      <c r="F481" s="72"/>
      <c r="H481" s="72"/>
    </row>
    <row r="482" spans="1:8">
      <c r="A482" s="41"/>
      <c r="D482" s="72"/>
      <c r="F482" s="72"/>
      <c r="H482" s="72"/>
    </row>
    <row r="483" spans="1:8">
      <c r="A483" s="41"/>
      <c r="D483" s="72"/>
      <c r="F483" s="72"/>
      <c r="H483" s="72"/>
    </row>
    <row r="484" spans="1:8">
      <c r="A484" s="41"/>
      <c r="D484" s="72"/>
      <c r="F484" s="72"/>
      <c r="H484" s="72"/>
    </row>
    <row r="485" spans="1:8">
      <c r="A485" s="41"/>
      <c r="D485" s="72"/>
      <c r="F485" s="72"/>
      <c r="H485" s="72"/>
    </row>
    <row r="486" spans="1:8">
      <c r="A486" s="41"/>
      <c r="D486" s="72"/>
      <c r="F486" s="72"/>
      <c r="H486" s="72"/>
    </row>
    <row r="487" spans="1:8">
      <c r="A487" s="41"/>
      <c r="D487" s="72"/>
      <c r="F487" s="72"/>
      <c r="H487" s="72"/>
    </row>
    <row r="488" spans="1:8">
      <c r="A488" s="41"/>
      <c r="D488" s="72"/>
      <c r="F488" s="72"/>
      <c r="H488" s="72"/>
    </row>
    <row r="489" spans="1:8">
      <c r="A489" s="41"/>
      <c r="D489" s="72"/>
      <c r="F489" s="72"/>
      <c r="H489" s="72"/>
    </row>
    <row r="490" spans="1:8">
      <c r="A490" s="41"/>
      <c r="D490" s="72"/>
      <c r="F490" s="72"/>
      <c r="H490" s="72"/>
    </row>
    <row r="491" spans="1:8">
      <c r="A491" s="41"/>
      <c r="D491" s="72"/>
      <c r="F491" s="72"/>
      <c r="H491" s="72"/>
    </row>
    <row r="492" spans="1:8">
      <c r="A492" s="41"/>
      <c r="D492" s="72"/>
      <c r="F492" s="72"/>
      <c r="H492" s="72"/>
    </row>
    <row r="493" spans="1:8">
      <c r="A493" s="41"/>
      <c r="D493" s="72"/>
      <c r="F493" s="72"/>
      <c r="H493" s="72"/>
    </row>
    <row r="494" spans="1:8">
      <c r="A494" s="41"/>
      <c r="D494" s="72"/>
      <c r="F494" s="72"/>
      <c r="H494" s="72"/>
    </row>
    <row r="495" spans="1:8">
      <c r="A495" s="41"/>
      <c r="D495" s="72"/>
      <c r="F495" s="72"/>
      <c r="H495" s="72"/>
    </row>
    <row r="496" spans="1:8">
      <c r="A496" s="41"/>
      <c r="D496" s="72"/>
      <c r="F496" s="72"/>
      <c r="H496" s="72"/>
    </row>
    <row r="497" spans="1:8">
      <c r="A497" s="41"/>
      <c r="D497" s="72"/>
      <c r="F497" s="72"/>
      <c r="H497" s="72"/>
    </row>
    <row r="498" spans="1:8">
      <c r="A498" s="41"/>
      <c r="D498" s="72"/>
      <c r="F498" s="72"/>
      <c r="H498" s="72"/>
    </row>
    <row r="499" spans="1:8">
      <c r="A499" s="41"/>
      <c r="D499" s="72"/>
      <c r="F499" s="72"/>
      <c r="H499" s="72"/>
    </row>
    <row r="500" spans="1:8">
      <c r="A500" s="41"/>
      <c r="D500" s="72"/>
      <c r="F500" s="72"/>
      <c r="H500" s="72"/>
    </row>
    <row r="501" spans="1:8">
      <c r="A501" s="41"/>
      <c r="D501" s="72"/>
      <c r="F501" s="72"/>
      <c r="H501" s="72"/>
    </row>
    <row r="502" spans="1:8">
      <c r="A502" s="41"/>
      <c r="D502" s="72"/>
      <c r="F502" s="72"/>
      <c r="H502" s="72"/>
    </row>
    <row r="503" spans="1:8">
      <c r="A503" s="41"/>
      <c r="D503" s="72"/>
      <c r="F503" s="72"/>
      <c r="H503" s="72"/>
    </row>
    <row r="504" spans="1:8">
      <c r="A504" s="52"/>
      <c r="D504" s="72"/>
      <c r="F504" s="72"/>
      <c r="H504" s="72"/>
    </row>
    <row r="505" spans="1:8">
      <c r="D505" s="72"/>
      <c r="F505" s="72"/>
      <c r="H505" s="72"/>
    </row>
    <row r="506" spans="1:8">
      <c r="D506" s="72"/>
      <c r="F506" s="72"/>
      <c r="H506" s="72"/>
    </row>
    <row r="507" spans="1:8">
      <c r="D507" s="72"/>
      <c r="F507" s="72"/>
      <c r="H507" s="72"/>
    </row>
    <row r="508" spans="1:8">
      <c r="A508" s="36"/>
      <c r="D508" s="72"/>
      <c r="F508" s="72"/>
      <c r="H508" s="72"/>
    </row>
    <row r="509" spans="1:8">
      <c r="A509" s="36"/>
      <c r="D509" s="72"/>
      <c r="F509" s="72"/>
      <c r="H509" s="72"/>
    </row>
    <row r="510" spans="1:8">
      <c r="A510" s="41"/>
      <c r="D510" s="72"/>
      <c r="F510" s="72"/>
      <c r="H510" s="72"/>
    </row>
    <row r="511" spans="1:8">
      <c r="A511" s="41"/>
      <c r="D511" s="72"/>
      <c r="F511" s="72"/>
      <c r="H511" s="72"/>
    </row>
    <row r="512" spans="1:8">
      <c r="A512" s="41"/>
      <c r="D512" s="72"/>
      <c r="F512" s="72"/>
      <c r="H512" s="72"/>
    </row>
    <row r="513" spans="1:8">
      <c r="A513" s="41"/>
      <c r="D513" s="72"/>
      <c r="F513" s="72"/>
      <c r="H513" s="72"/>
    </row>
    <row r="514" spans="1:8">
      <c r="A514" s="41"/>
      <c r="D514" s="72"/>
      <c r="F514" s="72"/>
      <c r="H514" s="72"/>
    </row>
    <row r="515" spans="1:8">
      <c r="A515" s="41"/>
      <c r="D515" s="72"/>
      <c r="F515" s="72"/>
      <c r="H515" s="72"/>
    </row>
    <row r="516" spans="1:8">
      <c r="A516" s="41"/>
      <c r="D516" s="72"/>
      <c r="F516" s="72"/>
      <c r="H516" s="72"/>
    </row>
    <row r="517" spans="1:8">
      <c r="A517" s="41"/>
      <c r="D517" s="72"/>
      <c r="F517" s="72"/>
      <c r="H517" s="72"/>
    </row>
    <row r="518" spans="1:8">
      <c r="A518" s="41"/>
      <c r="D518" s="72"/>
      <c r="F518" s="72"/>
      <c r="H518" s="72"/>
    </row>
    <row r="519" spans="1:8">
      <c r="A519" s="41"/>
      <c r="D519" s="72"/>
      <c r="F519" s="72"/>
      <c r="H519" s="72"/>
    </row>
    <row r="520" spans="1:8">
      <c r="A520" s="41"/>
      <c r="D520" s="72"/>
      <c r="F520" s="72"/>
      <c r="H520" s="72"/>
    </row>
    <row r="521" spans="1:8">
      <c r="A521" s="41"/>
      <c r="D521" s="72"/>
      <c r="F521" s="72"/>
      <c r="H521" s="72"/>
    </row>
    <row r="522" spans="1:8">
      <c r="A522" s="41"/>
      <c r="D522" s="72"/>
      <c r="F522" s="72"/>
      <c r="H522" s="72"/>
    </row>
    <row r="523" spans="1:8">
      <c r="A523" s="41"/>
      <c r="D523" s="72"/>
      <c r="F523" s="72"/>
      <c r="H523" s="72"/>
    </row>
    <row r="524" spans="1:8">
      <c r="A524" s="41"/>
      <c r="D524" s="72"/>
      <c r="F524" s="72"/>
      <c r="H524" s="72"/>
    </row>
    <row r="525" spans="1:8">
      <c r="A525" s="41"/>
      <c r="D525" s="72"/>
      <c r="F525" s="72"/>
      <c r="H525" s="72"/>
    </row>
    <row r="526" spans="1:8">
      <c r="A526" s="41"/>
      <c r="D526" s="72"/>
      <c r="F526" s="72"/>
      <c r="H526" s="72"/>
    </row>
    <row r="527" spans="1:8">
      <c r="A527" s="41"/>
      <c r="D527" s="72"/>
      <c r="F527" s="72"/>
      <c r="H527" s="72"/>
    </row>
    <row r="528" spans="1:8">
      <c r="A528" s="41"/>
      <c r="D528" s="72"/>
      <c r="F528" s="72"/>
      <c r="H528" s="72"/>
    </row>
    <row r="529" spans="1:8">
      <c r="A529" s="41"/>
      <c r="D529" s="72"/>
      <c r="F529" s="72"/>
      <c r="H529" s="72"/>
    </row>
    <row r="530" spans="1:8">
      <c r="A530" s="41"/>
      <c r="D530" s="72"/>
      <c r="F530" s="72"/>
      <c r="H530" s="72"/>
    </row>
    <row r="531" spans="1:8">
      <c r="A531" s="41"/>
      <c r="D531" s="72"/>
      <c r="F531" s="72"/>
      <c r="H531" s="72"/>
    </row>
    <row r="532" spans="1:8">
      <c r="A532" s="41"/>
      <c r="D532" s="72"/>
      <c r="F532" s="72"/>
      <c r="H532" s="72"/>
    </row>
    <row r="533" spans="1:8">
      <c r="A533" s="41"/>
      <c r="D533" s="72"/>
      <c r="F533" s="72"/>
      <c r="H533" s="72"/>
    </row>
    <row r="534" spans="1:8">
      <c r="A534" s="41"/>
      <c r="D534" s="72"/>
      <c r="F534" s="72"/>
      <c r="H534" s="72"/>
    </row>
    <row r="535" spans="1:8">
      <c r="A535" s="41"/>
      <c r="D535" s="72"/>
      <c r="F535" s="72"/>
      <c r="H535" s="72"/>
    </row>
    <row r="536" spans="1:8">
      <c r="A536" s="41"/>
      <c r="D536" s="72"/>
      <c r="F536" s="72"/>
      <c r="H536" s="72"/>
    </row>
    <row r="537" spans="1:8">
      <c r="A537" s="41"/>
      <c r="D537" s="72"/>
      <c r="F537" s="72"/>
      <c r="H537" s="72"/>
    </row>
    <row r="538" spans="1:8">
      <c r="A538" s="41"/>
      <c r="D538" s="72"/>
      <c r="F538" s="72"/>
      <c r="H538" s="72"/>
    </row>
    <row r="539" spans="1:8">
      <c r="A539" s="41"/>
      <c r="D539" s="72"/>
      <c r="F539" s="72"/>
      <c r="H539" s="72"/>
    </row>
    <row r="540" spans="1:8">
      <c r="A540" s="41"/>
      <c r="D540" s="72"/>
      <c r="F540" s="72"/>
      <c r="H540" s="72"/>
    </row>
    <row r="541" spans="1:8">
      <c r="A541" s="41"/>
      <c r="D541" s="72"/>
      <c r="F541" s="72"/>
      <c r="H541" s="72"/>
    </row>
    <row r="542" spans="1:8">
      <c r="A542" s="41"/>
      <c r="D542" s="72"/>
      <c r="F542" s="72"/>
      <c r="H542" s="72"/>
    </row>
    <row r="543" spans="1:8">
      <c r="A543" s="41"/>
      <c r="D543" s="72"/>
      <c r="F543" s="72"/>
      <c r="H543" s="72"/>
    </row>
    <row r="544" spans="1:8">
      <c r="A544" s="41"/>
      <c r="D544" s="72"/>
      <c r="F544" s="72"/>
      <c r="H544" s="72"/>
    </row>
    <row r="545" spans="1:8">
      <c r="A545" s="41"/>
      <c r="D545" s="72"/>
      <c r="F545" s="72"/>
      <c r="H545" s="72"/>
    </row>
    <row r="546" spans="1:8">
      <c r="A546" s="41"/>
      <c r="D546" s="72"/>
      <c r="F546" s="72"/>
      <c r="H546" s="72"/>
    </row>
    <row r="547" spans="1:8">
      <c r="A547" s="41"/>
      <c r="D547" s="72"/>
      <c r="F547" s="72"/>
      <c r="H547" s="72"/>
    </row>
    <row r="548" spans="1:8">
      <c r="A548" s="41"/>
      <c r="D548" s="72"/>
      <c r="F548" s="72"/>
      <c r="H548" s="72"/>
    </row>
    <row r="549" spans="1:8">
      <c r="A549" s="41"/>
      <c r="D549" s="72"/>
      <c r="F549" s="72"/>
      <c r="H549" s="72"/>
    </row>
    <row r="550" spans="1:8">
      <c r="A550" s="41"/>
      <c r="D550" s="72"/>
      <c r="F550" s="72"/>
      <c r="H550" s="72"/>
    </row>
    <row r="551" spans="1:8">
      <c r="A551" s="41"/>
      <c r="D551" s="72"/>
      <c r="F551" s="72"/>
      <c r="H551" s="72"/>
    </row>
    <row r="552" spans="1:8">
      <c r="A552" s="41"/>
      <c r="D552" s="72"/>
      <c r="F552" s="72"/>
      <c r="H552" s="72"/>
    </row>
    <row r="553" spans="1:8">
      <c r="A553" s="41"/>
      <c r="D553" s="72"/>
      <c r="F553" s="72"/>
      <c r="H553" s="72"/>
    </row>
    <row r="554" spans="1:8">
      <c r="A554" s="41"/>
      <c r="D554" s="72"/>
      <c r="F554" s="72"/>
      <c r="H554" s="72"/>
    </row>
    <row r="555" spans="1:8">
      <c r="A555" s="41"/>
      <c r="D555" s="72"/>
      <c r="F555" s="72"/>
      <c r="H555" s="72"/>
    </row>
    <row r="556" spans="1:8">
      <c r="A556" s="41"/>
      <c r="D556" s="72"/>
      <c r="F556" s="72"/>
      <c r="H556" s="72"/>
    </row>
    <row r="557" spans="1:8">
      <c r="A557" s="41"/>
      <c r="D557" s="72"/>
      <c r="F557" s="72"/>
      <c r="H557" s="72"/>
    </row>
    <row r="558" spans="1:8">
      <c r="A558" s="41"/>
      <c r="D558" s="72"/>
      <c r="F558" s="72"/>
      <c r="H558" s="72"/>
    </row>
    <row r="559" spans="1:8">
      <c r="A559" s="41"/>
      <c r="D559" s="72"/>
      <c r="F559" s="72"/>
      <c r="H559" s="72"/>
    </row>
    <row r="560" spans="1:8">
      <c r="A560" s="41"/>
      <c r="D560" s="72"/>
      <c r="F560" s="72"/>
      <c r="H560" s="72"/>
    </row>
    <row r="561" spans="1:8">
      <c r="A561" s="41"/>
      <c r="D561" s="72"/>
      <c r="F561" s="72"/>
      <c r="H561" s="72"/>
    </row>
    <row r="562" spans="1:8">
      <c r="A562" s="41"/>
      <c r="D562" s="72"/>
      <c r="F562" s="72"/>
      <c r="H562" s="72"/>
    </row>
    <row r="563" spans="1:8">
      <c r="A563" s="41"/>
      <c r="D563" s="72"/>
      <c r="F563" s="72"/>
      <c r="H563" s="72"/>
    </row>
    <row r="564" spans="1:8">
      <c r="A564" s="41"/>
      <c r="D564" s="72"/>
      <c r="F564" s="72"/>
      <c r="H564" s="72"/>
    </row>
    <row r="565" spans="1:8">
      <c r="A565" s="41"/>
      <c r="D565" s="72"/>
      <c r="F565" s="72"/>
      <c r="H565" s="72"/>
    </row>
    <row r="566" spans="1:8">
      <c r="A566" s="41"/>
      <c r="D566" s="72"/>
      <c r="F566" s="72"/>
      <c r="H566" s="72"/>
    </row>
    <row r="567" spans="1:8">
      <c r="A567" s="41"/>
      <c r="D567" s="72"/>
      <c r="F567" s="72"/>
      <c r="H567" s="72"/>
    </row>
    <row r="568" spans="1:8">
      <c r="A568" s="41"/>
      <c r="D568" s="72"/>
      <c r="F568" s="72"/>
      <c r="H568" s="72"/>
    </row>
    <row r="569" spans="1:8">
      <c r="A569" s="41"/>
      <c r="D569" s="72"/>
      <c r="F569" s="72"/>
      <c r="H569" s="72"/>
    </row>
    <row r="570" spans="1:8">
      <c r="A570" s="41"/>
      <c r="D570" s="72"/>
      <c r="F570" s="72"/>
      <c r="H570" s="72"/>
    </row>
    <row r="571" spans="1:8">
      <c r="A571" s="41"/>
      <c r="D571" s="72"/>
      <c r="F571" s="72"/>
      <c r="H571" s="72"/>
    </row>
    <row r="572" spans="1:8">
      <c r="A572" s="41"/>
      <c r="D572" s="72"/>
      <c r="F572" s="72"/>
      <c r="H572" s="72"/>
    </row>
    <row r="573" spans="1:8">
      <c r="A573" s="41"/>
      <c r="D573" s="72"/>
      <c r="F573" s="72"/>
      <c r="H573" s="72"/>
    </row>
    <row r="574" spans="1:8">
      <c r="A574" s="41"/>
      <c r="D574" s="72"/>
      <c r="F574" s="72"/>
      <c r="H574" s="72"/>
    </row>
    <row r="575" spans="1:8">
      <c r="A575" s="41"/>
      <c r="D575" s="72"/>
      <c r="F575" s="72"/>
      <c r="H575" s="72"/>
    </row>
    <row r="576" spans="1:8">
      <c r="A576" s="41"/>
      <c r="D576" s="72"/>
      <c r="F576" s="72"/>
      <c r="H576" s="72"/>
    </row>
    <row r="577" spans="1:8">
      <c r="A577" s="52"/>
      <c r="D577" s="72"/>
      <c r="F577" s="72"/>
      <c r="H577" s="72"/>
    </row>
    <row r="578" spans="1:8">
      <c r="D578" s="72"/>
      <c r="F578" s="72"/>
      <c r="H578" s="72"/>
    </row>
    <row r="579" spans="1:8">
      <c r="D579" s="72"/>
      <c r="F579" s="72"/>
      <c r="H579" s="72"/>
    </row>
    <row r="580" spans="1:8">
      <c r="D580" s="72"/>
      <c r="F580" s="72"/>
      <c r="H580" s="72"/>
    </row>
    <row r="581" spans="1:8">
      <c r="A581" s="36"/>
      <c r="D581" s="72"/>
      <c r="F581" s="72"/>
      <c r="H581" s="72"/>
    </row>
    <row r="582" spans="1:8">
      <c r="A582" s="36"/>
      <c r="D582" s="72"/>
      <c r="F582" s="72"/>
      <c r="H582" s="72"/>
    </row>
    <row r="583" spans="1:8">
      <c r="A583" s="41"/>
      <c r="D583" s="72"/>
      <c r="F583" s="72"/>
      <c r="H583" s="72"/>
    </row>
    <row r="584" spans="1:8">
      <c r="A584" s="41"/>
      <c r="D584" s="72"/>
      <c r="F584" s="72"/>
      <c r="H584" s="72"/>
    </row>
    <row r="585" spans="1:8">
      <c r="A585" s="41"/>
      <c r="D585" s="72"/>
      <c r="F585" s="72"/>
      <c r="H585" s="72"/>
    </row>
    <row r="586" spans="1:8">
      <c r="A586" s="41"/>
      <c r="D586" s="72"/>
      <c r="F586" s="72"/>
      <c r="H586" s="72"/>
    </row>
    <row r="587" spans="1:8">
      <c r="A587" s="41"/>
      <c r="D587" s="72"/>
      <c r="F587" s="72"/>
      <c r="H587" s="72"/>
    </row>
    <row r="588" spans="1:8">
      <c r="A588" s="41"/>
      <c r="D588" s="72"/>
      <c r="F588" s="72"/>
      <c r="H588" s="72"/>
    </row>
    <row r="589" spans="1:8">
      <c r="A589" s="41"/>
      <c r="D589" s="72"/>
      <c r="F589" s="72"/>
      <c r="H589" s="72"/>
    </row>
    <row r="590" spans="1:8">
      <c r="A590" s="41"/>
      <c r="D590" s="72"/>
      <c r="F590" s="72"/>
      <c r="H590" s="72"/>
    </row>
    <row r="591" spans="1:8">
      <c r="A591" s="41"/>
      <c r="D591" s="72"/>
      <c r="F591" s="72"/>
      <c r="H591" s="72"/>
    </row>
    <row r="592" spans="1:8">
      <c r="A592" s="41"/>
      <c r="D592" s="72"/>
      <c r="F592" s="72"/>
      <c r="H592" s="72"/>
    </row>
    <row r="593" spans="1:8">
      <c r="A593" s="41"/>
      <c r="D593" s="72"/>
      <c r="F593" s="72"/>
      <c r="H593" s="72"/>
    </row>
    <row r="594" spans="1:8">
      <c r="A594" s="41"/>
      <c r="D594" s="72"/>
      <c r="F594" s="72"/>
      <c r="H594" s="72"/>
    </row>
    <row r="595" spans="1:8">
      <c r="A595" s="41"/>
      <c r="D595" s="72"/>
      <c r="F595" s="72"/>
      <c r="H595" s="72"/>
    </row>
    <row r="596" spans="1:8">
      <c r="A596" s="41"/>
      <c r="D596" s="72"/>
      <c r="F596" s="72"/>
      <c r="H596" s="72"/>
    </row>
    <row r="597" spans="1:8">
      <c r="A597" s="41"/>
      <c r="D597" s="72"/>
      <c r="F597" s="72"/>
      <c r="H597" s="72"/>
    </row>
    <row r="598" spans="1:8">
      <c r="A598" s="41"/>
      <c r="D598" s="72"/>
      <c r="F598" s="72"/>
      <c r="H598" s="72"/>
    </row>
    <row r="599" spans="1:8">
      <c r="A599" s="41"/>
      <c r="D599" s="72"/>
      <c r="F599" s="72"/>
      <c r="H599" s="72"/>
    </row>
    <row r="600" spans="1:8">
      <c r="A600" s="41"/>
      <c r="D600" s="72"/>
      <c r="F600" s="72"/>
      <c r="H600" s="72"/>
    </row>
    <row r="601" spans="1:8">
      <c r="A601" s="41"/>
      <c r="D601" s="72"/>
      <c r="F601" s="72"/>
      <c r="H601" s="72"/>
    </row>
    <row r="602" spans="1:8">
      <c r="A602" s="41"/>
      <c r="D602" s="72"/>
      <c r="F602" s="72"/>
      <c r="H602" s="72"/>
    </row>
    <row r="603" spans="1:8">
      <c r="A603" s="41"/>
      <c r="D603" s="72"/>
      <c r="F603" s="72"/>
      <c r="H603" s="72"/>
    </row>
    <row r="604" spans="1:8">
      <c r="A604" s="41"/>
      <c r="D604" s="72"/>
      <c r="F604" s="72"/>
      <c r="H604" s="72"/>
    </row>
    <row r="605" spans="1:8">
      <c r="A605" s="41"/>
      <c r="D605" s="72"/>
      <c r="F605" s="72"/>
      <c r="H605" s="72"/>
    </row>
    <row r="606" spans="1:8">
      <c r="A606" s="41"/>
      <c r="D606" s="72"/>
      <c r="F606" s="72"/>
      <c r="H606" s="72"/>
    </row>
    <row r="607" spans="1:8">
      <c r="A607" s="41"/>
      <c r="D607" s="72"/>
      <c r="F607" s="72"/>
      <c r="H607" s="72"/>
    </row>
    <row r="608" spans="1:8">
      <c r="A608" s="41"/>
      <c r="D608" s="72"/>
      <c r="F608" s="72"/>
      <c r="H608" s="72"/>
    </row>
    <row r="609" spans="1:8">
      <c r="A609" s="41"/>
      <c r="D609" s="72"/>
      <c r="F609" s="72"/>
      <c r="H609" s="72"/>
    </row>
    <row r="610" spans="1:8">
      <c r="A610" s="41"/>
      <c r="D610" s="72"/>
      <c r="F610" s="72"/>
      <c r="H610" s="72"/>
    </row>
    <row r="611" spans="1:8">
      <c r="A611" s="41"/>
      <c r="D611" s="72"/>
      <c r="F611" s="72"/>
      <c r="H611" s="72"/>
    </row>
    <row r="612" spans="1:8">
      <c r="A612" s="41"/>
      <c r="D612" s="72"/>
      <c r="F612" s="72"/>
      <c r="H612" s="72"/>
    </row>
    <row r="613" spans="1:8">
      <c r="A613" s="41"/>
      <c r="D613" s="72"/>
      <c r="F613" s="72"/>
      <c r="H613" s="72"/>
    </row>
    <row r="614" spans="1:8">
      <c r="A614" s="41"/>
      <c r="D614" s="72"/>
      <c r="F614" s="72"/>
      <c r="H614" s="72"/>
    </row>
    <row r="615" spans="1:8">
      <c r="A615" s="41"/>
      <c r="D615" s="72"/>
      <c r="F615" s="72"/>
      <c r="H615" s="72"/>
    </row>
    <row r="616" spans="1:8">
      <c r="A616" s="41"/>
      <c r="D616" s="72"/>
      <c r="F616" s="72"/>
      <c r="H616" s="72"/>
    </row>
    <row r="617" spans="1:8">
      <c r="A617" s="41"/>
      <c r="D617" s="72"/>
      <c r="F617" s="72"/>
      <c r="H617" s="72"/>
    </row>
    <row r="618" spans="1:8">
      <c r="A618" s="41"/>
      <c r="D618" s="72"/>
      <c r="F618" s="72"/>
      <c r="H618" s="72"/>
    </row>
    <row r="619" spans="1:8">
      <c r="A619" s="41"/>
      <c r="D619" s="72"/>
      <c r="F619" s="72"/>
      <c r="H619" s="72"/>
    </row>
    <row r="620" spans="1:8">
      <c r="A620" s="41"/>
      <c r="D620" s="72"/>
      <c r="F620" s="72"/>
      <c r="H620" s="72"/>
    </row>
    <row r="621" spans="1:8">
      <c r="A621" s="41"/>
      <c r="D621" s="72"/>
      <c r="F621" s="72"/>
      <c r="H621" s="72"/>
    </row>
    <row r="622" spans="1:8">
      <c r="A622" s="41"/>
      <c r="D622" s="72"/>
      <c r="F622" s="72"/>
      <c r="H622" s="72"/>
    </row>
    <row r="623" spans="1:8">
      <c r="A623" s="41"/>
      <c r="D623" s="72"/>
      <c r="F623" s="72"/>
      <c r="H623" s="72"/>
    </row>
    <row r="624" spans="1:8">
      <c r="A624" s="41"/>
      <c r="D624" s="72"/>
      <c r="F624" s="72"/>
      <c r="H624" s="72"/>
    </row>
    <row r="625" spans="1:8">
      <c r="A625" s="41"/>
      <c r="D625" s="72"/>
      <c r="F625" s="72"/>
      <c r="H625" s="72"/>
    </row>
    <row r="626" spans="1:8">
      <c r="A626" s="41"/>
      <c r="D626" s="72"/>
      <c r="F626" s="72"/>
      <c r="H626" s="72"/>
    </row>
    <row r="627" spans="1:8">
      <c r="A627" s="41"/>
      <c r="D627" s="72"/>
      <c r="F627" s="72"/>
      <c r="H627" s="72"/>
    </row>
    <row r="628" spans="1:8">
      <c r="A628" s="41"/>
      <c r="D628" s="72"/>
      <c r="F628" s="72"/>
      <c r="H628" s="72"/>
    </row>
    <row r="629" spans="1:8">
      <c r="A629" s="41"/>
      <c r="D629" s="72"/>
      <c r="F629" s="72"/>
      <c r="H629" s="72"/>
    </row>
    <row r="630" spans="1:8">
      <c r="A630" s="41"/>
      <c r="D630" s="72"/>
      <c r="F630" s="72"/>
      <c r="H630" s="72"/>
    </row>
    <row r="631" spans="1:8">
      <c r="A631" s="41"/>
      <c r="D631" s="72"/>
      <c r="F631" s="72"/>
      <c r="H631" s="72"/>
    </row>
    <row r="632" spans="1:8">
      <c r="A632" s="41"/>
      <c r="D632" s="72"/>
      <c r="F632" s="72"/>
      <c r="H632" s="72"/>
    </row>
    <row r="633" spans="1:8">
      <c r="A633" s="41"/>
      <c r="D633" s="72"/>
      <c r="F633" s="72"/>
      <c r="H633" s="72"/>
    </row>
    <row r="634" spans="1:8">
      <c r="A634" s="41"/>
      <c r="D634" s="72"/>
      <c r="F634" s="72"/>
      <c r="H634" s="72"/>
    </row>
    <row r="635" spans="1:8">
      <c r="A635" s="41"/>
      <c r="D635" s="72"/>
      <c r="F635" s="72"/>
      <c r="H635" s="72"/>
    </row>
    <row r="636" spans="1:8">
      <c r="A636" s="41"/>
      <c r="D636" s="72"/>
      <c r="F636" s="72"/>
      <c r="H636" s="72"/>
    </row>
    <row r="637" spans="1:8">
      <c r="A637" s="41"/>
      <c r="D637" s="72"/>
      <c r="F637" s="72"/>
      <c r="H637" s="72"/>
    </row>
    <row r="638" spans="1:8">
      <c r="A638" s="41"/>
      <c r="D638" s="72"/>
      <c r="F638" s="72"/>
      <c r="H638" s="72"/>
    </row>
    <row r="639" spans="1:8">
      <c r="A639" s="41"/>
      <c r="D639" s="72"/>
      <c r="F639" s="72"/>
      <c r="H639" s="72"/>
    </row>
    <row r="640" spans="1:8">
      <c r="A640" s="41"/>
      <c r="D640" s="72"/>
      <c r="F640" s="72"/>
      <c r="H640" s="72"/>
    </row>
    <row r="641" spans="1:8">
      <c r="A641" s="41"/>
      <c r="D641" s="72"/>
      <c r="F641" s="72"/>
      <c r="H641" s="72"/>
    </row>
    <row r="642" spans="1:8">
      <c r="A642" s="41"/>
      <c r="D642" s="72"/>
      <c r="F642" s="72"/>
      <c r="H642" s="72"/>
    </row>
    <row r="643" spans="1:8">
      <c r="A643" s="41"/>
      <c r="D643" s="72"/>
      <c r="F643" s="72"/>
      <c r="H643" s="72"/>
    </row>
    <row r="644" spans="1:8">
      <c r="A644" s="41"/>
      <c r="D644" s="72"/>
      <c r="F644" s="72"/>
      <c r="H644" s="72"/>
    </row>
    <row r="645" spans="1:8">
      <c r="A645" s="41"/>
      <c r="D645" s="72"/>
      <c r="F645" s="72"/>
      <c r="H645" s="72"/>
    </row>
    <row r="646" spans="1:8">
      <c r="A646" s="41"/>
      <c r="D646" s="72"/>
      <c r="F646" s="72"/>
      <c r="H646" s="72"/>
    </row>
    <row r="647" spans="1:8">
      <c r="A647" s="41"/>
      <c r="D647" s="72"/>
      <c r="F647" s="72"/>
      <c r="H647" s="72"/>
    </row>
    <row r="648" spans="1:8">
      <c r="A648" s="41"/>
      <c r="D648" s="72"/>
      <c r="F648" s="72"/>
      <c r="H648" s="72"/>
    </row>
    <row r="649" spans="1:8">
      <c r="A649" s="41"/>
      <c r="D649" s="72"/>
      <c r="F649" s="72"/>
      <c r="H649" s="72"/>
    </row>
    <row r="650" spans="1:8">
      <c r="A650" s="52"/>
      <c r="D650" s="72"/>
      <c r="F650" s="72"/>
      <c r="H650" s="72"/>
    </row>
    <row r="651" spans="1:8">
      <c r="D651" s="72"/>
      <c r="F651" s="72"/>
      <c r="H651" s="72"/>
    </row>
    <row r="652" spans="1:8">
      <c r="D652" s="72"/>
      <c r="F652" s="72"/>
      <c r="H652" s="72"/>
    </row>
    <row r="653" spans="1:8">
      <c r="D653" s="72"/>
      <c r="F653" s="72"/>
      <c r="H653" s="72"/>
    </row>
    <row r="654" spans="1:8">
      <c r="A654" s="36"/>
      <c r="D654" s="72"/>
      <c r="F654" s="72"/>
      <c r="H654" s="72"/>
    </row>
    <row r="655" spans="1:8">
      <c r="A655" s="36"/>
      <c r="D655" s="72"/>
      <c r="F655" s="72"/>
      <c r="H655" s="72"/>
    </row>
    <row r="656" spans="1:8">
      <c r="A656" s="41"/>
      <c r="D656" s="72"/>
      <c r="F656" s="72"/>
      <c r="H656" s="72"/>
    </row>
    <row r="657" spans="1:8">
      <c r="A657" s="41"/>
      <c r="D657" s="72"/>
      <c r="F657" s="72"/>
      <c r="H657" s="72"/>
    </row>
    <row r="658" spans="1:8">
      <c r="A658" s="41"/>
      <c r="D658" s="72"/>
      <c r="F658" s="72"/>
      <c r="H658" s="72"/>
    </row>
    <row r="659" spans="1:8">
      <c r="A659" s="41"/>
      <c r="D659" s="72"/>
      <c r="F659" s="72"/>
      <c r="H659" s="72"/>
    </row>
    <row r="660" spans="1:8">
      <c r="A660" s="41"/>
      <c r="D660" s="72"/>
      <c r="F660" s="72"/>
      <c r="H660" s="72"/>
    </row>
    <row r="661" spans="1:8">
      <c r="A661" s="41"/>
      <c r="D661" s="72"/>
      <c r="F661" s="72"/>
      <c r="H661" s="72"/>
    </row>
    <row r="662" spans="1:8">
      <c r="A662" s="41"/>
      <c r="D662" s="72"/>
      <c r="F662" s="72"/>
      <c r="H662" s="72"/>
    </row>
    <row r="663" spans="1:8">
      <c r="A663" s="41"/>
      <c r="D663" s="72"/>
      <c r="F663" s="72"/>
      <c r="H663" s="72"/>
    </row>
    <row r="664" spans="1:8">
      <c r="A664" s="41"/>
      <c r="D664" s="72"/>
      <c r="F664" s="72"/>
      <c r="H664" s="72"/>
    </row>
    <row r="665" spans="1:8">
      <c r="A665" s="41"/>
      <c r="D665" s="72"/>
      <c r="F665" s="72"/>
      <c r="H665" s="72"/>
    </row>
    <row r="666" spans="1:8">
      <c r="A666" s="41"/>
      <c r="D666" s="72"/>
      <c r="F666" s="72"/>
      <c r="H666" s="72"/>
    </row>
    <row r="667" spans="1:8">
      <c r="A667" s="41"/>
      <c r="D667" s="72"/>
      <c r="F667" s="72"/>
      <c r="H667" s="72"/>
    </row>
    <row r="668" spans="1:8">
      <c r="A668" s="41"/>
      <c r="D668" s="72"/>
      <c r="F668" s="72"/>
      <c r="H668" s="72"/>
    </row>
    <row r="669" spans="1:8">
      <c r="A669" s="41"/>
      <c r="D669" s="72"/>
      <c r="F669" s="72"/>
      <c r="H669" s="72"/>
    </row>
    <row r="670" spans="1:8">
      <c r="A670" s="41"/>
      <c r="D670" s="72"/>
      <c r="F670" s="72"/>
      <c r="H670" s="72"/>
    </row>
    <row r="671" spans="1:8">
      <c r="A671" s="41"/>
      <c r="D671" s="72"/>
      <c r="F671" s="72"/>
      <c r="H671" s="72"/>
    </row>
    <row r="672" spans="1:8">
      <c r="A672" s="41"/>
      <c r="D672" s="72"/>
      <c r="F672" s="72"/>
      <c r="H672" s="72"/>
    </row>
    <row r="673" spans="1:8">
      <c r="A673" s="41"/>
      <c r="D673" s="72"/>
      <c r="F673" s="72"/>
      <c r="H673" s="72"/>
    </row>
    <row r="674" spans="1:8">
      <c r="A674" s="41"/>
      <c r="D674" s="72"/>
      <c r="F674" s="72"/>
      <c r="H674" s="72"/>
    </row>
    <row r="675" spans="1:8">
      <c r="A675" s="41"/>
      <c r="D675" s="72"/>
      <c r="F675" s="72"/>
      <c r="H675" s="72"/>
    </row>
    <row r="676" spans="1:8">
      <c r="A676" s="41"/>
      <c r="D676" s="72"/>
      <c r="F676" s="72"/>
      <c r="H676" s="72"/>
    </row>
    <row r="677" spans="1:8">
      <c r="A677" s="41"/>
      <c r="D677" s="72"/>
      <c r="F677" s="72"/>
      <c r="H677" s="72"/>
    </row>
    <row r="678" spans="1:8">
      <c r="A678" s="41"/>
      <c r="D678" s="72"/>
      <c r="F678" s="72"/>
      <c r="H678" s="72"/>
    </row>
    <row r="679" spans="1:8">
      <c r="A679" s="41"/>
      <c r="D679" s="72"/>
      <c r="F679" s="72"/>
      <c r="H679" s="72"/>
    </row>
    <row r="680" spans="1:8">
      <c r="A680" s="41"/>
      <c r="D680" s="72"/>
      <c r="F680" s="72"/>
      <c r="H680" s="72"/>
    </row>
    <row r="681" spans="1:8">
      <c r="A681" s="41"/>
      <c r="D681" s="72"/>
      <c r="F681" s="72"/>
      <c r="H681" s="72"/>
    </row>
    <row r="682" spans="1:8">
      <c r="A682" s="41"/>
      <c r="D682" s="72"/>
      <c r="F682" s="72"/>
      <c r="H682" s="72"/>
    </row>
    <row r="683" spans="1:8">
      <c r="A683" s="41"/>
      <c r="D683" s="72"/>
      <c r="F683" s="72"/>
      <c r="H683" s="72"/>
    </row>
    <row r="684" spans="1:8">
      <c r="A684" s="41"/>
      <c r="D684" s="72"/>
      <c r="F684" s="72"/>
      <c r="H684" s="72"/>
    </row>
    <row r="685" spans="1:8">
      <c r="A685" s="41"/>
      <c r="D685" s="72"/>
      <c r="F685" s="72"/>
      <c r="H685" s="72"/>
    </row>
    <row r="686" spans="1:8">
      <c r="A686" s="41"/>
      <c r="D686" s="72"/>
      <c r="F686" s="72"/>
      <c r="H686" s="72"/>
    </row>
    <row r="687" spans="1:8">
      <c r="A687" s="41"/>
      <c r="D687" s="72"/>
      <c r="F687" s="72"/>
      <c r="H687" s="72"/>
    </row>
    <row r="688" spans="1:8">
      <c r="A688" s="41"/>
      <c r="D688" s="72"/>
      <c r="F688" s="72"/>
      <c r="H688" s="72"/>
    </row>
    <row r="689" spans="1:8">
      <c r="A689" s="41"/>
      <c r="D689" s="72"/>
      <c r="F689" s="72"/>
      <c r="H689" s="72"/>
    </row>
    <row r="690" spans="1:8">
      <c r="A690" s="41"/>
      <c r="D690" s="72"/>
      <c r="F690" s="72"/>
      <c r="H690" s="72"/>
    </row>
    <row r="691" spans="1:8">
      <c r="A691" s="41"/>
      <c r="D691" s="72"/>
      <c r="F691" s="72"/>
      <c r="H691" s="72"/>
    </row>
    <row r="692" spans="1:8">
      <c r="A692" s="41"/>
      <c r="D692" s="72"/>
      <c r="F692" s="72"/>
      <c r="H692" s="72"/>
    </row>
    <row r="693" spans="1:8">
      <c r="A693" s="41"/>
      <c r="D693" s="72"/>
      <c r="F693" s="72"/>
      <c r="H693" s="72"/>
    </row>
    <row r="694" spans="1:8">
      <c r="A694" s="41"/>
      <c r="D694" s="72"/>
      <c r="F694" s="72"/>
      <c r="H694" s="72"/>
    </row>
    <row r="695" spans="1:8">
      <c r="A695" s="41"/>
      <c r="D695" s="72"/>
      <c r="F695" s="72"/>
      <c r="H695" s="72"/>
    </row>
    <row r="696" spans="1:8">
      <c r="A696" s="41"/>
      <c r="D696" s="72"/>
      <c r="F696" s="72"/>
      <c r="H696" s="72"/>
    </row>
    <row r="697" spans="1:8">
      <c r="A697" s="41"/>
      <c r="D697" s="72"/>
      <c r="F697" s="72"/>
      <c r="H697" s="72"/>
    </row>
    <row r="698" spans="1:8">
      <c r="A698" s="41"/>
      <c r="D698" s="72"/>
      <c r="F698" s="72"/>
      <c r="H698" s="72"/>
    </row>
    <row r="699" spans="1:8">
      <c r="A699" s="41"/>
      <c r="D699" s="72"/>
      <c r="F699" s="72"/>
      <c r="H699" s="72"/>
    </row>
    <row r="700" spans="1:8">
      <c r="A700" s="41"/>
      <c r="D700" s="72"/>
      <c r="F700" s="72"/>
      <c r="H700" s="72"/>
    </row>
    <row r="701" spans="1:8">
      <c r="A701" s="41"/>
      <c r="D701" s="72"/>
      <c r="F701" s="72"/>
      <c r="H701" s="72"/>
    </row>
    <row r="702" spans="1:8">
      <c r="A702" s="41"/>
      <c r="D702" s="72"/>
      <c r="F702" s="72"/>
      <c r="H702" s="72"/>
    </row>
    <row r="703" spans="1:8">
      <c r="A703" s="41"/>
      <c r="D703" s="72"/>
      <c r="F703" s="72"/>
      <c r="H703" s="72"/>
    </row>
    <row r="704" spans="1:8">
      <c r="A704" s="41"/>
      <c r="D704" s="72"/>
      <c r="F704" s="72"/>
      <c r="H704" s="72"/>
    </row>
    <row r="705" spans="1:8">
      <c r="A705" s="41"/>
      <c r="D705" s="72"/>
      <c r="F705" s="72"/>
      <c r="H705" s="72"/>
    </row>
    <row r="706" spans="1:8">
      <c r="A706" s="41"/>
      <c r="D706" s="72"/>
      <c r="F706" s="72"/>
      <c r="H706" s="72"/>
    </row>
    <row r="707" spans="1:8">
      <c r="A707" s="41"/>
      <c r="D707" s="72"/>
      <c r="F707" s="72"/>
      <c r="H707" s="72"/>
    </row>
    <row r="708" spans="1:8">
      <c r="A708" s="41"/>
      <c r="D708" s="72"/>
      <c r="F708" s="72"/>
      <c r="H708" s="72"/>
    </row>
    <row r="709" spans="1:8">
      <c r="A709" s="41"/>
      <c r="D709" s="72"/>
      <c r="F709" s="72"/>
      <c r="H709" s="72"/>
    </row>
    <row r="710" spans="1:8">
      <c r="A710" s="41"/>
      <c r="D710" s="72"/>
      <c r="F710" s="72"/>
      <c r="H710" s="72"/>
    </row>
    <row r="711" spans="1:8">
      <c r="A711" s="41"/>
      <c r="D711" s="72"/>
      <c r="F711" s="72"/>
      <c r="H711" s="72"/>
    </row>
    <row r="712" spans="1:8">
      <c r="A712" s="41"/>
      <c r="D712" s="72"/>
      <c r="F712" s="72"/>
      <c r="H712" s="72"/>
    </row>
    <row r="713" spans="1:8">
      <c r="A713" s="41"/>
      <c r="D713" s="72"/>
      <c r="F713" s="72"/>
      <c r="H713" s="72"/>
    </row>
    <row r="714" spans="1:8">
      <c r="A714" s="41"/>
      <c r="D714" s="72"/>
      <c r="F714" s="72"/>
      <c r="H714" s="72"/>
    </row>
    <row r="715" spans="1:8">
      <c r="A715" s="41"/>
      <c r="D715" s="72"/>
      <c r="F715" s="72"/>
      <c r="H715" s="72"/>
    </row>
    <row r="716" spans="1:8">
      <c r="A716" s="41"/>
      <c r="D716" s="72"/>
      <c r="F716" s="72"/>
      <c r="H716" s="72"/>
    </row>
    <row r="717" spans="1:8">
      <c r="A717" s="41"/>
      <c r="D717" s="72"/>
      <c r="F717" s="72"/>
      <c r="H717" s="72"/>
    </row>
    <row r="718" spans="1:8">
      <c r="A718" s="41"/>
      <c r="D718" s="72"/>
      <c r="F718" s="72"/>
      <c r="H718" s="72"/>
    </row>
    <row r="719" spans="1:8">
      <c r="A719" s="41"/>
      <c r="D719" s="72"/>
      <c r="F719" s="72"/>
      <c r="H719" s="72"/>
    </row>
    <row r="720" spans="1:8">
      <c r="A720" s="41"/>
      <c r="D720" s="72"/>
      <c r="F720" s="72"/>
      <c r="H720" s="72"/>
    </row>
    <row r="721" spans="1:8">
      <c r="A721" s="41"/>
      <c r="D721" s="72"/>
      <c r="F721" s="72"/>
      <c r="H721" s="72"/>
    </row>
    <row r="722" spans="1:8">
      <c r="A722" s="41"/>
      <c r="D722" s="72"/>
      <c r="F722" s="72"/>
      <c r="H722" s="72"/>
    </row>
    <row r="723" spans="1:8">
      <c r="A723" s="52"/>
      <c r="D723" s="72"/>
      <c r="F723" s="72"/>
      <c r="H723" s="72"/>
    </row>
    <row r="724" spans="1:8">
      <c r="D724" s="72"/>
      <c r="F724" s="72"/>
      <c r="H724" s="72"/>
    </row>
    <row r="725" spans="1:8">
      <c r="D725" s="72"/>
      <c r="F725" s="72"/>
      <c r="H725" s="72"/>
    </row>
    <row r="726" spans="1:8">
      <c r="D726" s="72"/>
      <c r="F726" s="72"/>
      <c r="H726" s="72"/>
    </row>
    <row r="727" spans="1:8">
      <c r="A727" s="36"/>
      <c r="D727" s="72"/>
      <c r="F727" s="72"/>
      <c r="H727" s="72"/>
    </row>
    <row r="728" spans="1:8">
      <c r="A728" s="36"/>
      <c r="D728" s="72"/>
      <c r="F728" s="72"/>
      <c r="H728" s="72"/>
    </row>
    <row r="729" spans="1:8">
      <c r="A729" s="41"/>
      <c r="D729" s="72"/>
      <c r="F729" s="72"/>
      <c r="H729" s="72"/>
    </row>
    <row r="730" spans="1:8">
      <c r="A730" s="41"/>
      <c r="D730" s="72"/>
      <c r="F730" s="72"/>
      <c r="H730" s="72"/>
    </row>
    <row r="731" spans="1:8">
      <c r="A731" s="41"/>
      <c r="D731" s="72"/>
      <c r="F731" s="72"/>
      <c r="H731" s="72"/>
    </row>
    <row r="732" spans="1:8">
      <c r="A732" s="41"/>
      <c r="D732" s="72"/>
      <c r="F732" s="72"/>
      <c r="H732" s="72"/>
    </row>
    <row r="733" spans="1:8">
      <c r="A733" s="41"/>
      <c r="D733" s="72"/>
      <c r="F733" s="72"/>
      <c r="H733" s="72"/>
    </row>
    <row r="734" spans="1:8">
      <c r="A734" s="41"/>
      <c r="D734" s="72"/>
      <c r="F734" s="72"/>
      <c r="H734" s="72"/>
    </row>
    <row r="735" spans="1:8">
      <c r="A735" s="41"/>
      <c r="D735" s="72"/>
      <c r="F735" s="72"/>
      <c r="H735" s="72"/>
    </row>
    <row r="736" spans="1:8">
      <c r="A736" s="41"/>
      <c r="D736" s="72"/>
      <c r="F736" s="72"/>
      <c r="H736" s="72"/>
    </row>
    <row r="737" spans="1:8">
      <c r="A737" s="41"/>
      <c r="D737" s="72"/>
      <c r="F737" s="72"/>
      <c r="H737" s="72"/>
    </row>
    <row r="738" spans="1:8">
      <c r="A738" s="41"/>
      <c r="D738" s="72"/>
      <c r="F738" s="72"/>
      <c r="H738" s="72"/>
    </row>
    <row r="739" spans="1:8">
      <c r="A739" s="41"/>
      <c r="D739" s="72"/>
      <c r="F739" s="72"/>
      <c r="H739" s="72"/>
    </row>
    <row r="740" spans="1:8">
      <c r="A740" s="41"/>
      <c r="D740" s="72"/>
      <c r="F740" s="72"/>
      <c r="H740" s="72"/>
    </row>
    <row r="741" spans="1:8">
      <c r="A741" s="41"/>
      <c r="D741" s="72"/>
      <c r="F741" s="72"/>
      <c r="H741" s="72"/>
    </row>
    <row r="742" spans="1:8">
      <c r="A742" s="41"/>
      <c r="D742" s="72"/>
      <c r="F742" s="72"/>
      <c r="H742" s="72"/>
    </row>
    <row r="743" spans="1:8">
      <c r="A743" s="41"/>
      <c r="D743" s="72"/>
      <c r="F743" s="72"/>
      <c r="H743" s="72"/>
    </row>
    <row r="744" spans="1:8">
      <c r="A744" s="41"/>
      <c r="D744" s="72"/>
      <c r="F744" s="72"/>
      <c r="H744" s="72"/>
    </row>
    <row r="745" spans="1:8">
      <c r="A745" s="41"/>
      <c r="D745" s="72"/>
      <c r="F745" s="72"/>
      <c r="H745" s="72"/>
    </row>
    <row r="746" spans="1:8">
      <c r="A746" s="41"/>
      <c r="D746" s="72"/>
      <c r="F746" s="72"/>
      <c r="H746" s="72"/>
    </row>
    <row r="747" spans="1:8">
      <c r="A747" s="41"/>
      <c r="D747" s="72"/>
      <c r="F747" s="72"/>
      <c r="H747" s="72"/>
    </row>
    <row r="748" spans="1:8">
      <c r="A748" s="41"/>
      <c r="D748" s="72"/>
      <c r="F748" s="72"/>
      <c r="H748" s="72"/>
    </row>
    <row r="749" spans="1:8">
      <c r="A749" s="41"/>
      <c r="D749" s="72"/>
      <c r="F749" s="72"/>
      <c r="H749" s="72"/>
    </row>
    <row r="750" spans="1:8">
      <c r="A750" s="41"/>
      <c r="D750" s="72"/>
      <c r="F750" s="72"/>
      <c r="H750" s="72"/>
    </row>
    <row r="751" spans="1:8">
      <c r="A751" s="41"/>
      <c r="D751" s="72"/>
      <c r="F751" s="72"/>
      <c r="H751" s="72"/>
    </row>
    <row r="752" spans="1:8">
      <c r="A752" s="41"/>
      <c r="D752" s="72"/>
      <c r="F752" s="72"/>
      <c r="H752" s="72"/>
    </row>
    <row r="753" spans="1:8">
      <c r="A753" s="41"/>
      <c r="D753" s="72"/>
      <c r="F753" s="72"/>
      <c r="H753" s="72"/>
    </row>
    <row r="754" spans="1:8">
      <c r="A754" s="41"/>
      <c r="D754" s="72"/>
      <c r="F754" s="72"/>
      <c r="H754" s="72"/>
    </row>
    <row r="755" spans="1:8">
      <c r="A755" s="41"/>
      <c r="D755" s="72"/>
      <c r="F755" s="72"/>
      <c r="H755" s="72"/>
    </row>
    <row r="756" spans="1:8">
      <c r="A756" s="41"/>
      <c r="D756" s="72"/>
      <c r="F756" s="72"/>
      <c r="H756" s="72"/>
    </row>
    <row r="757" spans="1:8">
      <c r="A757" s="41"/>
      <c r="D757" s="72"/>
      <c r="F757" s="72"/>
      <c r="H757" s="72"/>
    </row>
    <row r="758" spans="1:8">
      <c r="A758" s="41"/>
      <c r="D758" s="72"/>
      <c r="F758" s="72"/>
      <c r="H758" s="72"/>
    </row>
    <row r="759" spans="1:8">
      <c r="A759" s="41"/>
      <c r="D759" s="72"/>
      <c r="F759" s="72"/>
      <c r="H759" s="72"/>
    </row>
    <row r="760" spans="1:8">
      <c r="A760" s="41"/>
      <c r="D760" s="72"/>
      <c r="F760" s="72"/>
      <c r="H760" s="72"/>
    </row>
    <row r="761" spans="1:8">
      <c r="A761" s="41"/>
      <c r="D761" s="72"/>
      <c r="F761" s="72"/>
      <c r="H761" s="72"/>
    </row>
    <row r="762" spans="1:8">
      <c r="A762" s="41"/>
      <c r="D762" s="72"/>
      <c r="F762" s="72"/>
      <c r="H762" s="72"/>
    </row>
    <row r="763" spans="1:8">
      <c r="A763" s="41"/>
      <c r="D763" s="72"/>
      <c r="F763" s="72"/>
      <c r="H763" s="72"/>
    </row>
    <row r="764" spans="1:8">
      <c r="A764" s="41"/>
      <c r="D764" s="72"/>
      <c r="F764" s="72"/>
      <c r="H764" s="72"/>
    </row>
    <row r="765" spans="1:8">
      <c r="A765" s="41"/>
      <c r="D765" s="72"/>
      <c r="F765" s="72"/>
      <c r="H765" s="72"/>
    </row>
    <row r="766" spans="1:8">
      <c r="A766" s="41"/>
      <c r="D766" s="72"/>
      <c r="F766" s="72"/>
      <c r="H766" s="72"/>
    </row>
    <row r="767" spans="1:8">
      <c r="A767" s="41"/>
      <c r="D767" s="72"/>
      <c r="F767" s="72"/>
      <c r="H767" s="72"/>
    </row>
    <row r="768" spans="1:8">
      <c r="A768" s="41"/>
      <c r="D768" s="72"/>
      <c r="F768" s="72"/>
      <c r="H768" s="72"/>
    </row>
    <row r="769" spans="1:8">
      <c r="A769" s="41"/>
      <c r="D769" s="72"/>
      <c r="F769" s="72"/>
      <c r="H769" s="72"/>
    </row>
    <row r="770" spans="1:8">
      <c r="A770" s="41"/>
      <c r="D770" s="72"/>
      <c r="F770" s="72"/>
      <c r="H770" s="72"/>
    </row>
    <row r="771" spans="1:8">
      <c r="A771" s="41"/>
      <c r="D771" s="72"/>
      <c r="F771" s="72"/>
      <c r="H771" s="72"/>
    </row>
    <row r="772" spans="1:8">
      <c r="A772" s="41"/>
      <c r="D772" s="72"/>
      <c r="F772" s="72"/>
      <c r="H772" s="72"/>
    </row>
    <row r="773" spans="1:8">
      <c r="A773" s="41"/>
      <c r="D773" s="72"/>
      <c r="F773" s="72"/>
      <c r="H773" s="72"/>
    </row>
    <row r="774" spans="1:8">
      <c r="A774" s="41"/>
      <c r="D774" s="72"/>
      <c r="F774" s="72"/>
      <c r="H774" s="72"/>
    </row>
    <row r="775" spans="1:8">
      <c r="A775" s="41"/>
      <c r="D775" s="72"/>
      <c r="F775" s="72"/>
      <c r="H775" s="72"/>
    </row>
    <row r="776" spans="1:8">
      <c r="A776" s="41"/>
      <c r="D776" s="72"/>
      <c r="F776" s="72"/>
      <c r="H776" s="72"/>
    </row>
    <row r="777" spans="1:8">
      <c r="A777" s="41"/>
      <c r="D777" s="72"/>
      <c r="F777" s="72"/>
      <c r="H777" s="72"/>
    </row>
    <row r="778" spans="1:8">
      <c r="A778" s="41"/>
      <c r="D778" s="72"/>
      <c r="F778" s="72"/>
      <c r="H778" s="72"/>
    </row>
    <row r="779" spans="1:8">
      <c r="A779" s="41"/>
      <c r="D779" s="72"/>
      <c r="F779" s="72"/>
      <c r="H779" s="72"/>
    </row>
    <row r="780" spans="1:8">
      <c r="A780" s="41"/>
      <c r="D780" s="72"/>
      <c r="F780" s="72"/>
      <c r="H780" s="72"/>
    </row>
    <row r="781" spans="1:8">
      <c r="A781" s="41"/>
      <c r="D781" s="72"/>
      <c r="F781" s="72"/>
      <c r="H781" s="72"/>
    </row>
    <row r="782" spans="1:8">
      <c r="A782" s="41"/>
      <c r="D782" s="72"/>
      <c r="F782" s="72"/>
      <c r="H782" s="72"/>
    </row>
    <row r="783" spans="1:8">
      <c r="A783" s="41"/>
      <c r="D783" s="72"/>
      <c r="F783" s="72"/>
      <c r="H783" s="72"/>
    </row>
    <row r="784" spans="1:8">
      <c r="A784" s="41"/>
      <c r="D784" s="72"/>
      <c r="F784" s="72"/>
      <c r="H784" s="72"/>
    </row>
    <row r="785" spans="1:8">
      <c r="A785" s="41"/>
      <c r="D785" s="72"/>
      <c r="F785" s="72"/>
      <c r="H785" s="72"/>
    </row>
    <row r="786" spans="1:8">
      <c r="A786" s="41"/>
      <c r="D786" s="72"/>
      <c r="F786" s="72"/>
      <c r="H786" s="72"/>
    </row>
    <row r="787" spans="1:8">
      <c r="A787" s="41"/>
      <c r="D787" s="72"/>
      <c r="F787" s="72"/>
      <c r="H787" s="72"/>
    </row>
    <row r="788" spans="1:8">
      <c r="A788" s="41"/>
      <c r="D788" s="72"/>
      <c r="F788" s="72"/>
      <c r="H788" s="72"/>
    </row>
    <row r="789" spans="1:8">
      <c r="A789" s="41"/>
      <c r="D789" s="72"/>
      <c r="F789" s="72"/>
      <c r="H789" s="72"/>
    </row>
    <row r="790" spans="1:8">
      <c r="A790" s="41"/>
      <c r="D790" s="72"/>
      <c r="F790" s="72"/>
      <c r="H790" s="72"/>
    </row>
    <row r="791" spans="1:8">
      <c r="A791" s="41"/>
      <c r="D791" s="72"/>
      <c r="F791" s="72"/>
      <c r="H791" s="72"/>
    </row>
    <row r="792" spans="1:8">
      <c r="A792" s="41"/>
      <c r="D792" s="72"/>
      <c r="F792" s="72"/>
      <c r="H792" s="72"/>
    </row>
    <row r="793" spans="1:8">
      <c r="A793" s="41"/>
      <c r="D793" s="72"/>
      <c r="F793" s="72"/>
      <c r="H793" s="72"/>
    </row>
    <row r="794" spans="1:8">
      <c r="A794" s="41"/>
      <c r="D794" s="72"/>
      <c r="F794" s="72"/>
      <c r="H794" s="72"/>
    </row>
    <row r="795" spans="1:8">
      <c r="A795" s="41"/>
      <c r="D795" s="72"/>
      <c r="F795" s="72"/>
      <c r="H795" s="72"/>
    </row>
    <row r="796" spans="1:8">
      <c r="A796" s="52"/>
      <c r="D796" s="72"/>
      <c r="F796" s="72"/>
      <c r="H796" s="72"/>
    </row>
    <row r="797" spans="1:8">
      <c r="D797" s="72"/>
      <c r="F797" s="72"/>
      <c r="H797" s="72"/>
    </row>
    <row r="798" spans="1:8">
      <c r="D798" s="72"/>
      <c r="F798" s="72"/>
      <c r="H798" s="72"/>
    </row>
    <row r="799" spans="1:8">
      <c r="D799" s="72"/>
      <c r="F799" s="72"/>
      <c r="H799" s="72"/>
    </row>
    <row r="800" spans="1:8">
      <c r="A800" s="36"/>
      <c r="D800" s="72"/>
      <c r="F800" s="72"/>
      <c r="H800" s="72"/>
    </row>
    <row r="801" spans="1:8">
      <c r="A801" s="36"/>
      <c r="D801" s="72"/>
      <c r="F801" s="72"/>
      <c r="H801" s="72"/>
    </row>
    <row r="802" spans="1:8">
      <c r="A802" s="41"/>
      <c r="D802" s="72"/>
      <c r="F802" s="72"/>
      <c r="H802" s="72"/>
    </row>
    <row r="803" spans="1:8">
      <c r="A803" s="41"/>
      <c r="D803" s="72"/>
      <c r="F803" s="72"/>
      <c r="H803" s="72"/>
    </row>
    <row r="804" spans="1:8">
      <c r="A804" s="41"/>
      <c r="D804" s="72"/>
      <c r="F804" s="72"/>
      <c r="H804" s="72"/>
    </row>
    <row r="805" spans="1:8">
      <c r="A805" s="41"/>
      <c r="D805" s="72"/>
      <c r="F805" s="72"/>
      <c r="H805" s="72"/>
    </row>
    <row r="806" spans="1:8">
      <c r="A806" s="41"/>
      <c r="D806" s="72"/>
      <c r="F806" s="72"/>
      <c r="H806" s="72"/>
    </row>
    <row r="807" spans="1:8">
      <c r="A807" s="41"/>
      <c r="D807" s="72"/>
      <c r="F807" s="72"/>
      <c r="H807" s="72"/>
    </row>
    <row r="808" spans="1:8">
      <c r="A808" s="41"/>
      <c r="D808" s="72"/>
      <c r="F808" s="72"/>
      <c r="H808" s="72"/>
    </row>
    <row r="809" spans="1:8">
      <c r="A809" s="41"/>
      <c r="D809" s="72"/>
      <c r="F809" s="72"/>
      <c r="H809" s="72"/>
    </row>
    <row r="810" spans="1:8">
      <c r="A810" s="41"/>
      <c r="D810" s="72"/>
      <c r="F810" s="72"/>
      <c r="H810" s="72"/>
    </row>
    <row r="811" spans="1:8">
      <c r="A811" s="41"/>
      <c r="D811" s="72"/>
      <c r="F811" s="72"/>
      <c r="H811" s="72"/>
    </row>
    <row r="812" spans="1:8">
      <c r="A812" s="41"/>
      <c r="D812" s="72"/>
      <c r="F812" s="72"/>
      <c r="H812" s="72"/>
    </row>
    <row r="813" spans="1:8">
      <c r="A813" s="41"/>
      <c r="D813" s="72"/>
      <c r="F813" s="72"/>
      <c r="H813" s="72"/>
    </row>
    <row r="814" spans="1:8">
      <c r="A814" s="41"/>
      <c r="D814" s="72"/>
      <c r="F814" s="72"/>
      <c r="H814" s="72"/>
    </row>
    <row r="815" spans="1:8">
      <c r="A815" s="41"/>
      <c r="D815" s="72"/>
      <c r="F815" s="72"/>
      <c r="H815" s="72"/>
    </row>
    <row r="816" spans="1:8">
      <c r="A816" s="41"/>
      <c r="D816" s="72"/>
      <c r="F816" s="72"/>
      <c r="H816" s="72"/>
    </row>
    <row r="817" spans="1:8">
      <c r="A817" s="41"/>
      <c r="D817" s="72"/>
      <c r="F817" s="72"/>
      <c r="H817" s="72"/>
    </row>
    <row r="818" spans="1:8">
      <c r="A818" s="41"/>
      <c r="D818" s="72"/>
      <c r="F818" s="72"/>
      <c r="H818" s="72"/>
    </row>
    <row r="819" spans="1:8">
      <c r="A819" s="41"/>
      <c r="D819" s="72"/>
      <c r="F819" s="72"/>
      <c r="H819" s="72"/>
    </row>
    <row r="820" spans="1:8">
      <c r="A820" s="41"/>
      <c r="D820" s="72"/>
      <c r="F820" s="72"/>
      <c r="H820" s="72"/>
    </row>
    <row r="821" spans="1:8">
      <c r="A821" s="41"/>
      <c r="D821" s="72"/>
      <c r="F821" s="72"/>
      <c r="H821" s="72"/>
    </row>
    <row r="822" spans="1:8">
      <c r="A822" s="41"/>
      <c r="D822" s="72"/>
      <c r="F822" s="72"/>
      <c r="H822" s="72"/>
    </row>
    <row r="823" spans="1:8">
      <c r="A823" s="41"/>
      <c r="D823" s="72"/>
      <c r="F823" s="72"/>
      <c r="H823" s="72"/>
    </row>
    <row r="824" spans="1:8">
      <c r="A824" s="41"/>
      <c r="D824" s="72"/>
      <c r="F824" s="72"/>
      <c r="H824" s="72"/>
    </row>
    <row r="825" spans="1:8">
      <c r="A825" s="41"/>
      <c r="D825" s="72"/>
      <c r="F825" s="72"/>
      <c r="H825" s="72"/>
    </row>
    <row r="826" spans="1:8">
      <c r="A826" s="41"/>
      <c r="D826" s="72"/>
      <c r="F826" s="72"/>
      <c r="H826" s="72"/>
    </row>
    <row r="827" spans="1:8">
      <c r="A827" s="41"/>
      <c r="D827" s="72"/>
      <c r="F827" s="72"/>
      <c r="H827" s="72"/>
    </row>
    <row r="828" spans="1:8">
      <c r="A828" s="41"/>
      <c r="D828" s="72"/>
      <c r="F828" s="72"/>
      <c r="H828" s="72"/>
    </row>
    <row r="829" spans="1:8">
      <c r="A829" s="41"/>
      <c r="D829" s="72"/>
      <c r="F829" s="72"/>
      <c r="H829" s="72"/>
    </row>
    <row r="830" spans="1:8">
      <c r="A830" s="41"/>
      <c r="D830" s="72"/>
      <c r="F830" s="72"/>
      <c r="H830" s="72"/>
    </row>
    <row r="831" spans="1:8">
      <c r="A831" s="41"/>
      <c r="D831" s="72"/>
      <c r="F831" s="72"/>
      <c r="H831" s="72"/>
    </row>
    <row r="832" spans="1:8">
      <c r="A832" s="41"/>
      <c r="D832" s="72"/>
      <c r="F832" s="72"/>
      <c r="H832" s="72"/>
    </row>
    <row r="833" spans="1:8">
      <c r="A833" s="41"/>
      <c r="D833" s="72"/>
      <c r="F833" s="72"/>
      <c r="H833" s="72"/>
    </row>
    <row r="834" spans="1:8">
      <c r="A834" s="41"/>
      <c r="D834" s="72"/>
      <c r="F834" s="72"/>
      <c r="H834" s="72"/>
    </row>
    <row r="835" spans="1:8">
      <c r="A835" s="41"/>
      <c r="D835" s="72"/>
      <c r="F835" s="72"/>
      <c r="H835" s="72"/>
    </row>
    <row r="836" spans="1:8">
      <c r="A836" s="41"/>
      <c r="D836" s="72"/>
      <c r="F836" s="72"/>
      <c r="H836" s="72"/>
    </row>
    <row r="837" spans="1:8">
      <c r="A837" s="41"/>
      <c r="D837" s="72"/>
      <c r="F837" s="72"/>
      <c r="H837" s="72"/>
    </row>
    <row r="838" spans="1:8">
      <c r="A838" s="41"/>
      <c r="D838" s="72"/>
      <c r="F838" s="72"/>
      <c r="H838" s="72"/>
    </row>
    <row r="839" spans="1:8">
      <c r="A839" s="41"/>
      <c r="D839" s="72"/>
      <c r="F839" s="72"/>
      <c r="H839" s="72"/>
    </row>
    <row r="840" spans="1:8">
      <c r="A840" s="41"/>
      <c r="D840" s="72"/>
      <c r="F840" s="72"/>
      <c r="H840" s="72"/>
    </row>
    <row r="841" spans="1:8">
      <c r="A841" s="41"/>
      <c r="D841" s="72"/>
      <c r="F841" s="72"/>
      <c r="H841" s="72"/>
    </row>
    <row r="842" spans="1:8">
      <c r="A842" s="41"/>
      <c r="D842" s="72"/>
      <c r="F842" s="72"/>
      <c r="H842" s="72"/>
    </row>
    <row r="843" spans="1:8">
      <c r="A843" s="41"/>
      <c r="D843" s="72"/>
      <c r="F843" s="72"/>
      <c r="H843" s="72"/>
    </row>
    <row r="844" spans="1:8">
      <c r="A844" s="41"/>
      <c r="D844" s="72"/>
      <c r="F844" s="72"/>
      <c r="H844" s="72"/>
    </row>
    <row r="845" spans="1:8">
      <c r="A845" s="41"/>
      <c r="D845" s="72"/>
      <c r="F845" s="72"/>
      <c r="H845" s="72"/>
    </row>
    <row r="846" spans="1:8">
      <c r="A846" s="41"/>
      <c r="D846" s="72"/>
      <c r="F846" s="72"/>
      <c r="H846" s="72"/>
    </row>
    <row r="847" spans="1:8">
      <c r="A847" s="41"/>
      <c r="D847" s="72"/>
      <c r="F847" s="72"/>
      <c r="H847" s="72"/>
    </row>
    <row r="848" spans="1:8">
      <c r="A848" s="41"/>
      <c r="D848" s="72"/>
      <c r="F848" s="72"/>
      <c r="H848" s="72"/>
    </row>
    <row r="849" spans="1:8">
      <c r="A849" s="41"/>
      <c r="D849" s="72"/>
      <c r="F849" s="72"/>
      <c r="H849" s="72"/>
    </row>
    <row r="850" spans="1:8">
      <c r="A850" s="41"/>
      <c r="D850" s="72"/>
      <c r="F850" s="72"/>
      <c r="H850" s="72"/>
    </row>
    <row r="851" spans="1:8">
      <c r="A851" s="41"/>
      <c r="D851" s="72"/>
      <c r="F851" s="72"/>
      <c r="H851" s="72"/>
    </row>
    <row r="852" spans="1:8">
      <c r="A852" s="41"/>
      <c r="D852" s="72"/>
      <c r="F852" s="72"/>
      <c r="H852" s="72"/>
    </row>
    <row r="853" spans="1:8">
      <c r="A853" s="41"/>
      <c r="D853" s="72"/>
      <c r="F853" s="72"/>
      <c r="H853" s="72"/>
    </row>
    <row r="854" spans="1:8">
      <c r="A854" s="41"/>
      <c r="D854" s="72"/>
      <c r="F854" s="72"/>
      <c r="H854" s="72"/>
    </row>
    <row r="855" spans="1:8">
      <c r="A855" s="41"/>
      <c r="D855" s="72"/>
      <c r="F855" s="72"/>
      <c r="H855" s="72"/>
    </row>
    <row r="856" spans="1:8">
      <c r="A856" s="41"/>
      <c r="D856" s="72"/>
      <c r="F856" s="72"/>
      <c r="H856" s="72"/>
    </row>
    <row r="857" spans="1:8">
      <c r="A857" s="41"/>
      <c r="D857" s="72"/>
      <c r="F857" s="72"/>
      <c r="H857" s="72"/>
    </row>
    <row r="858" spans="1:8">
      <c r="A858" s="41"/>
      <c r="D858" s="72"/>
      <c r="F858" s="72"/>
      <c r="H858" s="72"/>
    </row>
    <row r="859" spans="1:8">
      <c r="A859" s="41"/>
      <c r="D859" s="72"/>
      <c r="F859" s="72"/>
      <c r="H859" s="72"/>
    </row>
    <row r="860" spans="1:8">
      <c r="A860" s="41"/>
      <c r="D860" s="72"/>
      <c r="F860" s="72"/>
      <c r="H860" s="72"/>
    </row>
    <row r="861" spans="1:8">
      <c r="A861" s="41"/>
      <c r="D861" s="72"/>
      <c r="F861" s="72"/>
      <c r="H861" s="72"/>
    </row>
    <row r="862" spans="1:8">
      <c r="A862" s="41"/>
      <c r="D862" s="72"/>
      <c r="F862" s="72"/>
      <c r="H862" s="72"/>
    </row>
    <row r="863" spans="1:8">
      <c r="A863" s="41"/>
      <c r="D863" s="72"/>
      <c r="F863" s="72"/>
      <c r="H863" s="72"/>
    </row>
    <row r="864" spans="1:8">
      <c r="A864" s="41"/>
      <c r="D864" s="72"/>
      <c r="F864" s="72"/>
      <c r="H864" s="72"/>
    </row>
    <row r="865" spans="1:8">
      <c r="A865" s="41"/>
      <c r="D865" s="72"/>
      <c r="F865" s="72"/>
      <c r="H865" s="72"/>
    </row>
    <row r="866" spans="1:8">
      <c r="A866" s="41"/>
      <c r="D866" s="72"/>
      <c r="F866" s="72"/>
      <c r="H866" s="72"/>
    </row>
    <row r="867" spans="1:8">
      <c r="A867" s="41"/>
      <c r="D867" s="72"/>
      <c r="F867" s="72"/>
      <c r="H867" s="72"/>
    </row>
    <row r="868" spans="1:8">
      <c r="A868" s="41"/>
      <c r="D868" s="72"/>
      <c r="F868" s="72"/>
      <c r="H868" s="72"/>
    </row>
    <row r="869" spans="1:8">
      <c r="A869" s="52"/>
      <c r="D869" s="72"/>
      <c r="F869" s="72"/>
      <c r="H869" s="72"/>
    </row>
    <row r="870" spans="1:8">
      <c r="D870" s="72"/>
      <c r="F870" s="72"/>
      <c r="H870" s="72"/>
    </row>
    <row r="871" spans="1:8">
      <c r="D871" s="72"/>
      <c r="F871" s="72"/>
      <c r="H871" s="72"/>
    </row>
    <row r="872" spans="1:8">
      <c r="D872" s="72"/>
      <c r="F872" s="72"/>
      <c r="H872" s="72"/>
    </row>
    <row r="873" spans="1:8">
      <c r="A873" s="36"/>
      <c r="D873" s="72"/>
      <c r="F873" s="72"/>
      <c r="H873" s="72"/>
    </row>
    <row r="874" spans="1:8">
      <c r="A874" s="36"/>
      <c r="D874" s="72"/>
      <c r="F874" s="72"/>
      <c r="H874" s="72"/>
    </row>
    <row r="875" spans="1:8">
      <c r="A875" s="41"/>
      <c r="D875" s="72"/>
      <c r="F875" s="72"/>
      <c r="H875" s="72"/>
    </row>
    <row r="876" spans="1:8">
      <c r="A876" s="41"/>
      <c r="D876" s="72"/>
      <c r="F876" s="72"/>
      <c r="H876" s="72"/>
    </row>
    <row r="877" spans="1:8">
      <c r="A877" s="41"/>
      <c r="D877" s="72"/>
      <c r="F877" s="72"/>
      <c r="H877" s="72"/>
    </row>
    <row r="878" spans="1:8">
      <c r="A878" s="41"/>
      <c r="D878" s="72"/>
      <c r="F878" s="72"/>
      <c r="H878" s="72"/>
    </row>
    <row r="879" spans="1:8">
      <c r="A879" s="41"/>
      <c r="D879" s="72"/>
      <c r="F879" s="72"/>
      <c r="H879" s="72"/>
    </row>
    <row r="880" spans="1:8">
      <c r="A880" s="41"/>
      <c r="D880" s="72"/>
      <c r="F880" s="72"/>
      <c r="H880" s="72"/>
    </row>
    <row r="881" spans="1:8">
      <c r="A881" s="41"/>
      <c r="D881" s="72"/>
      <c r="F881" s="72"/>
      <c r="H881" s="72"/>
    </row>
    <row r="882" spans="1:8">
      <c r="A882" s="41"/>
      <c r="D882" s="72"/>
      <c r="F882" s="72"/>
      <c r="H882" s="72"/>
    </row>
    <row r="883" spans="1:8">
      <c r="A883" s="41"/>
      <c r="D883" s="72"/>
      <c r="F883" s="72"/>
      <c r="H883" s="72"/>
    </row>
    <row r="884" spans="1:8">
      <c r="A884" s="41"/>
      <c r="D884" s="72"/>
      <c r="F884" s="72"/>
      <c r="H884" s="72"/>
    </row>
    <row r="885" spans="1:8">
      <c r="A885" s="41"/>
      <c r="D885" s="72"/>
      <c r="F885" s="72"/>
      <c r="H885" s="72"/>
    </row>
    <row r="886" spans="1:8">
      <c r="A886" s="41"/>
      <c r="D886" s="72"/>
      <c r="F886" s="72"/>
      <c r="H886" s="72"/>
    </row>
    <row r="887" spans="1:8">
      <c r="A887" s="41"/>
      <c r="D887" s="72"/>
      <c r="F887" s="72"/>
      <c r="H887" s="72"/>
    </row>
    <row r="888" spans="1:8">
      <c r="A888" s="41"/>
      <c r="D888" s="72"/>
      <c r="F888" s="72"/>
      <c r="H888" s="72"/>
    </row>
    <row r="889" spans="1:8">
      <c r="A889" s="41"/>
      <c r="D889" s="72"/>
      <c r="F889" s="72"/>
      <c r="H889" s="72"/>
    </row>
    <row r="890" spans="1:8">
      <c r="A890" s="41"/>
      <c r="D890" s="72"/>
      <c r="F890" s="72"/>
      <c r="H890" s="72"/>
    </row>
    <row r="891" spans="1:8">
      <c r="A891" s="41"/>
      <c r="D891" s="72"/>
      <c r="F891" s="72"/>
      <c r="H891" s="72"/>
    </row>
    <row r="892" spans="1:8">
      <c r="A892" s="41"/>
      <c r="D892" s="72"/>
      <c r="F892" s="72"/>
      <c r="H892" s="72"/>
    </row>
    <row r="893" spans="1:8">
      <c r="A893" s="41"/>
      <c r="D893" s="72"/>
      <c r="F893" s="72"/>
      <c r="H893" s="72"/>
    </row>
    <row r="894" spans="1:8">
      <c r="A894" s="41"/>
      <c r="D894" s="72"/>
      <c r="F894" s="72"/>
      <c r="H894" s="72"/>
    </row>
    <row r="895" spans="1:8">
      <c r="A895" s="41"/>
      <c r="D895" s="72"/>
      <c r="F895" s="72"/>
      <c r="H895" s="72"/>
    </row>
    <row r="896" spans="1:8">
      <c r="A896" s="41"/>
      <c r="D896" s="72"/>
      <c r="F896" s="72"/>
      <c r="H896" s="72"/>
    </row>
    <row r="897" spans="1:8">
      <c r="A897" s="41"/>
      <c r="D897" s="72"/>
      <c r="F897" s="72"/>
      <c r="H897" s="72"/>
    </row>
    <row r="898" spans="1:8">
      <c r="A898" s="41"/>
      <c r="D898" s="72"/>
      <c r="F898" s="72"/>
      <c r="H898" s="72"/>
    </row>
    <row r="899" spans="1:8">
      <c r="A899" s="41"/>
      <c r="D899" s="72"/>
      <c r="F899" s="72"/>
      <c r="H899" s="72"/>
    </row>
    <row r="900" spans="1:8">
      <c r="A900" s="41"/>
      <c r="D900" s="72"/>
      <c r="F900" s="72"/>
      <c r="H900" s="72"/>
    </row>
    <row r="901" spans="1:8">
      <c r="A901" s="41"/>
      <c r="D901" s="72"/>
      <c r="F901" s="72"/>
      <c r="H901" s="72"/>
    </row>
    <row r="902" spans="1:8">
      <c r="A902" s="41"/>
      <c r="D902" s="72"/>
      <c r="F902" s="72"/>
      <c r="H902" s="72"/>
    </row>
    <row r="903" spans="1:8">
      <c r="A903" s="41"/>
      <c r="D903" s="72"/>
      <c r="F903" s="72"/>
      <c r="H903" s="72"/>
    </row>
    <row r="904" spans="1:8">
      <c r="A904" s="41"/>
      <c r="D904" s="72"/>
      <c r="F904" s="72"/>
      <c r="H904" s="72"/>
    </row>
    <row r="905" spans="1:8">
      <c r="A905" s="41"/>
      <c r="D905" s="72"/>
      <c r="F905" s="72"/>
      <c r="H905" s="72"/>
    </row>
    <row r="906" spans="1:8">
      <c r="A906" s="41"/>
      <c r="D906" s="72"/>
      <c r="F906" s="72"/>
      <c r="H906" s="72"/>
    </row>
    <row r="907" spans="1:8">
      <c r="A907" s="41"/>
      <c r="D907" s="72"/>
      <c r="F907" s="72"/>
      <c r="H907" s="72"/>
    </row>
    <row r="908" spans="1:8">
      <c r="A908" s="41"/>
      <c r="D908" s="72"/>
      <c r="F908" s="72"/>
      <c r="H908" s="72"/>
    </row>
    <row r="909" spans="1:8">
      <c r="A909" s="41"/>
      <c r="D909" s="72"/>
      <c r="F909" s="72"/>
      <c r="H909" s="72"/>
    </row>
    <row r="910" spans="1:8">
      <c r="A910" s="41"/>
      <c r="D910" s="72"/>
      <c r="F910" s="72"/>
      <c r="H910" s="72"/>
    </row>
    <row r="911" spans="1:8">
      <c r="A911" s="41"/>
      <c r="D911" s="72"/>
      <c r="F911" s="72"/>
      <c r="H911" s="72"/>
    </row>
    <row r="912" spans="1:8">
      <c r="A912" s="41"/>
      <c r="D912" s="72"/>
      <c r="F912" s="72"/>
      <c r="H912" s="72"/>
    </row>
    <row r="913" spans="1:8">
      <c r="A913" s="41"/>
      <c r="D913" s="72"/>
      <c r="F913" s="72"/>
      <c r="H913" s="72"/>
    </row>
    <row r="914" spans="1:8">
      <c r="A914" s="41"/>
      <c r="D914" s="72"/>
      <c r="F914" s="72"/>
      <c r="H914" s="72"/>
    </row>
    <row r="915" spans="1:8">
      <c r="A915" s="41"/>
      <c r="D915" s="72"/>
      <c r="F915" s="72"/>
      <c r="H915" s="72"/>
    </row>
    <row r="916" spans="1:8">
      <c r="A916" s="41"/>
      <c r="D916" s="72"/>
      <c r="F916" s="72"/>
      <c r="H916" s="72"/>
    </row>
    <row r="917" spans="1:8">
      <c r="A917" s="41"/>
      <c r="D917" s="72"/>
      <c r="F917" s="72"/>
      <c r="H917" s="72"/>
    </row>
    <row r="918" spans="1:8">
      <c r="A918" s="41"/>
      <c r="D918" s="72"/>
      <c r="F918" s="72"/>
      <c r="H918" s="72"/>
    </row>
    <row r="919" spans="1:8">
      <c r="A919" s="41"/>
      <c r="D919" s="72"/>
      <c r="F919" s="72"/>
      <c r="H919" s="72"/>
    </row>
    <row r="920" spans="1:8">
      <c r="A920" s="41"/>
      <c r="D920" s="72"/>
      <c r="F920" s="72"/>
      <c r="H920" s="72"/>
    </row>
    <row r="921" spans="1:8">
      <c r="A921" s="41"/>
      <c r="D921" s="72"/>
      <c r="F921" s="72"/>
      <c r="H921" s="72"/>
    </row>
    <row r="922" spans="1:8">
      <c r="A922" s="41"/>
      <c r="D922" s="72"/>
      <c r="F922" s="72"/>
      <c r="H922" s="72"/>
    </row>
    <row r="923" spans="1:8">
      <c r="A923" s="41"/>
      <c r="D923" s="72"/>
      <c r="F923" s="72"/>
      <c r="H923" s="72"/>
    </row>
    <row r="924" spans="1:8">
      <c r="A924" s="41"/>
      <c r="D924" s="72"/>
      <c r="F924" s="72"/>
      <c r="H924" s="72"/>
    </row>
    <row r="925" spans="1:8">
      <c r="A925" s="41"/>
      <c r="D925" s="72"/>
      <c r="F925" s="72"/>
      <c r="H925" s="72"/>
    </row>
    <row r="926" spans="1:8">
      <c r="A926" s="41"/>
      <c r="D926" s="72"/>
      <c r="F926" s="72"/>
      <c r="H926" s="72"/>
    </row>
    <row r="927" spans="1:8">
      <c r="A927" s="41"/>
      <c r="D927" s="72"/>
      <c r="F927" s="72"/>
      <c r="H927" s="72"/>
    </row>
    <row r="928" spans="1:8">
      <c r="A928" s="41"/>
      <c r="D928" s="72"/>
      <c r="F928" s="72"/>
      <c r="H928" s="72"/>
    </row>
    <row r="929" spans="1:8">
      <c r="A929" s="41"/>
      <c r="D929" s="72"/>
      <c r="F929" s="72"/>
      <c r="H929" s="72"/>
    </row>
    <row r="930" spans="1:8">
      <c r="A930" s="41"/>
      <c r="D930" s="72"/>
      <c r="F930" s="72"/>
      <c r="H930" s="72"/>
    </row>
    <row r="931" spans="1:8">
      <c r="A931" s="41"/>
      <c r="D931" s="72"/>
      <c r="F931" s="72"/>
      <c r="H931" s="72"/>
    </row>
    <row r="932" spans="1:8">
      <c r="A932" s="41"/>
      <c r="D932" s="72"/>
      <c r="F932" s="72"/>
      <c r="H932" s="72"/>
    </row>
    <row r="933" spans="1:8">
      <c r="A933" s="41"/>
      <c r="D933" s="72"/>
      <c r="F933" s="72"/>
      <c r="H933" s="72"/>
    </row>
    <row r="934" spans="1:8">
      <c r="A934" s="41"/>
      <c r="D934" s="72"/>
      <c r="F934" s="72"/>
      <c r="H934" s="72"/>
    </row>
    <row r="935" spans="1:8">
      <c r="A935" s="41"/>
      <c r="D935" s="72"/>
      <c r="F935" s="72"/>
      <c r="H935" s="72"/>
    </row>
    <row r="936" spans="1:8">
      <c r="A936" s="41"/>
      <c r="D936" s="72"/>
      <c r="F936" s="72"/>
      <c r="H936" s="72"/>
    </row>
    <row r="937" spans="1:8">
      <c r="A937" s="41"/>
      <c r="D937" s="72"/>
      <c r="F937" s="72"/>
      <c r="H937" s="72"/>
    </row>
    <row r="938" spans="1:8">
      <c r="A938" s="41"/>
      <c r="D938" s="72"/>
      <c r="F938" s="72"/>
      <c r="H938" s="72"/>
    </row>
    <row r="939" spans="1:8">
      <c r="A939" s="41"/>
      <c r="D939" s="72"/>
      <c r="F939" s="72"/>
      <c r="H939" s="72"/>
    </row>
    <row r="940" spans="1:8">
      <c r="A940" s="41"/>
      <c r="D940" s="72"/>
      <c r="F940" s="72"/>
      <c r="H940" s="72"/>
    </row>
    <row r="941" spans="1:8">
      <c r="A941" s="41"/>
      <c r="D941" s="72"/>
      <c r="F941" s="72"/>
      <c r="H941" s="72"/>
    </row>
    <row r="942" spans="1:8">
      <c r="A942" s="52"/>
      <c r="D942" s="72"/>
      <c r="F942" s="72"/>
      <c r="H942" s="72"/>
    </row>
    <row r="943" spans="1:8">
      <c r="D943" s="72"/>
      <c r="F943" s="72"/>
      <c r="H943" s="72"/>
    </row>
    <row r="944" spans="1:8">
      <c r="D944" s="72"/>
      <c r="F944" s="72"/>
      <c r="H944" s="72"/>
    </row>
    <row r="945" spans="4:8">
      <c r="D945" s="72"/>
      <c r="F945" s="72"/>
      <c r="H945" s="72"/>
    </row>
    <row r="946" spans="4:8">
      <c r="D946" s="72"/>
      <c r="F946" s="72"/>
      <c r="H946" s="72"/>
    </row>
    <row r="947" spans="4:8">
      <c r="D947" s="72"/>
      <c r="F947" s="72"/>
      <c r="H947" s="72"/>
    </row>
    <row r="948" spans="4:8">
      <c r="D948" s="72"/>
      <c r="F948" s="72"/>
      <c r="H948" s="72"/>
    </row>
    <row r="949" spans="4:8">
      <c r="D949" s="72"/>
      <c r="F949" s="72"/>
      <c r="H949" s="72"/>
    </row>
    <row r="950" spans="4:8">
      <c r="D950" s="72"/>
      <c r="F950" s="72"/>
      <c r="H950" s="72"/>
    </row>
    <row r="951" spans="4:8">
      <c r="D951" s="72"/>
      <c r="F951" s="72"/>
      <c r="H951" s="72"/>
    </row>
    <row r="952" spans="4:8">
      <c r="D952" s="72"/>
      <c r="F952" s="72"/>
      <c r="H952" s="72"/>
    </row>
    <row r="953" spans="4:8">
      <c r="D953" s="72"/>
      <c r="F953" s="72"/>
      <c r="H953" s="72"/>
    </row>
    <row r="954" spans="4:8">
      <c r="D954" s="72"/>
      <c r="F954" s="72"/>
      <c r="H954" s="72"/>
    </row>
    <row r="955" spans="4:8">
      <c r="D955" s="72"/>
      <c r="F955" s="72"/>
      <c r="H955" s="72"/>
    </row>
    <row r="956" spans="4:8">
      <c r="D956" s="72"/>
      <c r="F956" s="72"/>
      <c r="H956" s="72"/>
    </row>
    <row r="957" spans="4:8">
      <c r="D957" s="72"/>
      <c r="F957" s="72"/>
      <c r="H957" s="72"/>
    </row>
    <row r="958" spans="4:8">
      <c r="D958" s="72"/>
      <c r="F958" s="72"/>
      <c r="H958" s="72"/>
    </row>
    <row r="959" spans="4:8">
      <c r="D959" s="72"/>
      <c r="F959" s="72"/>
      <c r="H959" s="72"/>
    </row>
    <row r="960" spans="4:8">
      <c r="D960" s="72"/>
      <c r="F960" s="72"/>
      <c r="H960" s="72"/>
    </row>
    <row r="961" spans="4:8">
      <c r="D961" s="72"/>
      <c r="F961" s="72"/>
      <c r="H961" s="72"/>
    </row>
    <row r="962" spans="4:8">
      <c r="D962" s="72"/>
      <c r="F962" s="72"/>
      <c r="H962" s="72"/>
    </row>
    <row r="963" spans="4:8">
      <c r="D963" s="72"/>
      <c r="F963" s="72"/>
      <c r="H963" s="72"/>
    </row>
    <row r="964" spans="4:8">
      <c r="D964" s="72"/>
      <c r="F964" s="72"/>
      <c r="H964" s="72"/>
    </row>
    <row r="965" spans="4:8">
      <c r="D965" s="72"/>
      <c r="F965" s="72"/>
      <c r="H965" s="72"/>
    </row>
    <row r="966" spans="4:8">
      <c r="D966" s="72"/>
      <c r="F966" s="72"/>
      <c r="H966" s="72"/>
    </row>
    <row r="967" spans="4:8">
      <c r="D967" s="72"/>
      <c r="F967" s="72"/>
      <c r="H967" s="72"/>
    </row>
    <row r="968" spans="4:8">
      <c r="D968" s="72"/>
      <c r="F968" s="72"/>
      <c r="H968" s="72"/>
    </row>
    <row r="969" spans="4:8">
      <c r="D969" s="72"/>
      <c r="F969" s="72"/>
      <c r="H969" s="72"/>
    </row>
    <row r="970" spans="4:8">
      <c r="D970" s="72"/>
      <c r="F970" s="72"/>
      <c r="H970" s="72"/>
    </row>
    <row r="971" spans="4:8">
      <c r="D971" s="72"/>
      <c r="F971" s="72"/>
      <c r="H971" s="72"/>
    </row>
    <row r="972" spans="4:8">
      <c r="D972" s="72"/>
      <c r="F972" s="72"/>
      <c r="H972" s="72"/>
    </row>
    <row r="973" spans="4:8">
      <c r="D973" s="72"/>
      <c r="F973" s="72"/>
      <c r="H973" s="72"/>
    </row>
    <row r="974" spans="4:8">
      <c r="D974" s="72"/>
      <c r="F974" s="72"/>
      <c r="H974" s="72"/>
    </row>
    <row r="975" spans="4:8">
      <c r="D975" s="72"/>
      <c r="F975" s="72"/>
      <c r="H975" s="72"/>
    </row>
    <row r="976" spans="4:8">
      <c r="D976" s="72"/>
      <c r="F976" s="72"/>
      <c r="H976" s="72"/>
    </row>
    <row r="977" spans="4:8">
      <c r="D977" s="72"/>
      <c r="F977" s="72"/>
      <c r="H977" s="72"/>
    </row>
    <row r="978" spans="4:8">
      <c r="D978" s="72"/>
      <c r="F978" s="72"/>
      <c r="H978" s="72"/>
    </row>
    <row r="979" spans="4:8">
      <c r="D979" s="72"/>
      <c r="F979" s="72"/>
      <c r="H979" s="72"/>
    </row>
    <row r="980" spans="4:8">
      <c r="D980" s="72"/>
      <c r="F980" s="72"/>
      <c r="H980" s="72"/>
    </row>
    <row r="981" spans="4:8">
      <c r="D981" s="72"/>
      <c r="F981" s="72"/>
      <c r="H981" s="72"/>
    </row>
    <row r="982" spans="4:8">
      <c r="D982" s="72"/>
      <c r="F982" s="72"/>
      <c r="H982" s="72"/>
    </row>
    <row r="983" spans="4:8">
      <c r="D983" s="72"/>
      <c r="F983" s="72"/>
      <c r="H983" s="72"/>
    </row>
    <row r="984" spans="4:8">
      <c r="D984" s="72"/>
      <c r="F984" s="72"/>
      <c r="H984" s="72"/>
    </row>
    <row r="985" spans="4:8">
      <c r="D985" s="72"/>
      <c r="F985" s="72"/>
      <c r="H985" s="72"/>
    </row>
    <row r="986" spans="4:8">
      <c r="D986" s="72"/>
      <c r="F986" s="72"/>
      <c r="H986" s="72"/>
    </row>
    <row r="987" spans="4:8">
      <c r="D987" s="72"/>
      <c r="F987" s="72"/>
      <c r="H987" s="72"/>
    </row>
    <row r="988" spans="4:8">
      <c r="D988" s="72"/>
      <c r="F988" s="72"/>
      <c r="H988" s="72"/>
    </row>
    <row r="989" spans="4:8">
      <c r="D989" s="72"/>
      <c r="F989" s="72"/>
      <c r="H989" s="72"/>
    </row>
    <row r="990" spans="4:8">
      <c r="D990" s="72"/>
      <c r="F990" s="72"/>
      <c r="H990" s="72"/>
    </row>
    <row r="991" spans="4:8">
      <c r="D991" s="72"/>
      <c r="F991" s="72"/>
      <c r="H991" s="72"/>
    </row>
    <row r="992" spans="4:8">
      <c r="D992" s="72"/>
      <c r="F992" s="72"/>
      <c r="H992" s="72"/>
    </row>
    <row r="993" spans="4:8">
      <c r="D993" s="72"/>
      <c r="F993" s="72"/>
      <c r="H993" s="72"/>
    </row>
    <row r="994" spans="4:8">
      <c r="D994" s="72"/>
      <c r="F994" s="72"/>
      <c r="H994" s="72"/>
    </row>
    <row r="995" spans="4:8">
      <c r="D995" s="72"/>
      <c r="F995" s="72"/>
      <c r="H995" s="72"/>
    </row>
    <row r="996" spans="4:8">
      <c r="D996" s="72"/>
      <c r="F996" s="72"/>
      <c r="H996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50.83203125" customWidth="1"/>
    <col min="3" max="3" width="20.33203125" customWidth="1"/>
    <col min="4" max="4" width="23.33203125" customWidth="1"/>
    <col min="5" max="5" width="21.1640625" customWidth="1"/>
    <col min="6" max="6" width="18.5" customWidth="1"/>
    <col min="7" max="7" width="21.33203125" customWidth="1"/>
    <col min="8" max="8" width="19.1640625" customWidth="1"/>
    <col min="9" max="9" width="19.5" customWidth="1"/>
    <col min="10" max="10" width="33.33203125" customWidth="1"/>
    <col min="11" max="11" width="18.1640625" customWidth="1"/>
    <col min="12" max="18" width="23.33203125" customWidth="1"/>
    <col min="19" max="19" width="42.5" customWidth="1"/>
    <col min="20" max="20" width="12.5" customWidth="1"/>
  </cols>
  <sheetData>
    <row r="1" spans="1:20" ht="16.5" customHeight="1">
      <c r="A1" s="41"/>
      <c r="B1" s="245" t="s">
        <v>186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187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189</v>
      </c>
      <c r="O2" s="36" t="s">
        <v>176</v>
      </c>
      <c r="P2" s="36" t="s">
        <v>177</v>
      </c>
      <c r="Q2" s="53"/>
      <c r="R2" s="53" t="s">
        <v>179</v>
      </c>
      <c r="S2" s="36"/>
      <c r="T2" s="36"/>
    </row>
    <row r="3" spans="1:20" ht="12.75" customHeight="1">
      <c r="A3" s="41" t="s">
        <v>18</v>
      </c>
      <c r="B3" s="78" t="s">
        <v>19</v>
      </c>
      <c r="C3" s="9">
        <v>0</v>
      </c>
      <c r="D3" s="41">
        <v>0</v>
      </c>
      <c r="E3" s="41"/>
      <c r="F3" s="79"/>
      <c r="G3" s="41"/>
      <c r="H3" s="41">
        <v>1</v>
      </c>
      <c r="I3" s="41">
        <f t="shared" ref="I3:I5" si="0">H3*$T$7</f>
        <v>117.81165900000001</v>
      </c>
      <c r="J3" s="41"/>
      <c r="K3" s="41"/>
      <c r="L3" s="52"/>
      <c r="M3" s="41"/>
      <c r="N3" s="41"/>
      <c r="O3" s="41"/>
      <c r="P3" s="41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9">
        <v>0</v>
      </c>
      <c r="D4" s="41">
        <v>0</v>
      </c>
      <c r="E4" s="41"/>
      <c r="F4" s="79"/>
      <c r="G4" s="41"/>
      <c r="H4" s="41">
        <v>1</v>
      </c>
      <c r="I4" s="41">
        <f t="shared" si="0"/>
        <v>117.81165900000001</v>
      </c>
      <c r="J4" s="41"/>
      <c r="K4" s="41"/>
      <c r="L4" s="57"/>
      <c r="M4" s="41"/>
      <c r="N4" s="41"/>
      <c r="O4" s="41"/>
      <c r="P4" s="41"/>
      <c r="Q4" s="52"/>
      <c r="R4" s="52"/>
      <c r="S4" s="58" t="s">
        <v>21</v>
      </c>
      <c r="T4" s="59">
        <f>'ANNUAL-EXPENSE-DETAILS'!BF5</f>
        <v>250490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 t="shared" si="0"/>
        <v>117.81165900000001</v>
      </c>
      <c r="J5" s="41"/>
      <c r="K5" s="41"/>
      <c r="L5" s="57"/>
      <c r="M5" s="41"/>
      <c r="N5" s="41"/>
      <c r="O5" s="41"/>
      <c r="P5" s="41"/>
      <c r="Q5" s="52"/>
      <c r="R5" s="52"/>
      <c r="S5" s="58" t="s">
        <v>23</v>
      </c>
      <c r="T5" s="59">
        <f>'ANNUAL-EXPENSE-DETAILS'!BE5</f>
        <v>36000</v>
      </c>
    </row>
    <row r="6" spans="1:20" ht="12.75" customHeight="1">
      <c r="A6" s="41" t="s">
        <v>24</v>
      </c>
      <c r="B6" s="13" t="s">
        <v>25</v>
      </c>
      <c r="C6" s="9">
        <v>3271</v>
      </c>
      <c r="D6" s="41">
        <f t="shared" ref="D6:D69" si="1">SUM($C$3:$C$5)/64</f>
        <v>0</v>
      </c>
      <c r="E6" s="41">
        <f t="shared" ref="E6:E69" si="2">C6+D6</f>
        <v>3271</v>
      </c>
      <c r="F6" s="79">
        <f t="shared" ref="F6:F70" si="3">IF($C$70=0, 0, E6/$C$70)</f>
        <v>7.5966858848188212E-3</v>
      </c>
      <c r="G6" s="41">
        <f t="shared" ref="G6:G69" si="4">F6*$T$5</f>
        <v>273.48069185347754</v>
      </c>
      <c r="H6" s="41">
        <v>3</v>
      </c>
      <c r="I6" s="41">
        <f t="shared" ref="I6:I69" si="5">$T$7*H6</f>
        <v>353.434977</v>
      </c>
      <c r="J6" s="41">
        <f t="shared" ref="J6:J69" si="6">G6+$T$9+I6</f>
        <v>632.43809036910261</v>
      </c>
      <c r="K6" s="41">
        <f t="shared" ref="K6:K69" si="7">$T$11/64</f>
        <v>3913.90625</v>
      </c>
      <c r="L6" s="14">
        <v>0</v>
      </c>
      <c r="M6" s="41">
        <v>0</v>
      </c>
      <c r="N6" s="41"/>
      <c r="O6" s="41">
        <v>0</v>
      </c>
      <c r="P6" s="41">
        <v>0</v>
      </c>
      <c r="Q6" s="52"/>
      <c r="R6" s="52">
        <f t="shared" ref="R6:R69" si="8">(SUM(J6:P6))*$B$2</f>
        <v>4546.3443403691026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14633</v>
      </c>
      <c r="D7" s="41">
        <f t="shared" si="1"/>
        <v>0</v>
      </c>
      <c r="E7" s="41">
        <f t="shared" si="2"/>
        <v>14633</v>
      </c>
      <c r="F7" s="79">
        <f t="shared" si="3"/>
        <v>3.3984195827744972E-2</v>
      </c>
      <c r="G7" s="41">
        <f t="shared" si="4"/>
        <v>1223.431049798819</v>
      </c>
      <c r="H7" s="41">
        <v>4</v>
      </c>
      <c r="I7" s="41">
        <f t="shared" si="5"/>
        <v>471.24663600000002</v>
      </c>
      <c r="J7" s="41">
        <f t="shared" si="6"/>
        <v>1700.200107314444</v>
      </c>
      <c r="K7" s="41">
        <f t="shared" si="7"/>
        <v>3913.90625</v>
      </c>
      <c r="L7" s="7">
        <v>0</v>
      </c>
      <c r="M7" s="41">
        <v>0</v>
      </c>
      <c r="N7" s="41"/>
      <c r="O7" s="41">
        <v>0</v>
      </c>
      <c r="P7" s="41">
        <v>0</v>
      </c>
      <c r="Q7" s="52"/>
      <c r="R7" s="52">
        <f t="shared" si="8"/>
        <v>5614.1063573144438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11395</v>
      </c>
      <c r="D8" s="41">
        <f t="shared" si="1"/>
        <v>0</v>
      </c>
      <c r="E8" s="41">
        <f t="shared" si="2"/>
        <v>11395</v>
      </c>
      <c r="F8" s="79">
        <f t="shared" si="3"/>
        <v>2.6464150308012982E-2</v>
      </c>
      <c r="G8" s="41">
        <f t="shared" si="4"/>
        <v>952.70941108846739</v>
      </c>
      <c r="H8" s="41">
        <v>4</v>
      </c>
      <c r="I8" s="41">
        <f t="shared" si="5"/>
        <v>471.24663600000002</v>
      </c>
      <c r="J8" s="41">
        <f t="shared" si="6"/>
        <v>1429.4784686040923</v>
      </c>
      <c r="K8" s="41">
        <f t="shared" si="7"/>
        <v>3913.90625</v>
      </c>
      <c r="L8" s="7">
        <v>750</v>
      </c>
      <c r="M8" s="41">
        <v>0</v>
      </c>
      <c r="N8" s="41"/>
      <c r="O8" s="41">
        <v>0</v>
      </c>
      <c r="P8" s="41">
        <v>0</v>
      </c>
      <c r="Q8" s="52"/>
      <c r="R8" s="52">
        <f t="shared" si="8"/>
        <v>6093.3847186040921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3264.5</v>
      </c>
      <c r="D9" s="41">
        <f t="shared" si="1"/>
        <v>0</v>
      </c>
      <c r="E9" s="41">
        <f t="shared" si="2"/>
        <v>3264.5</v>
      </c>
      <c r="F9" s="79">
        <f t="shared" si="3"/>
        <v>7.5815900553320211E-3</v>
      </c>
      <c r="G9" s="41">
        <f t="shared" si="4"/>
        <v>272.93724199195276</v>
      </c>
      <c r="H9" s="41">
        <v>4</v>
      </c>
      <c r="I9" s="41">
        <f t="shared" si="5"/>
        <v>471.24663600000002</v>
      </c>
      <c r="J9" s="41">
        <f t="shared" si="6"/>
        <v>749.7062995075778</v>
      </c>
      <c r="K9" s="41">
        <f t="shared" si="7"/>
        <v>3913.90625</v>
      </c>
      <c r="L9" s="7">
        <v>0</v>
      </c>
      <c r="M9" s="41">
        <v>0</v>
      </c>
      <c r="N9" s="41"/>
      <c r="O9" s="41">
        <v>0</v>
      </c>
      <c r="P9" s="41">
        <v>0</v>
      </c>
      <c r="Q9" s="52"/>
      <c r="R9" s="52">
        <f t="shared" si="8"/>
        <v>4663.6125495075776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0</v>
      </c>
      <c r="D10" s="41">
        <f t="shared" si="1"/>
        <v>0</v>
      </c>
      <c r="E10" s="41">
        <f t="shared" si="2"/>
        <v>0</v>
      </c>
      <c r="F10" s="79">
        <f t="shared" si="3"/>
        <v>0</v>
      </c>
      <c r="G10" s="41">
        <f t="shared" si="4"/>
        <v>0</v>
      </c>
      <c r="H10" s="41">
        <v>3</v>
      </c>
      <c r="I10" s="41">
        <f t="shared" si="5"/>
        <v>353.434977</v>
      </c>
      <c r="J10" s="41">
        <f t="shared" si="6"/>
        <v>358.95739851562502</v>
      </c>
      <c r="K10" s="41">
        <f t="shared" si="7"/>
        <v>3913.90625</v>
      </c>
      <c r="L10" s="7">
        <v>0</v>
      </c>
      <c r="M10" s="41">
        <v>0</v>
      </c>
      <c r="N10" s="41"/>
      <c r="O10" s="41">
        <v>0</v>
      </c>
      <c r="P10" s="41">
        <v>0</v>
      </c>
      <c r="Q10" s="52"/>
      <c r="R10" s="52">
        <f t="shared" si="8"/>
        <v>4272.8636485156248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4251</v>
      </c>
      <c r="D11" s="41">
        <f t="shared" si="1"/>
        <v>0</v>
      </c>
      <c r="E11" s="41">
        <f t="shared" si="2"/>
        <v>4251</v>
      </c>
      <c r="F11" s="79">
        <f t="shared" si="3"/>
        <v>9.8726724843671079E-3</v>
      </c>
      <c r="G11" s="41">
        <f t="shared" si="4"/>
        <v>355.41620943721591</v>
      </c>
      <c r="H11" s="41">
        <v>3</v>
      </c>
      <c r="I11" s="41">
        <f t="shared" si="5"/>
        <v>353.434977</v>
      </c>
      <c r="J11" s="41">
        <f t="shared" si="6"/>
        <v>714.37360795284098</v>
      </c>
      <c r="K11" s="41">
        <f t="shared" si="7"/>
        <v>3913.90625</v>
      </c>
      <c r="L11" s="7">
        <v>0</v>
      </c>
      <c r="M11" s="41">
        <v>0</v>
      </c>
      <c r="N11" s="41"/>
      <c r="O11" s="41">
        <v>0</v>
      </c>
      <c r="P11" s="41">
        <v>0</v>
      </c>
      <c r="Q11" s="52"/>
      <c r="R11" s="52">
        <f t="shared" si="8"/>
        <v>4628.2798579528408</v>
      </c>
      <c r="S11" s="81" t="s">
        <v>21</v>
      </c>
      <c r="T11" s="82">
        <f>'ANNUAL-EXPENSE-DETAILS'!BF5</f>
        <v>250490</v>
      </c>
    </row>
    <row r="12" spans="1:20" ht="12.75" customHeight="1">
      <c r="A12" s="41" t="s">
        <v>40</v>
      </c>
      <c r="B12" s="13" t="s">
        <v>41</v>
      </c>
      <c r="C12" s="9">
        <v>335.5</v>
      </c>
      <c r="D12" s="41">
        <f t="shared" si="1"/>
        <v>0</v>
      </c>
      <c r="E12" s="41">
        <f t="shared" si="2"/>
        <v>335.5</v>
      </c>
      <c r="F12" s="79">
        <f t="shared" si="3"/>
        <v>7.7917704504943883E-4</v>
      </c>
      <c r="G12" s="41">
        <f t="shared" si="4"/>
        <v>28.050373621779798</v>
      </c>
      <c r="H12" s="41">
        <v>3</v>
      </c>
      <c r="I12" s="41">
        <f t="shared" si="5"/>
        <v>353.434977</v>
      </c>
      <c r="J12" s="41">
        <f t="shared" si="6"/>
        <v>387.0077721374048</v>
      </c>
      <c r="K12" s="41">
        <f t="shared" si="7"/>
        <v>3913.90625</v>
      </c>
      <c r="L12" s="7">
        <v>750</v>
      </c>
      <c r="M12" s="41">
        <v>0</v>
      </c>
      <c r="N12" s="41"/>
      <c r="O12" s="41">
        <v>0</v>
      </c>
      <c r="P12" s="41">
        <v>0</v>
      </c>
      <c r="Q12" s="52"/>
      <c r="R12" s="52">
        <f t="shared" si="8"/>
        <v>5050.9140221374046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220.5</v>
      </c>
      <c r="D13" s="41">
        <f t="shared" si="1"/>
        <v>0</v>
      </c>
      <c r="E13" s="41">
        <f t="shared" si="2"/>
        <v>220.5</v>
      </c>
      <c r="F13" s="79">
        <f t="shared" si="3"/>
        <v>5.1209698489836444E-4</v>
      </c>
      <c r="G13" s="41">
        <f t="shared" si="4"/>
        <v>18.435491456341119</v>
      </c>
      <c r="H13" s="41">
        <v>3</v>
      </c>
      <c r="I13" s="41">
        <f t="shared" si="5"/>
        <v>353.434977</v>
      </c>
      <c r="J13" s="41">
        <f t="shared" si="6"/>
        <v>377.3928899719661</v>
      </c>
      <c r="K13" s="41">
        <f t="shared" si="7"/>
        <v>3913.90625</v>
      </c>
      <c r="L13" s="7">
        <v>0</v>
      </c>
      <c r="M13" s="41">
        <v>0</v>
      </c>
      <c r="N13" s="41"/>
      <c r="O13" s="41">
        <v>0</v>
      </c>
      <c r="P13" s="41">
        <v>0</v>
      </c>
      <c r="Q13" s="52"/>
      <c r="R13" s="52">
        <f t="shared" si="8"/>
        <v>4291.2991399719658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2107</v>
      </c>
      <c r="D14" s="41">
        <f t="shared" si="1"/>
        <v>0</v>
      </c>
      <c r="E14" s="41">
        <f t="shared" si="2"/>
        <v>2107</v>
      </c>
      <c r="F14" s="79">
        <f t="shared" si="3"/>
        <v>4.8933711890288157E-3</v>
      </c>
      <c r="G14" s="41">
        <f t="shared" si="4"/>
        <v>176.16136280503736</v>
      </c>
      <c r="H14" s="41">
        <v>4</v>
      </c>
      <c r="I14" s="41">
        <f t="shared" si="5"/>
        <v>471.24663600000002</v>
      </c>
      <c r="J14" s="41">
        <f t="shared" si="6"/>
        <v>652.93042032066239</v>
      </c>
      <c r="K14" s="41">
        <f t="shared" si="7"/>
        <v>3913.90625</v>
      </c>
      <c r="L14" s="7">
        <v>0</v>
      </c>
      <c r="M14" s="41">
        <v>0</v>
      </c>
      <c r="N14" s="41"/>
      <c r="O14" s="41">
        <v>0</v>
      </c>
      <c r="P14" s="41">
        <v>0</v>
      </c>
      <c r="Q14" s="52"/>
      <c r="R14" s="52">
        <f t="shared" si="8"/>
        <v>4566.8366703206621</v>
      </c>
      <c r="S14" s="61" t="s">
        <v>190</v>
      </c>
      <c r="T14" s="63"/>
    </row>
    <row r="15" spans="1:20" ht="12.75" customHeight="1">
      <c r="A15" s="41" t="s">
        <v>49</v>
      </c>
      <c r="B15" s="13" t="s">
        <v>50</v>
      </c>
      <c r="C15" s="9">
        <v>3152.5</v>
      </c>
      <c r="D15" s="41">
        <f t="shared" si="1"/>
        <v>0</v>
      </c>
      <c r="E15" s="41">
        <f t="shared" si="2"/>
        <v>3152.5</v>
      </c>
      <c r="F15" s="79">
        <f t="shared" si="3"/>
        <v>7.3214773010979312E-3</v>
      </c>
      <c r="G15" s="41">
        <f t="shared" si="4"/>
        <v>263.57318283952554</v>
      </c>
      <c r="H15" s="41">
        <v>3</v>
      </c>
      <c r="I15" s="41">
        <f t="shared" si="5"/>
        <v>353.434977</v>
      </c>
      <c r="J15" s="41">
        <f t="shared" si="6"/>
        <v>622.53058135515062</v>
      </c>
      <c r="K15" s="41">
        <f t="shared" si="7"/>
        <v>3913.90625</v>
      </c>
      <c r="L15" s="7">
        <v>0</v>
      </c>
      <c r="M15" s="41">
        <v>0</v>
      </c>
      <c r="N15" s="41"/>
      <c r="O15" s="41">
        <v>0</v>
      </c>
      <c r="P15" s="41">
        <v>0</v>
      </c>
      <c r="Q15" s="52"/>
      <c r="R15" s="52">
        <f t="shared" si="8"/>
        <v>4536.4368313551504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3724.5</v>
      </c>
      <c r="D16" s="41">
        <f t="shared" si="1"/>
        <v>0</v>
      </c>
      <c r="E16" s="41">
        <f t="shared" si="2"/>
        <v>3724.5</v>
      </c>
      <c r="F16" s="79">
        <f t="shared" si="3"/>
        <v>8.6499102959363191E-3</v>
      </c>
      <c r="G16" s="41">
        <f t="shared" si="4"/>
        <v>311.39677065370751</v>
      </c>
      <c r="H16" s="41">
        <v>3</v>
      </c>
      <c r="I16" s="41">
        <f t="shared" si="5"/>
        <v>353.434977</v>
      </c>
      <c r="J16" s="41">
        <f t="shared" si="6"/>
        <v>670.35416916933252</v>
      </c>
      <c r="K16" s="41">
        <f t="shared" si="7"/>
        <v>3913.90625</v>
      </c>
      <c r="L16" s="7">
        <v>0</v>
      </c>
      <c r="M16" s="41">
        <v>0</v>
      </c>
      <c r="N16" s="41"/>
      <c r="O16" s="41">
        <v>0</v>
      </c>
      <c r="P16" s="41">
        <v>0</v>
      </c>
      <c r="Q16" s="52"/>
      <c r="R16" s="52">
        <f t="shared" si="8"/>
        <v>4584.2604191693326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0</v>
      </c>
      <c r="D17" s="41">
        <f t="shared" si="1"/>
        <v>0</v>
      </c>
      <c r="E17" s="41">
        <f t="shared" si="2"/>
        <v>0</v>
      </c>
      <c r="F17" s="79">
        <f t="shared" si="3"/>
        <v>0</v>
      </c>
      <c r="G17" s="41">
        <f t="shared" si="4"/>
        <v>0</v>
      </c>
      <c r="H17" s="41">
        <v>3</v>
      </c>
      <c r="I17" s="41">
        <f t="shared" si="5"/>
        <v>353.434977</v>
      </c>
      <c r="J17" s="41">
        <f t="shared" si="6"/>
        <v>358.95739851562502</v>
      </c>
      <c r="K17" s="41">
        <f t="shared" si="7"/>
        <v>3913.90625</v>
      </c>
      <c r="L17" s="7">
        <v>0</v>
      </c>
      <c r="M17" s="41">
        <v>0</v>
      </c>
      <c r="N17" s="41"/>
      <c r="O17" s="41">
        <v>0</v>
      </c>
      <c r="P17" s="41">
        <v>0</v>
      </c>
      <c r="Q17" s="52"/>
      <c r="R17" s="52">
        <f t="shared" si="8"/>
        <v>4272.8636485156248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14443</v>
      </c>
      <c r="D18" s="41">
        <f t="shared" si="1"/>
        <v>0</v>
      </c>
      <c r="E18" s="41">
        <f t="shared" si="2"/>
        <v>14443</v>
      </c>
      <c r="F18" s="79">
        <f t="shared" si="3"/>
        <v>3.3542933119669285E-2</v>
      </c>
      <c r="G18" s="41">
        <f t="shared" si="4"/>
        <v>1207.5455923080942</v>
      </c>
      <c r="H18" s="41">
        <v>4</v>
      </c>
      <c r="I18" s="41">
        <f t="shared" si="5"/>
        <v>471.24663600000002</v>
      </c>
      <c r="J18" s="41">
        <f t="shared" si="6"/>
        <v>1684.3146498237193</v>
      </c>
      <c r="K18" s="41">
        <f t="shared" si="7"/>
        <v>3913.90625</v>
      </c>
      <c r="L18" s="7">
        <v>0</v>
      </c>
      <c r="M18" s="41">
        <v>0</v>
      </c>
      <c r="N18" s="41"/>
      <c r="O18" s="41">
        <v>0</v>
      </c>
      <c r="P18" s="41">
        <v>0</v>
      </c>
      <c r="Q18" s="52"/>
      <c r="R18" s="52">
        <f t="shared" si="8"/>
        <v>5598.2208998237193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2996.5</v>
      </c>
      <c r="D19" s="41">
        <f t="shared" si="1"/>
        <v>0</v>
      </c>
      <c r="E19" s="41">
        <f t="shared" si="2"/>
        <v>2996.5</v>
      </c>
      <c r="F19" s="79">
        <f t="shared" si="3"/>
        <v>6.9591773934147344E-3</v>
      </c>
      <c r="G19" s="41">
        <f t="shared" si="4"/>
        <v>250.53038616293043</v>
      </c>
      <c r="H19" s="41">
        <v>4</v>
      </c>
      <c r="I19" s="41">
        <f t="shared" si="5"/>
        <v>471.24663600000002</v>
      </c>
      <c r="J19" s="41">
        <f t="shared" si="6"/>
        <v>727.29944367855546</v>
      </c>
      <c r="K19" s="41">
        <f t="shared" si="7"/>
        <v>3913.90625</v>
      </c>
      <c r="L19" s="7">
        <v>750</v>
      </c>
      <c r="M19" s="41">
        <v>0</v>
      </c>
      <c r="N19" s="41"/>
      <c r="O19" s="41">
        <v>0</v>
      </c>
      <c r="P19" s="41">
        <v>0</v>
      </c>
      <c r="Q19" s="52"/>
      <c r="R19" s="52">
        <f t="shared" si="8"/>
        <v>5391.2056936785557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6829.5</v>
      </c>
      <c r="D20" s="41">
        <f t="shared" si="1"/>
        <v>0</v>
      </c>
      <c r="E20" s="41">
        <f t="shared" si="2"/>
        <v>6829.5</v>
      </c>
      <c r="F20" s="79">
        <f t="shared" si="3"/>
        <v>1.5861071920015329E-2</v>
      </c>
      <c r="G20" s="41">
        <f t="shared" si="4"/>
        <v>570.99858912055186</v>
      </c>
      <c r="H20" s="41">
        <v>4</v>
      </c>
      <c r="I20" s="41">
        <f t="shared" si="5"/>
        <v>471.24663600000002</v>
      </c>
      <c r="J20" s="41">
        <f t="shared" si="6"/>
        <v>1047.7676466361768</v>
      </c>
      <c r="K20" s="41">
        <f t="shared" si="7"/>
        <v>3913.90625</v>
      </c>
      <c r="L20" s="7">
        <v>750</v>
      </c>
      <c r="M20" s="41">
        <v>0</v>
      </c>
      <c r="N20" s="41"/>
      <c r="O20" s="41">
        <v>0</v>
      </c>
      <c r="P20" s="41">
        <v>0</v>
      </c>
      <c r="Q20" s="52"/>
      <c r="R20" s="52">
        <f t="shared" si="8"/>
        <v>5711.6738966361772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14374.5</v>
      </c>
      <c r="D21" s="41">
        <f t="shared" si="1"/>
        <v>0</v>
      </c>
      <c r="E21" s="41">
        <f t="shared" si="2"/>
        <v>14374.5</v>
      </c>
      <c r="F21" s="79">
        <f t="shared" si="3"/>
        <v>3.3383846301231472E-2</v>
      </c>
      <c r="G21" s="41">
        <f t="shared" si="4"/>
        <v>1201.818466844333</v>
      </c>
      <c r="H21" s="41">
        <v>3</v>
      </c>
      <c r="I21" s="41">
        <f t="shared" si="5"/>
        <v>353.434977</v>
      </c>
      <c r="J21" s="41">
        <f t="shared" si="6"/>
        <v>1560.7758653599581</v>
      </c>
      <c r="K21" s="41">
        <f t="shared" si="7"/>
        <v>3913.90625</v>
      </c>
      <c r="L21" s="7">
        <v>0</v>
      </c>
      <c r="M21" s="41">
        <v>0</v>
      </c>
      <c r="N21" s="41"/>
      <c r="O21" s="41">
        <v>0</v>
      </c>
      <c r="P21" s="41">
        <v>0</v>
      </c>
      <c r="Q21" s="52"/>
      <c r="R21" s="52">
        <f t="shared" si="8"/>
        <v>5474.6821153599576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10757.5</v>
      </c>
      <c r="D22" s="41">
        <f t="shared" si="1"/>
        <v>0</v>
      </c>
      <c r="E22" s="41">
        <f t="shared" si="2"/>
        <v>10757.5</v>
      </c>
      <c r="F22" s="79">
        <f t="shared" si="3"/>
        <v>2.4983597800653765E-2</v>
      </c>
      <c r="G22" s="41">
        <f t="shared" si="4"/>
        <v>899.40952082353556</v>
      </c>
      <c r="H22" s="41">
        <v>3</v>
      </c>
      <c r="I22" s="41">
        <f t="shared" si="5"/>
        <v>353.434977</v>
      </c>
      <c r="J22" s="41">
        <f t="shared" si="6"/>
        <v>1258.3669193391606</v>
      </c>
      <c r="K22" s="41">
        <f t="shared" si="7"/>
        <v>3913.90625</v>
      </c>
      <c r="L22" s="7">
        <v>0</v>
      </c>
      <c r="M22" s="41">
        <v>0</v>
      </c>
      <c r="N22" s="41"/>
      <c r="O22" s="41">
        <v>0</v>
      </c>
      <c r="P22" s="41">
        <v>0</v>
      </c>
      <c r="Q22" s="52"/>
      <c r="R22" s="52">
        <f t="shared" si="8"/>
        <v>5172.2731693391606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20300.5</v>
      </c>
      <c r="D23" s="41">
        <f t="shared" si="1"/>
        <v>0</v>
      </c>
      <c r="E23" s="41">
        <f t="shared" si="2"/>
        <v>20300.5</v>
      </c>
      <c r="F23" s="79">
        <f t="shared" si="3"/>
        <v>4.7146597922581621E-2</v>
      </c>
      <c r="G23" s="41">
        <f t="shared" si="4"/>
        <v>1697.2775252129384</v>
      </c>
      <c r="H23" s="41">
        <v>4</v>
      </c>
      <c r="I23" s="41">
        <f t="shared" si="5"/>
        <v>471.24663600000002</v>
      </c>
      <c r="J23" s="41">
        <f t="shared" si="6"/>
        <v>2174.0465827285634</v>
      </c>
      <c r="K23" s="41">
        <f t="shared" si="7"/>
        <v>3913.90625</v>
      </c>
      <c r="L23" s="7">
        <v>0</v>
      </c>
      <c r="M23" s="41">
        <v>0</v>
      </c>
      <c r="N23" s="41"/>
      <c r="O23" s="41">
        <v>0</v>
      </c>
      <c r="P23" s="41">
        <v>0</v>
      </c>
      <c r="Q23" s="52"/>
      <c r="R23" s="52">
        <f t="shared" si="8"/>
        <v>6087.9528327285634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8713.5</v>
      </c>
      <c r="D24" s="41">
        <f t="shared" si="1"/>
        <v>0</v>
      </c>
      <c r="E24" s="41">
        <f t="shared" si="2"/>
        <v>8713.5</v>
      </c>
      <c r="F24" s="79">
        <f t="shared" si="3"/>
        <v>2.0236540035881625E-2</v>
      </c>
      <c r="G24" s="41">
        <f t="shared" si="4"/>
        <v>728.51544129173851</v>
      </c>
      <c r="H24" s="41">
        <v>4</v>
      </c>
      <c r="I24" s="41">
        <f t="shared" si="5"/>
        <v>471.24663600000002</v>
      </c>
      <c r="J24" s="41">
        <f t="shared" si="6"/>
        <v>1205.2844988073634</v>
      </c>
      <c r="K24" s="41">
        <f t="shared" si="7"/>
        <v>3913.90625</v>
      </c>
      <c r="L24" s="7">
        <v>0</v>
      </c>
      <c r="M24" s="41">
        <v>0</v>
      </c>
      <c r="N24" s="41"/>
      <c r="O24" s="41">
        <v>0</v>
      </c>
      <c r="P24" s="41">
        <v>0</v>
      </c>
      <c r="Q24" s="52"/>
      <c r="R24" s="52">
        <f t="shared" si="8"/>
        <v>5119.190748807363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8961.5</v>
      </c>
      <c r="D25" s="41">
        <f t="shared" si="1"/>
        <v>0</v>
      </c>
      <c r="E25" s="41">
        <f t="shared" si="2"/>
        <v>8961.5</v>
      </c>
      <c r="F25" s="79">
        <f t="shared" si="3"/>
        <v>2.0812503991685681E-2</v>
      </c>
      <c r="G25" s="41">
        <f t="shared" si="4"/>
        <v>749.25014370068448</v>
      </c>
      <c r="H25" s="41">
        <v>4</v>
      </c>
      <c r="I25" s="41">
        <f t="shared" si="5"/>
        <v>471.24663600000002</v>
      </c>
      <c r="J25" s="41">
        <f t="shared" si="6"/>
        <v>1226.0192012163095</v>
      </c>
      <c r="K25" s="41">
        <f t="shared" si="7"/>
        <v>3913.90625</v>
      </c>
      <c r="L25" s="7">
        <v>0</v>
      </c>
      <c r="M25" s="41">
        <v>0</v>
      </c>
      <c r="N25" s="41"/>
      <c r="O25" s="41">
        <v>0</v>
      </c>
      <c r="P25" s="41">
        <v>0</v>
      </c>
      <c r="Q25" s="52"/>
      <c r="R25" s="52">
        <f t="shared" si="8"/>
        <v>5139.9254512163097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3003</v>
      </c>
      <c r="D26" s="41">
        <f t="shared" si="1"/>
        <v>0</v>
      </c>
      <c r="E26" s="41">
        <f t="shared" si="2"/>
        <v>3003</v>
      </c>
      <c r="F26" s="79">
        <f t="shared" si="3"/>
        <v>6.9742732229015345E-3</v>
      </c>
      <c r="G26" s="41">
        <f t="shared" si="4"/>
        <v>251.07383602445523</v>
      </c>
      <c r="H26" s="41">
        <v>3</v>
      </c>
      <c r="I26" s="41">
        <f t="shared" si="5"/>
        <v>353.434977</v>
      </c>
      <c r="J26" s="41">
        <f t="shared" si="6"/>
        <v>610.03123454008028</v>
      </c>
      <c r="K26" s="41">
        <f t="shared" si="7"/>
        <v>3913.90625</v>
      </c>
      <c r="L26" s="7">
        <v>0</v>
      </c>
      <c r="M26" s="41">
        <v>0</v>
      </c>
      <c r="N26" s="41"/>
      <c r="O26" s="41">
        <v>0</v>
      </c>
      <c r="P26" s="41">
        <v>0</v>
      </c>
      <c r="Q26" s="52"/>
      <c r="R26" s="52">
        <f t="shared" si="8"/>
        <v>4523.9374845400798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10558.5</v>
      </c>
      <c r="D27" s="41">
        <f t="shared" si="1"/>
        <v>0</v>
      </c>
      <c r="E27" s="41">
        <f t="shared" si="2"/>
        <v>10558.5</v>
      </c>
      <c r="F27" s="79">
        <f t="shared" si="3"/>
        <v>2.4521433174827124E-2</v>
      </c>
      <c r="G27" s="41">
        <f t="shared" si="4"/>
        <v>882.7715942937765</v>
      </c>
      <c r="H27" s="41">
        <v>3</v>
      </c>
      <c r="I27" s="41">
        <f t="shared" si="5"/>
        <v>353.434977</v>
      </c>
      <c r="J27" s="41">
        <f t="shared" si="6"/>
        <v>1241.7289928094015</v>
      </c>
      <c r="K27" s="41">
        <f t="shared" si="7"/>
        <v>3913.90625</v>
      </c>
      <c r="L27" s="7">
        <v>0</v>
      </c>
      <c r="M27" s="41">
        <v>0</v>
      </c>
      <c r="N27" s="41"/>
      <c r="O27" s="41">
        <v>0</v>
      </c>
      <c r="P27" s="41">
        <v>0</v>
      </c>
      <c r="Q27" s="52"/>
      <c r="R27" s="52">
        <f t="shared" si="8"/>
        <v>5155.6352428094015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3958.5</v>
      </c>
      <c r="D28" s="41">
        <f t="shared" si="1"/>
        <v>0</v>
      </c>
      <c r="E28" s="41">
        <f t="shared" si="2"/>
        <v>3958.5</v>
      </c>
      <c r="F28" s="79">
        <f t="shared" si="3"/>
        <v>9.193360157461113E-3</v>
      </c>
      <c r="G28" s="41">
        <f t="shared" si="4"/>
        <v>330.96096566860007</v>
      </c>
      <c r="H28" s="41">
        <v>3</v>
      </c>
      <c r="I28" s="41">
        <f t="shared" si="5"/>
        <v>353.434977</v>
      </c>
      <c r="J28" s="41">
        <f t="shared" si="6"/>
        <v>689.91836418422508</v>
      </c>
      <c r="K28" s="41">
        <f t="shared" si="7"/>
        <v>3913.90625</v>
      </c>
      <c r="L28" s="7">
        <v>0</v>
      </c>
      <c r="M28" s="41">
        <v>0</v>
      </c>
      <c r="N28" s="41"/>
      <c r="O28" s="41">
        <v>0</v>
      </c>
      <c r="P28" s="41">
        <v>0</v>
      </c>
      <c r="Q28" s="52"/>
      <c r="R28" s="52">
        <f t="shared" si="8"/>
        <v>4603.8246141842246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5275.5</v>
      </c>
      <c r="D29" s="41">
        <f t="shared" si="1"/>
        <v>0</v>
      </c>
      <c r="E29" s="41">
        <f t="shared" si="2"/>
        <v>5275.5</v>
      </c>
      <c r="F29" s="79">
        <f t="shared" si="3"/>
        <v>1.2252007455017332E-2</v>
      </c>
      <c r="G29" s="41">
        <f t="shared" si="4"/>
        <v>441.07226838062394</v>
      </c>
      <c r="H29" s="41">
        <v>3</v>
      </c>
      <c r="I29" s="41">
        <f t="shared" si="5"/>
        <v>353.434977</v>
      </c>
      <c r="J29" s="41">
        <f t="shared" si="6"/>
        <v>800.02966689624895</v>
      </c>
      <c r="K29" s="41">
        <f t="shared" si="7"/>
        <v>3913.90625</v>
      </c>
      <c r="L29" s="7">
        <v>0</v>
      </c>
      <c r="M29" s="41">
        <v>0</v>
      </c>
      <c r="N29" s="41"/>
      <c r="O29" s="41">
        <v>0</v>
      </c>
      <c r="P29" s="41">
        <v>0</v>
      </c>
      <c r="Q29" s="52"/>
      <c r="R29" s="52">
        <f t="shared" si="8"/>
        <v>4713.9359168962492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8302</v>
      </c>
      <c r="D30" s="41">
        <f t="shared" si="1"/>
        <v>0</v>
      </c>
      <c r="E30" s="41">
        <f t="shared" si="2"/>
        <v>8302</v>
      </c>
      <c r="F30" s="79">
        <f t="shared" si="3"/>
        <v>1.9280857907601912E-2</v>
      </c>
      <c r="G30" s="41">
        <f t="shared" si="4"/>
        <v>694.11088467366881</v>
      </c>
      <c r="H30" s="41">
        <v>5</v>
      </c>
      <c r="I30" s="41">
        <f t="shared" si="5"/>
        <v>589.05829500000004</v>
      </c>
      <c r="J30" s="41">
        <f t="shared" si="6"/>
        <v>1288.6916011892938</v>
      </c>
      <c r="K30" s="41">
        <f t="shared" si="7"/>
        <v>3913.90625</v>
      </c>
      <c r="L30" s="7">
        <v>0</v>
      </c>
      <c r="M30" s="41">
        <v>0</v>
      </c>
      <c r="N30" s="41"/>
      <c r="O30" s="41">
        <v>0</v>
      </c>
      <c r="P30" s="41">
        <v>0</v>
      </c>
      <c r="Q30" s="52"/>
      <c r="R30" s="52">
        <f t="shared" si="8"/>
        <v>5202.5978511892936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9430.5</v>
      </c>
      <c r="D31" s="41">
        <f t="shared" si="1"/>
        <v>0</v>
      </c>
      <c r="E31" s="41">
        <f t="shared" si="2"/>
        <v>9430.5</v>
      </c>
      <c r="F31" s="79">
        <f t="shared" si="3"/>
        <v>2.1901726150040934E-2</v>
      </c>
      <c r="G31" s="41">
        <f t="shared" si="4"/>
        <v>788.46214140147367</v>
      </c>
      <c r="H31" s="41">
        <v>3</v>
      </c>
      <c r="I31" s="41">
        <f t="shared" si="5"/>
        <v>353.434977</v>
      </c>
      <c r="J31" s="41">
        <f t="shared" si="6"/>
        <v>1147.4195399170985</v>
      </c>
      <c r="K31" s="41">
        <f t="shared" si="7"/>
        <v>3913.90625</v>
      </c>
      <c r="L31" s="7">
        <v>0</v>
      </c>
      <c r="M31" s="41">
        <v>0</v>
      </c>
      <c r="N31" s="41"/>
      <c r="O31" s="41">
        <v>0</v>
      </c>
      <c r="P31" s="41">
        <v>0</v>
      </c>
      <c r="Q31" s="52"/>
      <c r="R31" s="52">
        <f t="shared" si="8"/>
        <v>5061.3257899170985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3207</v>
      </c>
      <c r="D32" s="41">
        <f t="shared" si="1"/>
        <v>0</v>
      </c>
      <c r="E32" s="41">
        <f t="shared" si="2"/>
        <v>3207</v>
      </c>
      <c r="F32" s="79">
        <f t="shared" si="3"/>
        <v>7.4480500252564839E-3</v>
      </c>
      <c r="G32" s="41">
        <f t="shared" si="4"/>
        <v>268.12980090923344</v>
      </c>
      <c r="H32" s="41">
        <v>3</v>
      </c>
      <c r="I32" s="41">
        <f t="shared" si="5"/>
        <v>353.434977</v>
      </c>
      <c r="J32" s="41">
        <f t="shared" si="6"/>
        <v>627.08719942485845</v>
      </c>
      <c r="K32" s="41">
        <f t="shared" si="7"/>
        <v>3913.90625</v>
      </c>
      <c r="L32" s="7">
        <v>0</v>
      </c>
      <c r="M32" s="41">
        <v>0</v>
      </c>
      <c r="N32" s="41"/>
      <c r="O32" s="41">
        <v>0</v>
      </c>
      <c r="P32" s="41">
        <v>0</v>
      </c>
      <c r="Q32" s="52"/>
      <c r="R32" s="52">
        <f t="shared" si="8"/>
        <v>4540.9934494248582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9082.5</v>
      </c>
      <c r="D33" s="41">
        <f t="shared" si="1"/>
        <v>0</v>
      </c>
      <c r="E33" s="41">
        <f t="shared" si="2"/>
        <v>9082.5</v>
      </c>
      <c r="F33" s="79">
        <f t="shared" si="3"/>
        <v>2.1093518663670725E-2</v>
      </c>
      <c r="G33" s="41">
        <f t="shared" si="4"/>
        <v>759.36667189214609</v>
      </c>
      <c r="H33" s="41">
        <v>3</v>
      </c>
      <c r="I33" s="41">
        <f t="shared" si="5"/>
        <v>353.434977</v>
      </c>
      <c r="J33" s="41">
        <f t="shared" si="6"/>
        <v>1118.3240704077712</v>
      </c>
      <c r="K33" s="41">
        <f t="shared" si="7"/>
        <v>3913.90625</v>
      </c>
      <c r="L33" s="7">
        <v>0</v>
      </c>
      <c r="M33" s="41">
        <v>0</v>
      </c>
      <c r="N33" s="41"/>
      <c r="O33" s="41">
        <v>0</v>
      </c>
      <c r="P33" s="41">
        <v>0</v>
      </c>
      <c r="Q33" s="52"/>
      <c r="R33" s="52">
        <f t="shared" si="8"/>
        <v>5032.2303204077707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3998</v>
      </c>
      <c r="D34" s="41">
        <f t="shared" si="1"/>
        <v>0</v>
      </c>
      <c r="E34" s="41">
        <f t="shared" si="2"/>
        <v>3998</v>
      </c>
      <c r="F34" s="79">
        <f t="shared" si="3"/>
        <v>9.285096352034743E-3</v>
      </c>
      <c r="G34" s="41">
        <f t="shared" si="4"/>
        <v>334.26346867325077</v>
      </c>
      <c r="H34" s="41">
        <v>4</v>
      </c>
      <c r="I34" s="41">
        <f t="shared" si="5"/>
        <v>471.24663600000002</v>
      </c>
      <c r="J34" s="41">
        <f t="shared" si="6"/>
        <v>811.03252618887586</v>
      </c>
      <c r="K34" s="41">
        <f t="shared" si="7"/>
        <v>3913.90625</v>
      </c>
      <c r="L34" s="7">
        <v>0</v>
      </c>
      <c r="M34" s="41">
        <v>0</v>
      </c>
      <c r="N34" s="41"/>
      <c r="O34" s="41">
        <v>0</v>
      </c>
      <c r="P34" s="41">
        <v>0</v>
      </c>
      <c r="Q34" s="52"/>
      <c r="R34" s="52">
        <f t="shared" si="8"/>
        <v>4724.9387761888756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6912.5</v>
      </c>
      <c r="D35" s="41">
        <f t="shared" si="1"/>
        <v>0</v>
      </c>
      <c r="E35" s="41">
        <f t="shared" si="2"/>
        <v>6912.5</v>
      </c>
      <c r="F35" s="79">
        <f t="shared" si="3"/>
        <v>1.6053834050385234E-2</v>
      </c>
      <c r="G35" s="41">
        <f t="shared" si="4"/>
        <v>577.93802581386842</v>
      </c>
      <c r="H35" s="41">
        <v>4</v>
      </c>
      <c r="I35" s="41">
        <f t="shared" si="5"/>
        <v>471.24663600000002</v>
      </c>
      <c r="J35" s="41">
        <f t="shared" si="6"/>
        <v>1054.7070833294933</v>
      </c>
      <c r="K35" s="41">
        <f t="shared" si="7"/>
        <v>3913.90625</v>
      </c>
      <c r="L35" s="7">
        <v>0</v>
      </c>
      <c r="M35" s="41">
        <v>0</v>
      </c>
      <c r="N35" s="41"/>
      <c r="O35" s="41">
        <v>0</v>
      </c>
      <c r="P35" s="41">
        <v>0</v>
      </c>
      <c r="Q35" s="52"/>
      <c r="R35" s="52">
        <f t="shared" si="8"/>
        <v>4968.6133333294929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284.5</v>
      </c>
      <c r="D36" s="41">
        <f t="shared" si="1"/>
        <v>0</v>
      </c>
      <c r="E36" s="41">
        <f t="shared" si="2"/>
        <v>284.5</v>
      </c>
      <c r="F36" s="79">
        <f t="shared" si="3"/>
        <v>6.6073284446070148E-4</v>
      </c>
      <c r="G36" s="41">
        <f t="shared" si="4"/>
        <v>23.786382400585254</v>
      </c>
      <c r="H36" s="41">
        <v>4</v>
      </c>
      <c r="I36" s="41">
        <f t="shared" si="5"/>
        <v>471.24663600000002</v>
      </c>
      <c r="J36" s="41">
        <f t="shared" si="6"/>
        <v>500.55543991621028</v>
      </c>
      <c r="K36" s="41">
        <f t="shared" si="7"/>
        <v>3913.90625</v>
      </c>
      <c r="L36" s="7">
        <v>0</v>
      </c>
      <c r="M36" s="41">
        <v>0</v>
      </c>
      <c r="N36" s="41"/>
      <c r="O36" s="41">
        <v>0</v>
      </c>
      <c r="P36" s="41">
        <v>0</v>
      </c>
      <c r="Q36" s="52"/>
      <c r="R36" s="52">
        <f t="shared" si="8"/>
        <v>4414.4616899162102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2944.5</v>
      </c>
      <c r="D37" s="41">
        <f t="shared" si="1"/>
        <v>0</v>
      </c>
      <c r="E37" s="41">
        <f t="shared" si="2"/>
        <v>2944.5</v>
      </c>
      <c r="F37" s="79">
        <f t="shared" si="3"/>
        <v>6.838410757520336E-3</v>
      </c>
      <c r="G37" s="41">
        <f t="shared" si="4"/>
        <v>246.18278727073209</v>
      </c>
      <c r="H37" s="41">
        <v>3</v>
      </c>
      <c r="I37" s="41">
        <f t="shared" si="5"/>
        <v>353.434977</v>
      </c>
      <c r="J37" s="41">
        <f t="shared" si="6"/>
        <v>605.14018578635705</v>
      </c>
      <c r="K37" s="41">
        <f t="shared" si="7"/>
        <v>3913.90625</v>
      </c>
      <c r="L37" s="7">
        <v>0</v>
      </c>
      <c r="M37" s="41">
        <v>0</v>
      </c>
      <c r="N37" s="41"/>
      <c r="O37" s="41">
        <v>0</v>
      </c>
      <c r="P37" s="41">
        <v>0</v>
      </c>
      <c r="Q37" s="52"/>
      <c r="R37" s="52">
        <f t="shared" si="8"/>
        <v>4519.0464357863566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1104</v>
      </c>
      <c r="D38" s="41">
        <f t="shared" si="1"/>
        <v>0</v>
      </c>
      <c r="E38" s="41">
        <f t="shared" si="2"/>
        <v>1104</v>
      </c>
      <c r="F38" s="79">
        <f t="shared" si="3"/>
        <v>2.5639685774503144E-3</v>
      </c>
      <c r="G38" s="41">
        <f t="shared" si="4"/>
        <v>92.302868788211313</v>
      </c>
      <c r="H38" s="41">
        <v>3</v>
      </c>
      <c r="I38" s="41">
        <f t="shared" si="5"/>
        <v>353.434977</v>
      </c>
      <c r="J38" s="41">
        <f t="shared" si="6"/>
        <v>451.26026730383632</v>
      </c>
      <c r="K38" s="41">
        <f t="shared" si="7"/>
        <v>3913.90625</v>
      </c>
      <c r="L38" s="7">
        <v>0</v>
      </c>
      <c r="M38" s="41">
        <v>0</v>
      </c>
      <c r="N38" s="41"/>
      <c r="O38" s="41">
        <v>0</v>
      </c>
      <c r="P38" s="41">
        <v>0</v>
      </c>
      <c r="Q38" s="52"/>
      <c r="R38" s="52">
        <f t="shared" si="8"/>
        <v>4365.1665173038364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31907.5</v>
      </c>
      <c r="D39" s="41">
        <f t="shared" si="1"/>
        <v>0</v>
      </c>
      <c r="E39" s="41">
        <f t="shared" si="2"/>
        <v>31907.5</v>
      </c>
      <c r="F39" s="79">
        <f t="shared" si="3"/>
        <v>7.4103104515394841E-2</v>
      </c>
      <c r="G39" s="41">
        <f t="shared" si="4"/>
        <v>2667.7117625542141</v>
      </c>
      <c r="H39" s="41">
        <v>4</v>
      </c>
      <c r="I39" s="41">
        <f t="shared" si="5"/>
        <v>471.24663600000002</v>
      </c>
      <c r="J39" s="41">
        <f t="shared" si="6"/>
        <v>3144.480820069839</v>
      </c>
      <c r="K39" s="41">
        <f t="shared" si="7"/>
        <v>3913.90625</v>
      </c>
      <c r="L39" s="7">
        <v>0</v>
      </c>
      <c r="M39" s="41">
        <v>0</v>
      </c>
      <c r="N39" s="41"/>
      <c r="O39" s="41">
        <v>0</v>
      </c>
      <c r="P39" s="41">
        <v>0</v>
      </c>
      <c r="Q39" s="52"/>
      <c r="R39" s="52">
        <f t="shared" si="8"/>
        <v>7058.387070069839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1502</v>
      </c>
      <c r="D40" s="41">
        <f t="shared" si="1"/>
        <v>0</v>
      </c>
      <c r="E40" s="41">
        <f t="shared" si="2"/>
        <v>1502</v>
      </c>
      <c r="F40" s="79">
        <f t="shared" si="3"/>
        <v>3.4882978291035979E-3</v>
      </c>
      <c r="G40" s="41">
        <f t="shared" si="4"/>
        <v>125.57872184772953</v>
      </c>
      <c r="H40" s="41">
        <v>4</v>
      </c>
      <c r="I40" s="41">
        <f t="shared" si="5"/>
        <v>471.24663600000002</v>
      </c>
      <c r="J40" s="41">
        <f t="shared" si="6"/>
        <v>602.34777936335456</v>
      </c>
      <c r="K40" s="41">
        <f t="shared" si="7"/>
        <v>3913.90625</v>
      </c>
      <c r="L40" s="7">
        <v>0</v>
      </c>
      <c r="M40" s="41">
        <v>0</v>
      </c>
      <c r="N40" s="41"/>
      <c r="O40" s="41">
        <v>0</v>
      </c>
      <c r="P40" s="41">
        <v>0</v>
      </c>
      <c r="Q40" s="52"/>
      <c r="R40" s="52">
        <f t="shared" si="8"/>
        <v>4516.2540293633547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2902.5</v>
      </c>
      <c r="D41" s="41">
        <f t="shared" si="1"/>
        <v>0</v>
      </c>
      <c r="E41" s="41">
        <f t="shared" si="2"/>
        <v>2902.5</v>
      </c>
      <c r="F41" s="79">
        <f t="shared" si="3"/>
        <v>6.7408684746825525E-3</v>
      </c>
      <c r="G41" s="41">
        <f t="shared" si="4"/>
        <v>242.67126508857189</v>
      </c>
      <c r="H41" s="41">
        <v>3</v>
      </c>
      <c r="I41" s="41">
        <f t="shared" si="5"/>
        <v>353.434977</v>
      </c>
      <c r="J41" s="41">
        <f t="shared" si="6"/>
        <v>601.62866360419684</v>
      </c>
      <c r="K41" s="41">
        <f t="shared" si="7"/>
        <v>3913.90625</v>
      </c>
      <c r="L41" s="7">
        <v>0</v>
      </c>
      <c r="M41" s="41">
        <v>0</v>
      </c>
      <c r="N41" s="41"/>
      <c r="O41" s="41">
        <v>0</v>
      </c>
      <c r="P41" s="41">
        <v>0</v>
      </c>
      <c r="Q41" s="52"/>
      <c r="R41" s="52">
        <f t="shared" si="8"/>
        <v>4515.5349136041968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8696</v>
      </c>
      <c r="D42" s="41">
        <f t="shared" si="1"/>
        <v>0</v>
      </c>
      <c r="E42" s="41">
        <f t="shared" si="2"/>
        <v>8696</v>
      </c>
      <c r="F42" s="79">
        <f t="shared" si="3"/>
        <v>2.019589741803255E-2</v>
      </c>
      <c r="G42" s="41">
        <f t="shared" si="4"/>
        <v>727.05230704917176</v>
      </c>
      <c r="H42" s="41">
        <v>3</v>
      </c>
      <c r="I42" s="41">
        <f t="shared" si="5"/>
        <v>353.434977</v>
      </c>
      <c r="J42" s="41">
        <f t="shared" si="6"/>
        <v>1086.0097055647966</v>
      </c>
      <c r="K42" s="41">
        <f t="shared" si="7"/>
        <v>3913.90625</v>
      </c>
      <c r="L42" s="7">
        <v>0</v>
      </c>
      <c r="M42" s="41">
        <v>0</v>
      </c>
      <c r="N42" s="41"/>
      <c r="O42" s="41">
        <v>0</v>
      </c>
      <c r="P42" s="41">
        <v>0</v>
      </c>
      <c r="Q42" s="52"/>
      <c r="R42" s="52">
        <f t="shared" si="8"/>
        <v>4999.9159555647966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318</v>
      </c>
      <c r="D43" s="41">
        <f t="shared" si="1"/>
        <v>0</v>
      </c>
      <c r="E43" s="41">
        <f t="shared" si="2"/>
        <v>318</v>
      </c>
      <c r="F43" s="79">
        <f t="shared" si="3"/>
        <v>7.3853442720036233E-4</v>
      </c>
      <c r="G43" s="41">
        <f t="shared" si="4"/>
        <v>26.587239379213045</v>
      </c>
      <c r="H43" s="41">
        <v>3</v>
      </c>
      <c r="I43" s="41">
        <f t="shared" si="5"/>
        <v>353.434977</v>
      </c>
      <c r="J43" s="41">
        <f t="shared" si="6"/>
        <v>385.54463789483805</v>
      </c>
      <c r="K43" s="41">
        <f t="shared" si="7"/>
        <v>3913.90625</v>
      </c>
      <c r="L43" s="7">
        <v>0</v>
      </c>
      <c r="M43" s="41">
        <v>0</v>
      </c>
      <c r="N43" s="41"/>
      <c r="O43" s="41">
        <v>0</v>
      </c>
      <c r="P43" s="41">
        <v>0</v>
      </c>
      <c r="Q43" s="52"/>
      <c r="R43" s="52">
        <f t="shared" si="8"/>
        <v>4299.4508878948382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1254.5</v>
      </c>
      <c r="D44" s="41">
        <f t="shared" si="1"/>
        <v>0</v>
      </c>
      <c r="E44" s="41">
        <f t="shared" si="2"/>
        <v>1254.5</v>
      </c>
      <c r="F44" s="79">
        <f t="shared" si="3"/>
        <v>2.9134950909523727E-3</v>
      </c>
      <c r="G44" s="41">
        <f t="shared" si="4"/>
        <v>104.88582327428541</v>
      </c>
      <c r="H44" s="41">
        <v>3</v>
      </c>
      <c r="I44" s="41">
        <f t="shared" si="5"/>
        <v>353.434977</v>
      </c>
      <c r="J44" s="41">
        <f t="shared" si="6"/>
        <v>463.84322178991044</v>
      </c>
      <c r="K44" s="41">
        <f t="shared" si="7"/>
        <v>3913.90625</v>
      </c>
      <c r="L44" s="7">
        <v>0</v>
      </c>
      <c r="M44" s="41">
        <v>0</v>
      </c>
      <c r="N44" s="41"/>
      <c r="O44" s="41">
        <v>0</v>
      </c>
      <c r="P44" s="41">
        <v>0</v>
      </c>
      <c r="Q44" s="52"/>
      <c r="R44" s="52">
        <f t="shared" si="8"/>
        <v>4377.7494717899108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19735</v>
      </c>
      <c r="D45" s="41">
        <f t="shared" si="1"/>
        <v>0</v>
      </c>
      <c r="E45" s="41">
        <f t="shared" si="2"/>
        <v>19735</v>
      </c>
      <c r="F45" s="79">
        <f t="shared" si="3"/>
        <v>4.5833260757230029E-2</v>
      </c>
      <c r="G45" s="41">
        <f t="shared" si="4"/>
        <v>1649.9973872602811</v>
      </c>
      <c r="H45" s="41">
        <v>3</v>
      </c>
      <c r="I45" s="41">
        <f t="shared" si="5"/>
        <v>353.434977</v>
      </c>
      <c r="J45" s="41">
        <f t="shared" si="6"/>
        <v>2008.9547857759062</v>
      </c>
      <c r="K45" s="41">
        <f t="shared" si="7"/>
        <v>3913.90625</v>
      </c>
      <c r="L45" s="7">
        <v>0</v>
      </c>
      <c r="M45" s="41">
        <v>0</v>
      </c>
      <c r="N45" s="41"/>
      <c r="O45" s="41">
        <v>0</v>
      </c>
      <c r="P45" s="41">
        <v>0</v>
      </c>
      <c r="Q45" s="52"/>
      <c r="R45" s="52">
        <f t="shared" si="8"/>
        <v>5922.8610357759062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6777.5</v>
      </c>
      <c r="D46" s="41">
        <f t="shared" si="1"/>
        <v>0</v>
      </c>
      <c r="E46" s="41">
        <f t="shared" si="2"/>
        <v>6777.5</v>
      </c>
      <c r="F46" s="79">
        <f t="shared" si="3"/>
        <v>1.5740305284120928E-2</v>
      </c>
      <c r="G46" s="41">
        <f t="shared" si="4"/>
        <v>566.65099022835341</v>
      </c>
      <c r="H46" s="41">
        <v>4</v>
      </c>
      <c r="I46" s="41">
        <f t="shared" si="5"/>
        <v>471.24663600000002</v>
      </c>
      <c r="J46" s="41">
        <f t="shared" si="6"/>
        <v>1043.4200477439783</v>
      </c>
      <c r="K46" s="41">
        <f t="shared" si="7"/>
        <v>3913.90625</v>
      </c>
      <c r="L46" s="7">
        <v>0</v>
      </c>
      <c r="M46" s="41">
        <v>0</v>
      </c>
      <c r="N46" s="41"/>
      <c r="O46" s="41">
        <v>0</v>
      </c>
      <c r="P46" s="41">
        <v>0</v>
      </c>
      <c r="Q46" s="52"/>
      <c r="R46" s="52">
        <f t="shared" si="8"/>
        <v>4957.3262977439781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624.5</v>
      </c>
      <c r="D47" s="41">
        <f t="shared" si="1"/>
        <v>0</v>
      </c>
      <c r="E47" s="41">
        <f t="shared" si="2"/>
        <v>624.5</v>
      </c>
      <c r="F47" s="79">
        <f t="shared" si="3"/>
        <v>1.4503608483856171E-3</v>
      </c>
      <c r="G47" s="41">
        <f t="shared" si="4"/>
        <v>52.212990541882213</v>
      </c>
      <c r="H47" s="41">
        <v>3</v>
      </c>
      <c r="I47" s="41">
        <f t="shared" si="5"/>
        <v>353.434977</v>
      </c>
      <c r="J47" s="41">
        <f t="shared" si="6"/>
        <v>411.17038905750724</v>
      </c>
      <c r="K47" s="41">
        <f t="shared" si="7"/>
        <v>3913.90625</v>
      </c>
      <c r="L47" s="7">
        <v>0</v>
      </c>
      <c r="M47" s="41">
        <v>0</v>
      </c>
      <c r="N47" s="41"/>
      <c r="O47" s="41">
        <v>0</v>
      </c>
      <c r="P47" s="41">
        <v>0</v>
      </c>
      <c r="Q47" s="52"/>
      <c r="R47" s="52">
        <f t="shared" si="8"/>
        <v>4325.0766390575072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9952</v>
      </c>
      <c r="D48" s="41">
        <f t="shared" si="1"/>
        <v>0</v>
      </c>
      <c r="E48" s="41">
        <f t="shared" si="2"/>
        <v>9952</v>
      </c>
      <c r="F48" s="79">
        <f t="shared" si="3"/>
        <v>2.3112876161943414E-2</v>
      </c>
      <c r="G48" s="41">
        <f t="shared" si="4"/>
        <v>832.0635418299629</v>
      </c>
      <c r="H48" s="41">
        <v>3</v>
      </c>
      <c r="I48" s="41">
        <f t="shared" si="5"/>
        <v>353.434977</v>
      </c>
      <c r="J48" s="41">
        <f t="shared" si="6"/>
        <v>1191.0209403455879</v>
      </c>
      <c r="K48" s="41">
        <f t="shared" si="7"/>
        <v>3913.90625</v>
      </c>
      <c r="L48" s="7">
        <v>0</v>
      </c>
      <c r="M48" s="41">
        <v>0</v>
      </c>
      <c r="N48" s="41"/>
      <c r="O48" s="41">
        <v>0</v>
      </c>
      <c r="P48" s="41">
        <v>0</v>
      </c>
      <c r="Q48" s="52"/>
      <c r="R48" s="52">
        <f t="shared" si="8"/>
        <v>5104.9271903455883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10116</v>
      </c>
      <c r="D49" s="41">
        <f t="shared" si="1"/>
        <v>0</v>
      </c>
      <c r="E49" s="41">
        <f t="shared" si="2"/>
        <v>10116</v>
      </c>
      <c r="F49" s="79">
        <f t="shared" si="3"/>
        <v>2.3493755552071904E-2</v>
      </c>
      <c r="G49" s="41">
        <f t="shared" si="4"/>
        <v>845.77519987458857</v>
      </c>
      <c r="H49" s="41">
        <v>3</v>
      </c>
      <c r="I49" s="41">
        <f t="shared" si="5"/>
        <v>353.434977</v>
      </c>
      <c r="J49" s="41">
        <f t="shared" si="6"/>
        <v>1204.7325983902135</v>
      </c>
      <c r="K49" s="41">
        <f t="shared" si="7"/>
        <v>3913.90625</v>
      </c>
      <c r="L49" s="7">
        <v>0</v>
      </c>
      <c r="M49" s="41">
        <v>0</v>
      </c>
      <c r="N49" s="41"/>
      <c r="O49" s="41">
        <v>0</v>
      </c>
      <c r="P49" s="41">
        <v>0</v>
      </c>
      <c r="Q49" s="52"/>
      <c r="R49" s="52">
        <f t="shared" si="8"/>
        <v>5118.6388483902138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4639</v>
      </c>
      <c r="D50" s="41">
        <f t="shared" si="1"/>
        <v>0</v>
      </c>
      <c r="E50" s="41">
        <f t="shared" si="2"/>
        <v>4639</v>
      </c>
      <c r="F50" s="79">
        <f t="shared" si="3"/>
        <v>1.0773777382963775E-2</v>
      </c>
      <c r="G50" s="41">
        <f t="shared" si="4"/>
        <v>387.8559857866959</v>
      </c>
      <c r="H50" s="41">
        <v>4</v>
      </c>
      <c r="I50" s="41">
        <f t="shared" si="5"/>
        <v>471.24663600000002</v>
      </c>
      <c r="J50" s="41">
        <f t="shared" si="6"/>
        <v>864.62504330232093</v>
      </c>
      <c r="K50" s="41">
        <f t="shared" si="7"/>
        <v>3913.90625</v>
      </c>
      <c r="L50" s="7">
        <v>0</v>
      </c>
      <c r="M50" s="41">
        <v>0</v>
      </c>
      <c r="N50" s="41"/>
      <c r="O50" s="41">
        <v>0</v>
      </c>
      <c r="P50" s="41">
        <v>0</v>
      </c>
      <c r="Q50" s="52"/>
      <c r="R50" s="52">
        <f t="shared" si="8"/>
        <v>4778.5312933023206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4462.5</v>
      </c>
      <c r="D51" s="41">
        <f t="shared" si="1"/>
        <v>0</v>
      </c>
      <c r="E51" s="41">
        <f t="shared" si="2"/>
        <v>4462.5</v>
      </c>
      <c r="F51" s="79">
        <f t="shared" si="3"/>
        <v>1.0363867551514519E-2</v>
      </c>
      <c r="G51" s="41">
        <f t="shared" si="4"/>
        <v>373.09923185452266</v>
      </c>
      <c r="H51" s="41">
        <v>4</v>
      </c>
      <c r="I51" s="41">
        <f t="shared" si="5"/>
        <v>471.24663600000002</v>
      </c>
      <c r="J51" s="41">
        <f t="shared" si="6"/>
        <v>849.86828937014775</v>
      </c>
      <c r="K51" s="41">
        <f t="shared" si="7"/>
        <v>3913.90625</v>
      </c>
      <c r="L51" s="7">
        <v>0</v>
      </c>
      <c r="M51" s="41">
        <v>0</v>
      </c>
      <c r="N51" s="41"/>
      <c r="O51" s="41">
        <v>0</v>
      </c>
      <c r="P51" s="41">
        <v>0</v>
      </c>
      <c r="Q51" s="52"/>
      <c r="R51" s="52">
        <f t="shared" si="8"/>
        <v>4763.774539370148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10569.5</v>
      </c>
      <c r="D52" s="41">
        <f t="shared" si="1"/>
        <v>0</v>
      </c>
      <c r="E52" s="41">
        <f t="shared" si="2"/>
        <v>10569.5</v>
      </c>
      <c r="F52" s="79">
        <f t="shared" si="3"/>
        <v>2.45469799631894E-2</v>
      </c>
      <c r="G52" s="41">
        <f t="shared" si="4"/>
        <v>883.69127867481836</v>
      </c>
      <c r="H52" s="41">
        <v>4</v>
      </c>
      <c r="I52" s="41">
        <f t="shared" si="5"/>
        <v>471.24663600000002</v>
      </c>
      <c r="J52" s="41">
        <f t="shared" si="6"/>
        <v>1360.4603361904433</v>
      </c>
      <c r="K52" s="41">
        <f t="shared" si="7"/>
        <v>3913.90625</v>
      </c>
      <c r="L52" s="7">
        <v>0</v>
      </c>
      <c r="M52" s="41">
        <v>0</v>
      </c>
      <c r="N52" s="41"/>
      <c r="O52" s="41">
        <v>0</v>
      </c>
      <c r="P52" s="41">
        <v>0</v>
      </c>
      <c r="Q52" s="52"/>
      <c r="R52" s="52">
        <f t="shared" si="8"/>
        <v>5274.3665861904428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3797.5</v>
      </c>
      <c r="D53" s="41">
        <f t="shared" si="1"/>
        <v>0</v>
      </c>
      <c r="E53" s="41">
        <f t="shared" si="2"/>
        <v>3797.5</v>
      </c>
      <c r="F53" s="79">
        <f t="shared" si="3"/>
        <v>8.8194480732496101E-3</v>
      </c>
      <c r="G53" s="41">
        <f t="shared" si="4"/>
        <v>317.50013063698594</v>
      </c>
      <c r="H53" s="41">
        <v>3</v>
      </c>
      <c r="I53" s="41">
        <f t="shared" si="5"/>
        <v>353.434977</v>
      </c>
      <c r="J53" s="41">
        <f t="shared" si="6"/>
        <v>676.45752915261096</v>
      </c>
      <c r="K53" s="41">
        <f t="shared" si="7"/>
        <v>3913.90625</v>
      </c>
      <c r="L53" s="7">
        <v>0</v>
      </c>
      <c r="M53" s="41">
        <v>0</v>
      </c>
      <c r="N53" s="41"/>
      <c r="O53" s="41">
        <v>0</v>
      </c>
      <c r="P53" s="41">
        <v>0</v>
      </c>
      <c r="Q53" s="52"/>
      <c r="R53" s="52">
        <f t="shared" si="8"/>
        <v>4590.3637791526107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13611.5</v>
      </c>
      <c r="D54" s="41">
        <f t="shared" si="1"/>
        <v>0</v>
      </c>
      <c r="E54" s="41">
        <f t="shared" si="2"/>
        <v>13611.5</v>
      </c>
      <c r="F54" s="79">
        <f t="shared" si="3"/>
        <v>3.1611828163011731E-2</v>
      </c>
      <c r="G54" s="41">
        <f t="shared" si="4"/>
        <v>1138.0258138684223</v>
      </c>
      <c r="H54" s="41">
        <v>3</v>
      </c>
      <c r="I54" s="41">
        <f t="shared" si="5"/>
        <v>353.434977</v>
      </c>
      <c r="J54" s="41">
        <f t="shared" si="6"/>
        <v>1496.9832123840474</v>
      </c>
      <c r="K54" s="41">
        <f t="shared" si="7"/>
        <v>3913.90625</v>
      </c>
      <c r="L54" s="7">
        <v>0</v>
      </c>
      <c r="M54" s="41">
        <v>0</v>
      </c>
      <c r="N54" s="41"/>
      <c r="O54" s="41">
        <v>0</v>
      </c>
      <c r="P54" s="41">
        <v>0</v>
      </c>
      <c r="Q54" s="52"/>
      <c r="R54" s="52">
        <f t="shared" si="8"/>
        <v>5410.8894623840479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15591.5</v>
      </c>
      <c r="D55" s="41">
        <f t="shared" si="1"/>
        <v>0</v>
      </c>
      <c r="E55" s="41">
        <f t="shared" si="2"/>
        <v>15591.5</v>
      </c>
      <c r="F55" s="79">
        <f t="shared" si="3"/>
        <v>3.6210250068221539E-2</v>
      </c>
      <c r="G55" s="41">
        <f t="shared" si="4"/>
        <v>1303.5690024559754</v>
      </c>
      <c r="H55" s="41">
        <v>4</v>
      </c>
      <c r="I55" s="41">
        <f t="shared" si="5"/>
        <v>471.24663600000002</v>
      </c>
      <c r="J55" s="41">
        <f t="shared" si="6"/>
        <v>1780.3380599716004</v>
      </c>
      <c r="K55" s="41">
        <f t="shared" si="7"/>
        <v>3913.90625</v>
      </c>
      <c r="L55" s="7">
        <v>0</v>
      </c>
      <c r="M55" s="41">
        <v>0</v>
      </c>
      <c r="N55" s="41"/>
      <c r="O55" s="41">
        <v>0</v>
      </c>
      <c r="P55" s="41">
        <v>0</v>
      </c>
      <c r="Q55" s="52"/>
      <c r="R55" s="52">
        <f t="shared" si="8"/>
        <v>5694.2443099716002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5602</v>
      </c>
      <c r="D56" s="41">
        <f t="shared" si="1"/>
        <v>0</v>
      </c>
      <c r="E56" s="41">
        <f t="shared" si="2"/>
        <v>5602</v>
      </c>
      <c r="F56" s="79">
        <f t="shared" si="3"/>
        <v>1.3010282582315817E-2</v>
      </c>
      <c r="G56" s="41">
        <f t="shared" si="4"/>
        <v>468.37017296336938</v>
      </c>
      <c r="H56" s="41">
        <v>4</v>
      </c>
      <c r="I56" s="41">
        <f t="shared" si="5"/>
        <v>471.24663600000002</v>
      </c>
      <c r="J56" s="41">
        <f t="shared" si="6"/>
        <v>945.13923047899448</v>
      </c>
      <c r="K56" s="41">
        <f t="shared" si="7"/>
        <v>3913.90625</v>
      </c>
      <c r="L56" s="7">
        <v>0</v>
      </c>
      <c r="M56" s="41">
        <v>0</v>
      </c>
      <c r="N56" s="41"/>
      <c r="O56" s="41">
        <v>0</v>
      </c>
      <c r="P56" s="41">
        <v>0</v>
      </c>
      <c r="Q56" s="52"/>
      <c r="R56" s="52">
        <f t="shared" si="8"/>
        <v>4859.0454804789943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6402.5</v>
      </c>
      <c r="D57" s="41">
        <f t="shared" si="1"/>
        <v>0</v>
      </c>
      <c r="E57" s="41">
        <f t="shared" si="2"/>
        <v>6402.5</v>
      </c>
      <c r="F57" s="79">
        <f t="shared" si="3"/>
        <v>1.4869392044497861E-2</v>
      </c>
      <c r="G57" s="41">
        <f t="shared" si="4"/>
        <v>535.29811360192298</v>
      </c>
      <c r="H57" s="41">
        <v>4</v>
      </c>
      <c r="I57" s="41">
        <f t="shared" si="5"/>
        <v>471.24663600000002</v>
      </c>
      <c r="J57" s="41">
        <f t="shared" si="6"/>
        <v>1012.067171117548</v>
      </c>
      <c r="K57" s="41">
        <f t="shared" si="7"/>
        <v>3913.90625</v>
      </c>
      <c r="L57" s="7">
        <v>0</v>
      </c>
      <c r="M57" s="41">
        <v>0</v>
      </c>
      <c r="N57" s="41"/>
      <c r="O57" s="41">
        <v>0</v>
      </c>
      <c r="P57" s="41">
        <v>0</v>
      </c>
      <c r="Q57" s="52"/>
      <c r="R57" s="52">
        <f t="shared" si="8"/>
        <v>4925.9734211175482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2235</v>
      </c>
      <c r="D58" s="41">
        <f t="shared" si="1"/>
        <v>0</v>
      </c>
      <c r="E58" s="41">
        <f t="shared" si="2"/>
        <v>2235</v>
      </c>
      <c r="F58" s="79">
        <f t="shared" si="3"/>
        <v>5.1906429081534896E-3</v>
      </c>
      <c r="G58" s="41">
        <f t="shared" si="4"/>
        <v>186.86314469352561</v>
      </c>
      <c r="H58" s="41">
        <v>3</v>
      </c>
      <c r="I58" s="41">
        <f t="shared" si="5"/>
        <v>353.434977</v>
      </c>
      <c r="J58" s="41">
        <f t="shared" si="6"/>
        <v>545.82054320915063</v>
      </c>
      <c r="K58" s="41">
        <f t="shared" si="7"/>
        <v>3913.90625</v>
      </c>
      <c r="L58" s="7">
        <v>0</v>
      </c>
      <c r="M58" s="41">
        <v>0</v>
      </c>
      <c r="N58" s="41"/>
      <c r="O58" s="41">
        <v>0</v>
      </c>
      <c r="P58" s="41">
        <v>0</v>
      </c>
      <c r="Q58" s="52"/>
      <c r="R58" s="52">
        <f t="shared" si="8"/>
        <v>4459.7267932091509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14936.5</v>
      </c>
      <c r="D59" s="41">
        <f t="shared" si="1"/>
        <v>0</v>
      </c>
      <c r="E59" s="41">
        <f t="shared" si="2"/>
        <v>14936.5</v>
      </c>
      <c r="F59" s="79">
        <f t="shared" si="3"/>
        <v>3.4689054943013241E-2</v>
      </c>
      <c r="G59" s="41">
        <f t="shared" si="4"/>
        <v>1248.8059779484768</v>
      </c>
      <c r="H59" s="41">
        <v>3</v>
      </c>
      <c r="I59" s="41">
        <f t="shared" si="5"/>
        <v>353.434977</v>
      </c>
      <c r="J59" s="41">
        <f t="shared" si="6"/>
        <v>1607.7633764641018</v>
      </c>
      <c r="K59" s="41">
        <f t="shared" si="7"/>
        <v>3913.90625</v>
      </c>
      <c r="L59" s="7">
        <v>0</v>
      </c>
      <c r="M59" s="41">
        <v>0</v>
      </c>
      <c r="N59" s="41"/>
      <c r="O59" s="41">
        <v>0</v>
      </c>
      <c r="P59" s="41">
        <v>0</v>
      </c>
      <c r="Q59" s="52"/>
      <c r="R59" s="52">
        <f t="shared" si="8"/>
        <v>5521.6696264641014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1562.5</v>
      </c>
      <c r="D60" s="41">
        <f t="shared" si="1"/>
        <v>0</v>
      </c>
      <c r="E60" s="41">
        <f t="shared" si="2"/>
        <v>1562.5</v>
      </c>
      <c r="F60" s="79">
        <f t="shared" si="3"/>
        <v>3.6288051650961196E-3</v>
      </c>
      <c r="G60" s="41">
        <f t="shared" si="4"/>
        <v>130.6369859434603</v>
      </c>
      <c r="H60" s="41">
        <v>3</v>
      </c>
      <c r="I60" s="41">
        <f t="shared" si="5"/>
        <v>353.434977</v>
      </c>
      <c r="J60" s="41">
        <f t="shared" si="6"/>
        <v>489.59438445908529</v>
      </c>
      <c r="K60" s="41">
        <f t="shared" si="7"/>
        <v>3913.90625</v>
      </c>
      <c r="L60" s="7">
        <v>0</v>
      </c>
      <c r="M60" s="41">
        <v>0</v>
      </c>
      <c r="N60" s="41"/>
      <c r="O60" s="41">
        <v>0</v>
      </c>
      <c r="P60" s="41">
        <v>0</v>
      </c>
      <c r="Q60" s="52"/>
      <c r="R60" s="52">
        <f t="shared" si="8"/>
        <v>4403.5006344590856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3069</v>
      </c>
      <c r="D61" s="41">
        <f t="shared" si="1"/>
        <v>0</v>
      </c>
      <c r="E61" s="41">
        <f t="shared" si="2"/>
        <v>3069</v>
      </c>
      <c r="F61" s="79">
        <f t="shared" si="3"/>
        <v>7.1275539530751943E-3</v>
      </c>
      <c r="G61" s="41">
        <f t="shared" si="4"/>
        <v>256.591942310707</v>
      </c>
      <c r="H61" s="41">
        <v>3</v>
      </c>
      <c r="I61" s="41">
        <f t="shared" si="5"/>
        <v>353.434977</v>
      </c>
      <c r="J61" s="41">
        <f t="shared" si="6"/>
        <v>615.54934082633201</v>
      </c>
      <c r="K61" s="41">
        <f t="shared" si="7"/>
        <v>3913.90625</v>
      </c>
      <c r="L61" s="7">
        <v>0</v>
      </c>
      <c r="M61" s="41">
        <v>0</v>
      </c>
      <c r="N61" s="41"/>
      <c r="O61" s="41">
        <v>0</v>
      </c>
      <c r="P61" s="41">
        <v>0</v>
      </c>
      <c r="Q61" s="52"/>
      <c r="R61" s="52">
        <f t="shared" si="8"/>
        <v>4529.4555908263319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11222</v>
      </c>
      <c r="D62" s="41">
        <f t="shared" si="1"/>
        <v>0</v>
      </c>
      <c r="E62" s="41">
        <f t="shared" si="2"/>
        <v>11222</v>
      </c>
      <c r="F62" s="79">
        <f t="shared" si="3"/>
        <v>2.6062369000133541E-2</v>
      </c>
      <c r="G62" s="41">
        <f t="shared" si="4"/>
        <v>938.24528400480744</v>
      </c>
      <c r="H62" s="41">
        <v>4</v>
      </c>
      <c r="I62" s="41">
        <f t="shared" si="5"/>
        <v>471.24663600000002</v>
      </c>
      <c r="J62" s="41">
        <f t="shared" si="6"/>
        <v>1415.0143415204325</v>
      </c>
      <c r="K62" s="41">
        <f t="shared" si="7"/>
        <v>3913.90625</v>
      </c>
      <c r="L62" s="7">
        <v>0</v>
      </c>
      <c r="M62" s="41">
        <v>0</v>
      </c>
      <c r="N62" s="41"/>
      <c r="O62" s="41">
        <v>0</v>
      </c>
      <c r="P62" s="41">
        <v>0</v>
      </c>
      <c r="Q62" s="52"/>
      <c r="R62" s="52">
        <f t="shared" si="8"/>
        <v>5328.9205915204329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3080.5</v>
      </c>
      <c r="D63" s="41">
        <f t="shared" si="1"/>
        <v>0</v>
      </c>
      <c r="E63" s="41">
        <f t="shared" si="2"/>
        <v>3080.5</v>
      </c>
      <c r="F63" s="79">
        <f t="shared" si="3"/>
        <v>7.1542619590903023E-3</v>
      </c>
      <c r="G63" s="41">
        <f t="shared" si="4"/>
        <v>257.5534305272509</v>
      </c>
      <c r="H63" s="41">
        <v>3</v>
      </c>
      <c r="I63" s="41">
        <f t="shared" si="5"/>
        <v>353.434977</v>
      </c>
      <c r="J63" s="41">
        <f t="shared" si="6"/>
        <v>616.51082904287591</v>
      </c>
      <c r="K63" s="41">
        <f t="shared" si="7"/>
        <v>3913.90625</v>
      </c>
      <c r="L63" s="7">
        <v>750</v>
      </c>
      <c r="M63" s="41">
        <v>0</v>
      </c>
      <c r="N63" s="41"/>
      <c r="O63" s="41">
        <v>0</v>
      </c>
      <c r="P63" s="41">
        <v>0</v>
      </c>
      <c r="Q63" s="52"/>
      <c r="R63" s="52">
        <f t="shared" si="8"/>
        <v>5280.4170790428761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3734</v>
      </c>
      <c r="D64" s="41">
        <f t="shared" si="1"/>
        <v>0</v>
      </c>
      <c r="E64" s="41">
        <f t="shared" si="2"/>
        <v>3734</v>
      </c>
      <c r="F64" s="79">
        <f t="shared" si="3"/>
        <v>8.6719734313401037E-3</v>
      </c>
      <c r="G64" s="41">
        <f t="shared" si="4"/>
        <v>312.19104352824371</v>
      </c>
      <c r="H64" s="41">
        <v>3</v>
      </c>
      <c r="I64" s="41">
        <f t="shared" si="5"/>
        <v>353.434977</v>
      </c>
      <c r="J64" s="41">
        <f t="shared" si="6"/>
        <v>671.14844204386873</v>
      </c>
      <c r="K64" s="41">
        <f t="shared" si="7"/>
        <v>3913.90625</v>
      </c>
      <c r="L64" s="7">
        <v>0</v>
      </c>
      <c r="M64" s="41">
        <v>0</v>
      </c>
      <c r="N64" s="41"/>
      <c r="O64" s="41">
        <v>0</v>
      </c>
      <c r="P64" s="41">
        <v>0</v>
      </c>
      <c r="Q64" s="52"/>
      <c r="R64" s="52">
        <f t="shared" si="8"/>
        <v>4585.0546920438683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1645</v>
      </c>
      <c r="D65" s="41">
        <f t="shared" si="1"/>
        <v>0</v>
      </c>
      <c r="E65" s="41">
        <f t="shared" si="2"/>
        <v>1645</v>
      </c>
      <c r="F65" s="79">
        <f t="shared" si="3"/>
        <v>3.8204060778131948E-3</v>
      </c>
      <c r="G65" s="41">
        <f t="shared" si="4"/>
        <v>137.534618801275</v>
      </c>
      <c r="H65" s="41">
        <v>3</v>
      </c>
      <c r="I65" s="41">
        <f t="shared" si="5"/>
        <v>353.434977</v>
      </c>
      <c r="J65" s="41">
        <f t="shared" si="6"/>
        <v>496.49201731690005</v>
      </c>
      <c r="K65" s="41">
        <f t="shared" si="7"/>
        <v>3913.90625</v>
      </c>
      <c r="L65" s="7">
        <v>0</v>
      </c>
      <c r="M65" s="41">
        <v>0</v>
      </c>
      <c r="N65" s="41"/>
      <c r="O65" s="41">
        <v>0</v>
      </c>
      <c r="P65" s="41">
        <v>0</v>
      </c>
      <c r="Q65" s="52"/>
      <c r="R65" s="52">
        <f t="shared" si="8"/>
        <v>4410.3982673169003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5989</v>
      </c>
      <c r="D66" s="41">
        <f t="shared" si="1"/>
        <v>0</v>
      </c>
      <c r="E66" s="41">
        <f t="shared" si="2"/>
        <v>5989</v>
      </c>
      <c r="F66" s="79">
        <f t="shared" si="3"/>
        <v>1.3909065045606824E-2</v>
      </c>
      <c r="G66" s="41">
        <f t="shared" si="4"/>
        <v>500.72634164184564</v>
      </c>
      <c r="H66" s="41">
        <v>4</v>
      </c>
      <c r="I66" s="41">
        <f t="shared" si="5"/>
        <v>471.24663600000002</v>
      </c>
      <c r="J66" s="41">
        <f t="shared" si="6"/>
        <v>977.49539915747073</v>
      </c>
      <c r="K66" s="41">
        <f t="shared" si="7"/>
        <v>3913.90625</v>
      </c>
      <c r="L66" s="7">
        <v>0</v>
      </c>
      <c r="M66" s="41">
        <v>0</v>
      </c>
      <c r="N66" s="41"/>
      <c r="O66" s="41">
        <v>0</v>
      </c>
      <c r="P66" s="41">
        <v>0</v>
      </c>
      <c r="Q66" s="52"/>
      <c r="R66" s="52">
        <f t="shared" si="8"/>
        <v>4891.4016491574712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5515</v>
      </c>
      <c r="D67" s="41">
        <f t="shared" si="1"/>
        <v>0</v>
      </c>
      <c r="E67" s="41">
        <f t="shared" si="2"/>
        <v>5515</v>
      </c>
      <c r="F67" s="79">
        <f t="shared" si="3"/>
        <v>1.2808230710723265E-2</v>
      </c>
      <c r="G67" s="41">
        <f t="shared" si="4"/>
        <v>461.09630558603754</v>
      </c>
      <c r="H67" s="41">
        <v>4</v>
      </c>
      <c r="I67" s="41">
        <f t="shared" si="5"/>
        <v>471.24663600000002</v>
      </c>
      <c r="J67" s="41">
        <f t="shared" si="6"/>
        <v>937.86536310166252</v>
      </c>
      <c r="K67" s="41">
        <f t="shared" si="7"/>
        <v>3913.90625</v>
      </c>
      <c r="L67" s="7">
        <v>0</v>
      </c>
      <c r="M67" s="41">
        <v>0</v>
      </c>
      <c r="N67" s="41"/>
      <c r="O67" s="41">
        <v>0</v>
      </c>
      <c r="P67" s="41">
        <v>0</v>
      </c>
      <c r="Q67" s="52"/>
      <c r="R67" s="52">
        <f t="shared" si="8"/>
        <v>4851.7716131016623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9101</v>
      </c>
      <c r="D68" s="41">
        <f t="shared" si="1"/>
        <v>0</v>
      </c>
      <c r="E68" s="41">
        <f t="shared" si="2"/>
        <v>9101</v>
      </c>
      <c r="F68" s="79">
        <f t="shared" si="3"/>
        <v>2.1136483716825465E-2</v>
      </c>
      <c r="G68" s="41">
        <f t="shared" si="4"/>
        <v>760.91341380571669</v>
      </c>
      <c r="H68" s="41">
        <v>4</v>
      </c>
      <c r="I68" s="41">
        <f t="shared" si="5"/>
        <v>471.24663600000002</v>
      </c>
      <c r="J68" s="41">
        <f t="shared" si="6"/>
        <v>1237.6824713213416</v>
      </c>
      <c r="K68" s="41">
        <f t="shared" si="7"/>
        <v>3913.90625</v>
      </c>
      <c r="L68" s="7">
        <v>0</v>
      </c>
      <c r="M68" s="41">
        <v>0</v>
      </c>
      <c r="N68" s="41"/>
      <c r="O68" s="41">
        <v>0</v>
      </c>
      <c r="P68" s="41">
        <v>0</v>
      </c>
      <c r="Q68" s="52"/>
      <c r="R68" s="52">
        <f t="shared" si="8"/>
        <v>5151.5887213213418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8239.5</v>
      </c>
      <c r="D69" s="41">
        <f t="shared" si="1"/>
        <v>0</v>
      </c>
      <c r="E69" s="41">
        <f t="shared" si="2"/>
        <v>8239.5</v>
      </c>
      <c r="F69" s="79">
        <f t="shared" si="3"/>
        <v>1.9135705700998068E-2</v>
      </c>
      <c r="G69" s="41">
        <f t="shared" si="4"/>
        <v>688.88540523593042</v>
      </c>
      <c r="H69" s="41">
        <v>3</v>
      </c>
      <c r="I69" s="41">
        <f t="shared" si="5"/>
        <v>353.434977</v>
      </c>
      <c r="J69" s="41">
        <f t="shared" si="6"/>
        <v>1047.8428037515555</v>
      </c>
      <c r="K69" s="41">
        <f t="shared" si="7"/>
        <v>3913.90625</v>
      </c>
      <c r="L69" s="7">
        <v>0</v>
      </c>
      <c r="M69" s="41">
        <v>0</v>
      </c>
      <c r="N69" s="41"/>
      <c r="O69" s="41">
        <v>0</v>
      </c>
      <c r="P69" s="41">
        <v>0</v>
      </c>
      <c r="Q69" s="52"/>
      <c r="R69" s="52">
        <f t="shared" si="8"/>
        <v>4961.749053751555</v>
      </c>
      <c r="S69" s="36"/>
      <c r="T69" s="41"/>
    </row>
    <row r="70" spans="1:20" ht="12.75" customHeight="1">
      <c r="A70" s="41"/>
      <c r="B70" s="52" t="s">
        <v>162</v>
      </c>
      <c r="C70" s="52">
        <f t="shared" ref="C70:E70" si="9">SUM(C3:C69)</f>
        <v>430582.5</v>
      </c>
      <c r="D70" s="52">
        <f t="shared" si="9"/>
        <v>0</v>
      </c>
      <c r="E70" s="52">
        <f t="shared" si="9"/>
        <v>430582.5</v>
      </c>
      <c r="F70" s="84">
        <f t="shared" si="3"/>
        <v>1</v>
      </c>
      <c r="G70" s="52">
        <f t="shared" ref="G70:P70" si="10">SUM(G3:G69)</f>
        <v>36000</v>
      </c>
      <c r="H70" s="52">
        <f t="shared" si="10"/>
        <v>223</v>
      </c>
      <c r="I70" s="52">
        <f t="shared" si="10"/>
        <v>26271.999957000018</v>
      </c>
      <c r="J70" s="52">
        <f t="shared" si="10"/>
        <v>62271.999957000007</v>
      </c>
      <c r="K70" s="52">
        <f t="shared" si="10"/>
        <v>250490</v>
      </c>
      <c r="L70" s="41">
        <f t="shared" si="10"/>
        <v>3750</v>
      </c>
      <c r="M70" s="41">
        <f t="shared" si="10"/>
        <v>0</v>
      </c>
      <c r="N70" s="41">
        <f t="shared" si="10"/>
        <v>0</v>
      </c>
      <c r="O70" s="41">
        <f t="shared" si="10"/>
        <v>0</v>
      </c>
      <c r="P70" s="41">
        <f t="shared" si="10"/>
        <v>0</v>
      </c>
      <c r="Q70" s="41"/>
      <c r="R70" s="41">
        <f>SUM(R3:R69)</f>
        <v>316511.99995700002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4374</v>
      </c>
      <c r="D2" s="86">
        <v>45831</v>
      </c>
      <c r="F2" s="86"/>
      <c r="H2" s="71"/>
      <c r="K2" s="40">
        <f t="shared" ref="K2:K65" si="0">SUM(C2,E2,G2,I2)</f>
        <v>4374</v>
      </c>
    </row>
    <row r="3" spans="1:11" ht="15" customHeight="1">
      <c r="A3" s="41" t="s">
        <v>26</v>
      </c>
      <c r="B3" s="13" t="s">
        <v>27</v>
      </c>
      <c r="C3" s="40">
        <v>33159</v>
      </c>
      <c r="D3" s="87">
        <v>45818</v>
      </c>
      <c r="E3" s="40">
        <v>8466</v>
      </c>
      <c r="F3" s="86">
        <v>45818</v>
      </c>
      <c r="H3" s="72"/>
      <c r="K3" s="40">
        <f t="shared" si="0"/>
        <v>41625</v>
      </c>
    </row>
    <row r="4" spans="1:11" ht="15" customHeight="1">
      <c r="A4" s="41" t="s">
        <v>29</v>
      </c>
      <c r="B4" s="13" t="s">
        <v>30</v>
      </c>
      <c r="C4" s="40">
        <v>6000</v>
      </c>
      <c r="D4" s="74">
        <v>45809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4434</v>
      </c>
      <c r="D5" s="87">
        <v>45819</v>
      </c>
      <c r="F5" s="86"/>
      <c r="H5" s="72"/>
      <c r="K5" s="46">
        <f t="shared" si="0"/>
        <v>4434</v>
      </c>
    </row>
    <row r="6" spans="1:11" ht="15" customHeight="1">
      <c r="A6" s="41" t="s">
        <v>35</v>
      </c>
      <c r="B6" s="13" t="s">
        <v>36</v>
      </c>
      <c r="C6" s="42">
        <v>4022</v>
      </c>
      <c r="D6" s="86">
        <v>45828</v>
      </c>
      <c r="E6" s="40">
        <v>4000</v>
      </c>
      <c r="F6" s="86">
        <v>45837</v>
      </c>
      <c r="H6" s="71"/>
      <c r="K6" s="40">
        <f t="shared" si="0"/>
        <v>8022</v>
      </c>
    </row>
    <row r="7" spans="1:11" ht="15" customHeight="1">
      <c r="A7" s="41" t="s">
        <v>37</v>
      </c>
      <c r="B7" s="13" t="s">
        <v>38</v>
      </c>
      <c r="C7" s="40">
        <v>4331</v>
      </c>
      <c r="D7" s="87">
        <v>45821</v>
      </c>
      <c r="F7" s="86"/>
      <c r="H7" s="72"/>
      <c r="K7" s="40">
        <f t="shared" si="0"/>
        <v>4331</v>
      </c>
    </row>
    <row r="8" spans="1:11" ht="15" customHeight="1">
      <c r="A8" s="41" t="s">
        <v>40</v>
      </c>
      <c r="B8" s="13" t="s">
        <v>41</v>
      </c>
      <c r="C8" s="40">
        <v>4800.17</v>
      </c>
      <c r="D8" s="86">
        <v>45828</v>
      </c>
      <c r="E8" s="42"/>
      <c r="F8" s="86"/>
      <c r="H8" s="71"/>
      <c r="K8" s="40">
        <f t="shared" si="0"/>
        <v>4800.17</v>
      </c>
    </row>
    <row r="9" spans="1:11" ht="15" customHeight="1">
      <c r="A9" s="41" t="s">
        <v>43</v>
      </c>
      <c r="B9" s="13" t="s">
        <v>44</v>
      </c>
      <c r="C9" s="73">
        <v>4044</v>
      </c>
      <c r="D9" s="86">
        <v>45819</v>
      </c>
      <c r="F9" s="86"/>
      <c r="H9" s="71"/>
      <c r="K9" s="46">
        <f t="shared" si="0"/>
        <v>4044</v>
      </c>
    </row>
    <row r="10" spans="1:11" ht="15" customHeight="1">
      <c r="A10" s="41" t="s">
        <v>46</v>
      </c>
      <c r="B10" s="13" t="s">
        <v>47</v>
      </c>
      <c r="C10" s="73">
        <v>4310</v>
      </c>
      <c r="D10" s="87">
        <v>45821</v>
      </c>
      <c r="F10" s="86"/>
      <c r="H10" s="71"/>
      <c r="K10" s="46">
        <f t="shared" si="0"/>
        <v>4310</v>
      </c>
    </row>
    <row r="11" spans="1:11" ht="15" customHeight="1">
      <c r="A11" s="41" t="s">
        <v>49</v>
      </c>
      <c r="B11" s="13" t="s">
        <v>50</v>
      </c>
      <c r="C11" s="46">
        <v>4246</v>
      </c>
      <c r="D11" s="87">
        <v>45832</v>
      </c>
      <c r="F11" s="86"/>
      <c r="H11" s="72"/>
      <c r="K11" s="46">
        <f t="shared" si="0"/>
        <v>4246</v>
      </c>
    </row>
    <row r="12" spans="1:11" ht="15" customHeight="1">
      <c r="A12" s="41" t="s">
        <v>52</v>
      </c>
      <c r="B12" s="13" t="s">
        <v>53</v>
      </c>
      <c r="C12" s="73">
        <v>4272</v>
      </c>
      <c r="D12" s="86">
        <v>45819</v>
      </c>
      <c r="F12" s="86"/>
      <c r="H12" s="71"/>
      <c r="K12" s="46">
        <f t="shared" si="0"/>
        <v>4272</v>
      </c>
    </row>
    <row r="13" spans="1:11" ht="15" customHeight="1">
      <c r="A13" s="41" t="s">
        <v>55</v>
      </c>
      <c r="B13" s="13" t="s">
        <v>56</v>
      </c>
      <c r="C13" s="46">
        <v>4013</v>
      </c>
      <c r="D13" s="86">
        <v>45819</v>
      </c>
      <c r="F13" s="86"/>
      <c r="H13" s="71"/>
      <c r="K13" s="46">
        <f t="shared" si="0"/>
        <v>4013</v>
      </c>
    </row>
    <row r="14" spans="1:11" ht="15" customHeight="1">
      <c r="A14" s="41" t="s">
        <v>58</v>
      </c>
      <c r="B14" s="13" t="s">
        <v>59</v>
      </c>
      <c r="C14" s="42">
        <v>6275</v>
      </c>
      <c r="D14" s="86">
        <v>45822</v>
      </c>
      <c r="E14" s="42"/>
      <c r="F14" s="86"/>
      <c r="G14" s="42"/>
      <c r="H14" s="71"/>
      <c r="K14" s="40">
        <f t="shared" si="0"/>
        <v>6275</v>
      </c>
    </row>
    <row r="15" spans="1:11" ht="15" customHeight="1">
      <c r="A15" s="41" t="s">
        <v>61</v>
      </c>
      <c r="B15" s="13" t="s">
        <v>62</v>
      </c>
      <c r="C15" s="46">
        <v>4891</v>
      </c>
      <c r="D15" s="86">
        <v>45819</v>
      </c>
      <c r="F15" s="86"/>
      <c r="H15" s="72"/>
      <c r="K15" s="46">
        <f t="shared" si="0"/>
        <v>4891</v>
      </c>
    </row>
    <row r="16" spans="1:11" ht="15" customHeight="1">
      <c r="A16" s="41" t="s">
        <v>63</v>
      </c>
      <c r="B16" s="13" t="s">
        <v>64</v>
      </c>
      <c r="C16" s="42">
        <v>5466</v>
      </c>
      <c r="D16" s="86">
        <v>45820</v>
      </c>
      <c r="F16" s="86"/>
      <c r="H16" s="71"/>
      <c r="K16" s="40">
        <f t="shared" si="0"/>
        <v>5466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6306</v>
      </c>
      <c r="D18" s="87">
        <v>45809</v>
      </c>
      <c r="E18" s="46">
        <v>4989</v>
      </c>
      <c r="F18" s="86">
        <v>45821</v>
      </c>
      <c r="H18" s="72"/>
      <c r="K18" s="46">
        <f t="shared" si="0"/>
        <v>11295</v>
      </c>
    </row>
    <row r="19" spans="1:11" ht="15" customHeight="1">
      <c r="A19" s="41" t="s">
        <v>69</v>
      </c>
      <c r="B19" s="13" t="s">
        <v>70</v>
      </c>
      <c r="C19" s="73">
        <v>5159</v>
      </c>
      <c r="D19" s="86">
        <v>45824</v>
      </c>
      <c r="E19" s="40">
        <v>7318</v>
      </c>
      <c r="F19" s="86">
        <v>45824</v>
      </c>
      <c r="H19" s="71"/>
      <c r="K19" s="46">
        <f t="shared" si="0"/>
        <v>12477</v>
      </c>
    </row>
    <row r="20" spans="1:11" ht="15" customHeight="1">
      <c r="A20" s="41" t="s">
        <v>71</v>
      </c>
      <c r="B20" s="13" t="s">
        <v>72</v>
      </c>
      <c r="C20" s="73">
        <v>5150</v>
      </c>
      <c r="D20" s="86">
        <v>45827</v>
      </c>
      <c r="F20" s="86"/>
      <c r="H20" s="71"/>
      <c r="K20" s="46">
        <f t="shared" si="0"/>
        <v>5150</v>
      </c>
    </row>
    <row r="21" spans="1:11" ht="15" customHeight="1">
      <c r="A21" s="41" t="s">
        <v>73</v>
      </c>
      <c r="B21" s="13" t="s">
        <v>74</v>
      </c>
      <c r="C21" s="73">
        <v>5107</v>
      </c>
      <c r="D21" s="86">
        <v>45820</v>
      </c>
      <c r="F21" s="86"/>
      <c r="H21" s="71"/>
      <c r="K21" s="46">
        <f t="shared" si="0"/>
        <v>5107</v>
      </c>
    </row>
    <row r="22" spans="1:11" ht="1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">
      <c r="A23" s="41" t="s">
        <v>77</v>
      </c>
      <c r="B23" s="13" t="s">
        <v>78</v>
      </c>
      <c r="C23" s="40">
        <v>85000</v>
      </c>
      <c r="D23" s="87">
        <v>45819</v>
      </c>
      <c r="F23" s="86"/>
      <c r="H23" s="72"/>
      <c r="K23" s="40">
        <f t="shared" si="0"/>
        <v>85000</v>
      </c>
    </row>
    <row r="24" spans="1:11" ht="16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6">
      <c r="A25" s="41" t="s">
        <v>81</v>
      </c>
      <c r="B25" s="13" t="s">
        <v>82</v>
      </c>
      <c r="C25" s="40">
        <v>4772</v>
      </c>
      <c r="D25" s="87">
        <v>45822</v>
      </c>
      <c r="F25" s="86"/>
      <c r="H25" s="72"/>
      <c r="K25" s="40">
        <f t="shared" si="0"/>
        <v>4772</v>
      </c>
    </row>
    <row r="26" spans="1:11" ht="16">
      <c r="A26" s="41" t="s">
        <v>83</v>
      </c>
      <c r="B26" s="13" t="s">
        <v>191</v>
      </c>
      <c r="C26" s="73">
        <v>6218</v>
      </c>
      <c r="D26" s="86">
        <v>45822</v>
      </c>
      <c r="E26" s="40">
        <v>4701</v>
      </c>
      <c r="F26" s="86">
        <v>45822</v>
      </c>
      <c r="H26" s="71"/>
      <c r="K26" s="46">
        <f t="shared" si="0"/>
        <v>10919</v>
      </c>
    </row>
    <row r="27" spans="1:11" ht="16">
      <c r="A27" s="41" t="s">
        <v>85</v>
      </c>
      <c r="B27" s="13" t="s">
        <v>86</v>
      </c>
      <c r="C27" s="46">
        <v>4790</v>
      </c>
      <c r="D27" s="87">
        <v>45819</v>
      </c>
      <c r="F27" s="86"/>
      <c r="H27" s="72"/>
      <c r="K27" s="46">
        <f t="shared" si="0"/>
        <v>4790</v>
      </c>
    </row>
    <row r="28" spans="1:11" ht="16">
      <c r="A28" s="41" t="s">
        <v>87</v>
      </c>
      <c r="B28" s="13" t="s">
        <v>88</v>
      </c>
      <c r="C28" s="73">
        <v>4399</v>
      </c>
      <c r="D28" s="86">
        <v>45829</v>
      </c>
      <c r="F28" s="86"/>
      <c r="H28" s="71"/>
      <c r="K28" s="46">
        <f t="shared" si="0"/>
        <v>4399</v>
      </c>
    </row>
    <row r="29" spans="1:11" ht="16">
      <c r="A29" s="41" t="s">
        <v>89</v>
      </c>
      <c r="B29" s="13" t="s">
        <v>90</v>
      </c>
      <c r="C29" s="73">
        <v>9519</v>
      </c>
      <c r="D29" s="86">
        <v>45817</v>
      </c>
      <c r="E29" s="40">
        <v>5127</v>
      </c>
      <c r="F29" s="86">
        <v>45831</v>
      </c>
      <c r="H29" s="71"/>
      <c r="K29" s="46">
        <f t="shared" si="0"/>
        <v>14646</v>
      </c>
    </row>
    <row r="30" spans="1:11" ht="1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42">
        <v>5435</v>
      </c>
      <c r="D31" s="86">
        <v>45829</v>
      </c>
      <c r="F31" s="86"/>
      <c r="H31" s="71"/>
      <c r="K31" s="40">
        <f t="shared" si="0"/>
        <v>5435</v>
      </c>
    </row>
    <row r="32" spans="1:11" ht="16">
      <c r="A32" s="41" t="s">
        <v>95</v>
      </c>
      <c r="B32" s="13" t="s">
        <v>96</v>
      </c>
      <c r="C32" s="73">
        <v>4568</v>
      </c>
      <c r="D32" s="86">
        <v>45819</v>
      </c>
      <c r="F32" s="86"/>
      <c r="H32" s="71"/>
      <c r="K32" s="46">
        <f t="shared" si="0"/>
        <v>4568</v>
      </c>
    </row>
    <row r="33" spans="1:11" ht="16">
      <c r="A33" s="41" t="s">
        <v>97</v>
      </c>
      <c r="B33" s="13" t="s">
        <v>98</v>
      </c>
      <c r="C33" s="42">
        <v>5425</v>
      </c>
      <c r="D33" s="86">
        <v>45809</v>
      </c>
      <c r="E33" s="40">
        <v>4733</v>
      </c>
      <c r="F33" s="86">
        <v>45820</v>
      </c>
      <c r="H33" s="71"/>
      <c r="K33" s="40">
        <f t="shared" si="0"/>
        <v>10158</v>
      </c>
    </row>
    <row r="34" spans="1:11" ht="16">
      <c r="A34" s="41" t="s">
        <v>99</v>
      </c>
      <c r="B34" s="13" t="s">
        <v>100</v>
      </c>
      <c r="C34" s="73">
        <v>4012</v>
      </c>
      <c r="D34" s="86">
        <v>45823</v>
      </c>
      <c r="F34" s="86"/>
      <c r="H34" s="71"/>
      <c r="K34" s="46">
        <f t="shared" si="0"/>
        <v>4012</v>
      </c>
    </row>
    <row r="35" spans="1:11" ht="16">
      <c r="A35" s="41" t="s">
        <v>101</v>
      </c>
      <c r="B35" s="13" t="s">
        <v>102</v>
      </c>
      <c r="C35" s="46">
        <v>50000</v>
      </c>
      <c r="D35" s="87">
        <v>45817</v>
      </c>
      <c r="E35" s="40">
        <v>20000</v>
      </c>
      <c r="F35" s="86">
        <v>45827</v>
      </c>
      <c r="G35" s="40">
        <v>7099</v>
      </c>
      <c r="H35" s="72">
        <v>45836</v>
      </c>
      <c r="K35" s="46">
        <f t="shared" si="0"/>
        <v>77099</v>
      </c>
    </row>
    <row r="36" spans="1:11" ht="16">
      <c r="A36" s="41" t="s">
        <v>103</v>
      </c>
      <c r="B36" s="13" t="s">
        <v>104</v>
      </c>
      <c r="C36" s="40">
        <v>39966.54</v>
      </c>
      <c r="D36" s="87">
        <v>45827</v>
      </c>
      <c r="E36" s="40">
        <v>4272</v>
      </c>
      <c r="F36" s="86">
        <v>45829</v>
      </c>
      <c r="H36" s="72"/>
      <c r="K36" s="40">
        <f t="shared" si="0"/>
        <v>44238.54</v>
      </c>
    </row>
    <row r="37" spans="1:11" ht="16">
      <c r="A37" s="41" t="s">
        <v>105</v>
      </c>
      <c r="B37" s="13" t="s">
        <v>106</v>
      </c>
      <c r="C37" s="73">
        <v>4897</v>
      </c>
      <c r="D37" s="86">
        <v>45819</v>
      </c>
      <c r="F37" s="86"/>
      <c r="H37" s="71"/>
      <c r="K37" s="46">
        <f t="shared" si="0"/>
        <v>4897</v>
      </c>
    </row>
    <row r="38" spans="1:11" ht="1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4060</v>
      </c>
      <c r="D40" s="86">
        <v>45832</v>
      </c>
      <c r="F40" s="86"/>
      <c r="H40" s="71"/>
      <c r="K40" s="46">
        <f t="shared" si="0"/>
        <v>4060</v>
      </c>
    </row>
    <row r="41" spans="1:11" ht="16">
      <c r="A41" s="41" t="s">
        <v>113</v>
      </c>
      <c r="B41" s="13" t="s">
        <v>114</v>
      </c>
      <c r="C41" s="73">
        <v>4838</v>
      </c>
      <c r="D41" s="86">
        <v>45821</v>
      </c>
      <c r="F41" s="86"/>
      <c r="H41" s="71"/>
      <c r="K41" s="46">
        <f t="shared" si="0"/>
        <v>4838</v>
      </c>
    </row>
    <row r="42" spans="1:11" ht="16">
      <c r="A42" s="41" t="s">
        <v>115</v>
      </c>
      <c r="B42" s="13" t="s">
        <v>116</v>
      </c>
      <c r="C42" s="73">
        <v>5025</v>
      </c>
      <c r="D42" s="86">
        <v>45826</v>
      </c>
      <c r="F42" s="86"/>
      <c r="H42" s="71"/>
      <c r="K42" s="46">
        <f t="shared" si="0"/>
        <v>5025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2">
        <v>4348</v>
      </c>
      <c r="D44" s="86">
        <v>45828</v>
      </c>
      <c r="F44" s="86"/>
      <c r="H44" s="71"/>
      <c r="K44" s="40">
        <f t="shared" si="0"/>
        <v>4348</v>
      </c>
    </row>
    <row r="45" spans="1:11" ht="16">
      <c r="A45" s="41" t="s">
        <v>121</v>
      </c>
      <c r="B45" s="13" t="s">
        <v>122</v>
      </c>
      <c r="C45" s="73">
        <v>6180</v>
      </c>
      <c r="D45" s="86">
        <v>45812</v>
      </c>
      <c r="E45" s="40">
        <v>4971</v>
      </c>
      <c r="F45" s="86">
        <v>45828</v>
      </c>
      <c r="H45" s="71"/>
      <c r="K45" s="46">
        <f t="shared" si="0"/>
        <v>11151</v>
      </c>
    </row>
    <row r="46" spans="1:11" ht="16">
      <c r="A46" s="41" t="s">
        <v>123</v>
      </c>
      <c r="B46" s="13" t="s">
        <v>124</v>
      </c>
      <c r="C46" s="42">
        <v>4439</v>
      </c>
      <c r="D46" s="86">
        <v>45822</v>
      </c>
      <c r="E46" s="42"/>
      <c r="F46" s="86"/>
      <c r="G46" s="42"/>
      <c r="H46" s="71"/>
      <c r="K46" s="40">
        <f t="shared" si="0"/>
        <v>4439</v>
      </c>
    </row>
    <row r="47" spans="1:11" ht="1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/>
      <c r="D48" s="86"/>
      <c r="F48" s="86"/>
      <c r="H48" s="71"/>
      <c r="K48" s="46">
        <f t="shared" si="0"/>
        <v>0</v>
      </c>
    </row>
    <row r="49" spans="1:11" ht="16">
      <c r="A49" s="41" t="s">
        <v>129</v>
      </c>
      <c r="B49" s="13" t="s">
        <v>130</v>
      </c>
      <c r="C49" s="40">
        <v>4372</v>
      </c>
      <c r="D49" s="87">
        <v>45820</v>
      </c>
      <c r="F49" s="86"/>
      <c r="H49" s="72"/>
      <c r="K49" s="40">
        <f t="shared" si="0"/>
        <v>4372</v>
      </c>
    </row>
    <row r="50" spans="1:11" ht="16">
      <c r="A50" s="41" t="s">
        <v>131</v>
      </c>
      <c r="B50" s="13" t="s">
        <v>132</v>
      </c>
      <c r="C50" s="42">
        <v>5591</v>
      </c>
      <c r="D50" s="86">
        <v>45818</v>
      </c>
      <c r="F50" s="86"/>
      <c r="H50" s="71"/>
      <c r="K50" s="40">
        <f t="shared" si="0"/>
        <v>5591</v>
      </c>
    </row>
    <row r="51" spans="1:11" ht="16">
      <c r="A51" s="41" t="s">
        <v>133</v>
      </c>
      <c r="B51" s="13" t="s">
        <v>134</v>
      </c>
      <c r="C51" s="46">
        <v>69469</v>
      </c>
      <c r="D51" s="87">
        <v>45811</v>
      </c>
      <c r="F51" s="86"/>
      <c r="H51" s="72"/>
      <c r="K51" s="46">
        <f t="shared" si="0"/>
        <v>69469</v>
      </c>
    </row>
    <row r="52" spans="1:11" ht="16">
      <c r="A52" s="41" t="s">
        <v>135</v>
      </c>
      <c r="B52" s="13" t="s">
        <v>136</v>
      </c>
      <c r="C52" s="73">
        <v>4905</v>
      </c>
      <c r="D52" s="86">
        <v>45822</v>
      </c>
      <c r="F52" s="86"/>
      <c r="H52" s="71"/>
      <c r="K52" s="46">
        <f t="shared" si="0"/>
        <v>4905</v>
      </c>
    </row>
    <row r="53" spans="1:11" ht="16">
      <c r="A53" s="41" t="s">
        <v>137</v>
      </c>
      <c r="B53" s="13" t="s">
        <v>138</v>
      </c>
      <c r="C53" s="73">
        <v>5529</v>
      </c>
      <c r="D53" s="86">
        <v>45812</v>
      </c>
      <c r="F53" s="86"/>
      <c r="H53" s="71"/>
      <c r="K53" s="46">
        <f t="shared" si="0"/>
        <v>5529</v>
      </c>
    </row>
    <row r="54" spans="1:11" ht="1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16">
      <c r="A56" s="41" t="s">
        <v>143</v>
      </c>
      <c r="B56" s="13" t="s">
        <v>144</v>
      </c>
      <c r="C56" s="42">
        <v>4076</v>
      </c>
      <c r="D56" s="86">
        <v>45826</v>
      </c>
      <c r="F56" s="86"/>
      <c r="H56" s="71"/>
      <c r="K56" s="40">
        <f t="shared" si="0"/>
        <v>4076</v>
      </c>
    </row>
    <row r="57" spans="1:11" ht="16">
      <c r="A57" s="41" t="s">
        <v>145</v>
      </c>
      <c r="B57" s="13" t="s">
        <v>146</v>
      </c>
      <c r="C57" s="46">
        <v>4778</v>
      </c>
      <c r="D57" s="87">
        <v>45834</v>
      </c>
      <c r="F57" s="86"/>
      <c r="H57" s="72"/>
      <c r="K57" s="46">
        <f t="shared" si="0"/>
        <v>4778</v>
      </c>
    </row>
    <row r="58" spans="1:11" ht="16">
      <c r="A58" s="41" t="s">
        <v>147</v>
      </c>
      <c r="B58" s="13" t="s">
        <v>148</v>
      </c>
      <c r="C58" s="40">
        <v>5426</v>
      </c>
      <c r="D58" s="87">
        <v>45819</v>
      </c>
      <c r="F58" s="86"/>
      <c r="H58" s="72"/>
      <c r="K58" s="40">
        <f t="shared" si="0"/>
        <v>5426</v>
      </c>
    </row>
    <row r="59" spans="1:11" ht="16">
      <c r="A59" s="41" t="s">
        <v>149</v>
      </c>
      <c r="B59" s="13" t="s">
        <v>36</v>
      </c>
      <c r="C59" s="73">
        <v>4959</v>
      </c>
      <c r="D59" s="86">
        <v>45828</v>
      </c>
      <c r="F59" s="86"/>
      <c r="H59" s="71"/>
      <c r="K59" s="46">
        <f t="shared" si="0"/>
        <v>4959</v>
      </c>
    </row>
    <row r="60" spans="1:11" ht="16">
      <c r="A60" s="41" t="s">
        <v>150</v>
      </c>
      <c r="B60" s="13" t="s">
        <v>151</v>
      </c>
      <c r="C60" s="73">
        <v>5669</v>
      </c>
      <c r="D60" s="86">
        <v>45813</v>
      </c>
      <c r="E60" s="40">
        <v>4859</v>
      </c>
      <c r="F60" s="86">
        <v>45819</v>
      </c>
      <c r="H60" s="71"/>
      <c r="K60" s="46">
        <f t="shared" si="0"/>
        <v>10528</v>
      </c>
    </row>
    <row r="61" spans="1:11" ht="16">
      <c r="A61" s="41" t="s">
        <v>152</v>
      </c>
      <c r="B61" s="13" t="s">
        <v>153</v>
      </c>
      <c r="C61" s="46">
        <v>4195</v>
      </c>
      <c r="D61" s="86">
        <v>45819</v>
      </c>
      <c r="F61" s="86"/>
      <c r="H61" s="71"/>
      <c r="K61" s="46">
        <f t="shared" si="0"/>
        <v>4195</v>
      </c>
    </row>
    <row r="62" spans="1:11" ht="16">
      <c r="A62" s="41" t="s">
        <v>154</v>
      </c>
      <c r="B62" s="13" t="s">
        <v>155</v>
      </c>
      <c r="D62" s="45"/>
      <c r="F62" s="86"/>
      <c r="H62" s="71"/>
      <c r="K62" s="40">
        <f t="shared" si="0"/>
        <v>0</v>
      </c>
    </row>
    <row r="63" spans="1:11" ht="16">
      <c r="A63" s="41" t="s">
        <v>156</v>
      </c>
      <c r="B63" s="13" t="s">
        <v>157</v>
      </c>
      <c r="C63" s="46">
        <v>5191</v>
      </c>
      <c r="D63" s="87">
        <v>45819</v>
      </c>
      <c r="E63" s="40">
        <v>71</v>
      </c>
      <c r="F63" s="86">
        <v>45823</v>
      </c>
      <c r="H63" s="72"/>
      <c r="K63" s="46">
        <f t="shared" si="0"/>
        <v>5262</v>
      </c>
    </row>
    <row r="64" spans="1:11" ht="1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">
      <c r="A65" s="41" t="s">
        <v>160</v>
      </c>
      <c r="B65" s="13" t="s">
        <v>161</v>
      </c>
      <c r="C65" s="42">
        <v>4119</v>
      </c>
      <c r="D65" s="86">
        <v>45824</v>
      </c>
      <c r="F65" s="86"/>
      <c r="H65" s="71"/>
      <c r="K65" s="40">
        <f t="shared" si="0"/>
        <v>4119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587135.71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19.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8320312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5" customWidth="1"/>
    <col min="19" max="19" width="53.5" customWidth="1"/>
    <col min="20" max="20" width="12.5" customWidth="1"/>
  </cols>
  <sheetData>
    <row r="1" spans="1:20" ht="16.5" customHeight="1">
      <c r="A1" s="41"/>
      <c r="B1" s="245" t="s">
        <v>192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9"/>
    </row>
    <row r="2" spans="1:20" ht="58.5" customHeight="1">
      <c r="A2" s="41" t="s">
        <v>1</v>
      </c>
      <c r="B2" s="36">
        <v>1</v>
      </c>
      <c r="C2" s="36" t="s">
        <v>2</v>
      </c>
      <c r="D2" s="36" t="s">
        <v>168</v>
      </c>
      <c r="E2" s="36" t="s">
        <v>169</v>
      </c>
      <c r="F2" s="77" t="s">
        <v>170</v>
      </c>
      <c r="G2" s="36" t="s">
        <v>6</v>
      </c>
      <c r="H2" s="36" t="s">
        <v>7</v>
      </c>
      <c r="I2" s="36" t="s">
        <v>171</v>
      </c>
      <c r="J2" s="36" t="s">
        <v>172</v>
      </c>
      <c r="K2" s="36" t="s">
        <v>173</v>
      </c>
      <c r="L2" s="36" t="s">
        <v>174</v>
      </c>
      <c r="M2" s="36" t="s">
        <v>188</v>
      </c>
      <c r="N2" s="36" t="s">
        <v>176</v>
      </c>
      <c r="O2" s="36" t="s">
        <v>177</v>
      </c>
      <c r="P2" s="53"/>
      <c r="Q2" s="53"/>
      <c r="R2" s="53" t="s">
        <v>179</v>
      </c>
      <c r="S2" s="53"/>
      <c r="T2" s="53"/>
    </row>
    <row r="3" spans="1:20" ht="12.75" customHeight="1">
      <c r="A3" s="41" t="s">
        <v>18</v>
      </c>
      <c r="B3" s="78" t="s">
        <v>19</v>
      </c>
      <c r="C3" s="41">
        <v>570.5</v>
      </c>
      <c r="D3" s="41">
        <v>0</v>
      </c>
      <c r="E3" s="41"/>
      <c r="F3" s="79"/>
      <c r="G3" s="41"/>
      <c r="H3" s="41">
        <v>1</v>
      </c>
      <c r="I3" s="41">
        <f>T7</f>
        <v>117.81165900000001</v>
      </c>
      <c r="J3" s="41"/>
      <c r="K3" s="41"/>
      <c r="L3" s="52"/>
      <c r="M3" s="41"/>
      <c r="N3" s="41"/>
      <c r="O3" s="41"/>
      <c r="P3" s="52"/>
      <c r="Q3" s="52"/>
      <c r="R3" s="52"/>
      <c r="S3" s="36"/>
      <c r="T3" s="41"/>
    </row>
    <row r="4" spans="1:20" ht="12.75" customHeight="1">
      <c r="A4" s="41" t="s">
        <v>20</v>
      </c>
      <c r="B4" s="78" t="s">
        <v>19</v>
      </c>
      <c r="C4" s="41">
        <v>0</v>
      </c>
      <c r="D4" s="41">
        <v>0</v>
      </c>
      <c r="E4" s="41"/>
      <c r="F4" s="79"/>
      <c r="G4" s="41"/>
      <c r="H4" s="41">
        <v>1</v>
      </c>
      <c r="I4" s="41">
        <f>T7</f>
        <v>117.81165900000001</v>
      </c>
      <c r="J4" s="41"/>
      <c r="K4" s="41"/>
      <c r="L4" s="52"/>
      <c r="M4" s="41"/>
      <c r="N4" s="41"/>
      <c r="O4" s="41"/>
      <c r="P4" s="52"/>
      <c r="Q4" s="52"/>
      <c r="R4" s="52"/>
      <c r="S4" s="58" t="s">
        <v>21</v>
      </c>
      <c r="T4" s="89">
        <f>'ANNUAL-EXPENSE-DETAILS'!BF6</f>
        <v>303879</v>
      </c>
    </row>
    <row r="5" spans="1:20" ht="12.75" customHeight="1">
      <c r="A5" s="41" t="s">
        <v>22</v>
      </c>
      <c r="B5" s="78" t="s">
        <v>19</v>
      </c>
      <c r="C5" s="41">
        <v>0</v>
      </c>
      <c r="D5" s="41">
        <v>0</v>
      </c>
      <c r="E5" s="41"/>
      <c r="F5" s="79"/>
      <c r="G5" s="41"/>
      <c r="H5" s="41">
        <v>1</v>
      </c>
      <c r="I5" s="41">
        <f>T7</f>
        <v>117.81165900000001</v>
      </c>
      <c r="J5" s="41"/>
      <c r="K5" s="41"/>
      <c r="L5" s="52"/>
      <c r="M5" s="41"/>
      <c r="N5" s="41"/>
      <c r="O5" s="41"/>
      <c r="P5" s="52"/>
      <c r="Q5" s="52"/>
      <c r="R5" s="52"/>
      <c r="S5" s="58" t="s">
        <v>23</v>
      </c>
      <c r="T5" s="89">
        <f>'ANNUAL-EXPENSE-DETAILS'!BE6</f>
        <v>39800</v>
      </c>
    </row>
    <row r="6" spans="1:20" ht="12.75" customHeight="1">
      <c r="A6" s="41" t="s">
        <v>24</v>
      </c>
      <c r="B6" s="13" t="s">
        <v>25</v>
      </c>
      <c r="C6" s="9">
        <v>4312</v>
      </c>
      <c r="D6" s="41">
        <f t="shared" ref="D6:D69" si="0">SUM($C$3:$C$5)/64</f>
        <v>8.9140625</v>
      </c>
      <c r="E6" s="41">
        <f t="shared" ref="E6:E69" si="1">C6+D6</f>
        <v>4320.9140625</v>
      </c>
      <c r="F6" s="79">
        <f t="shared" ref="F6:F69" si="2">IF($C$70=0, 0, E6/$C$70)</f>
        <v>9.790154507842928E-3</v>
      </c>
      <c r="G6" s="41">
        <f t="shared" ref="G6:G69" si="3">F6*$T$5</f>
        <v>389.64814941214854</v>
      </c>
      <c r="H6" s="41">
        <v>3</v>
      </c>
      <c r="I6" s="41">
        <f t="shared" ref="I6:I69" si="4">$T$7*H6</f>
        <v>353.434977</v>
      </c>
      <c r="J6" s="41">
        <f t="shared" ref="J6:J69" si="5">G6+$T$9+I6</f>
        <v>748.60554792777361</v>
      </c>
      <c r="K6" s="41">
        <f t="shared" ref="K6:K69" si="6">$T$11/64</f>
        <v>4748.109375</v>
      </c>
      <c r="L6" s="14">
        <v>0</v>
      </c>
      <c r="M6" s="41">
        <v>0</v>
      </c>
      <c r="N6" s="41">
        <v>0</v>
      </c>
      <c r="O6" s="41">
        <v>0</v>
      </c>
      <c r="P6" s="52"/>
      <c r="Q6" s="52"/>
      <c r="R6" s="52">
        <f t="shared" ref="R6:R69" si="7">(J6+K6+L6+M6+N6+O6)*$B$2</f>
        <v>5496.7149229277738</v>
      </c>
      <c r="S6" s="80"/>
      <c r="T6" s="41"/>
    </row>
    <row r="7" spans="1:20" ht="12.75" customHeight="1">
      <c r="A7" s="41" t="s">
        <v>26</v>
      </c>
      <c r="B7" s="13" t="s">
        <v>27</v>
      </c>
      <c r="C7" s="9">
        <v>17011.5</v>
      </c>
      <c r="D7" s="41">
        <f t="shared" si="0"/>
        <v>8.9140625</v>
      </c>
      <c r="E7" s="41">
        <f t="shared" si="1"/>
        <v>17020.4140625</v>
      </c>
      <c r="F7" s="79">
        <f t="shared" si="2"/>
        <v>3.856417439668474E-2</v>
      </c>
      <c r="G7" s="41">
        <f t="shared" si="3"/>
        <v>1534.8541409880527</v>
      </c>
      <c r="H7" s="41">
        <v>4</v>
      </c>
      <c r="I7" s="41">
        <f t="shared" si="4"/>
        <v>471.24663600000002</v>
      </c>
      <c r="J7" s="41">
        <f t="shared" si="5"/>
        <v>2011.6231985036777</v>
      </c>
      <c r="K7" s="41">
        <f t="shared" si="6"/>
        <v>4748.109375</v>
      </c>
      <c r="L7" s="7">
        <v>0</v>
      </c>
      <c r="M7" s="41">
        <v>0</v>
      </c>
      <c r="N7" s="41">
        <v>0</v>
      </c>
      <c r="O7" s="41">
        <v>0</v>
      </c>
      <c r="P7" s="52"/>
      <c r="Q7" s="52"/>
      <c r="R7" s="52">
        <f t="shared" si="7"/>
        <v>6759.7325735036775</v>
      </c>
      <c r="S7" s="80" t="s">
        <v>180</v>
      </c>
      <c r="T7" s="17">
        <v>117.81165900000001</v>
      </c>
    </row>
    <row r="8" spans="1:20" ht="12.75" customHeight="1">
      <c r="A8" s="41" t="s">
        <v>29</v>
      </c>
      <c r="B8" s="13" t="s">
        <v>30</v>
      </c>
      <c r="C8" s="9">
        <v>17231.5</v>
      </c>
      <c r="D8" s="41">
        <f t="shared" si="0"/>
        <v>8.9140625</v>
      </c>
      <c r="E8" s="41">
        <f t="shared" si="1"/>
        <v>17240.4140625</v>
      </c>
      <c r="F8" s="79">
        <f t="shared" si="2"/>
        <v>3.9062641610003786E-2</v>
      </c>
      <c r="G8" s="41">
        <f t="shared" si="3"/>
        <v>1554.6931360781507</v>
      </c>
      <c r="H8" s="41">
        <v>4</v>
      </c>
      <c r="I8" s="41">
        <f t="shared" si="4"/>
        <v>471.24663600000002</v>
      </c>
      <c r="J8" s="41">
        <f t="shared" si="5"/>
        <v>2031.4621935937757</v>
      </c>
      <c r="K8" s="41">
        <f t="shared" si="6"/>
        <v>4748.109375</v>
      </c>
      <c r="L8" s="7">
        <v>750</v>
      </c>
      <c r="M8" s="41">
        <v>0</v>
      </c>
      <c r="N8" s="41">
        <v>0</v>
      </c>
      <c r="O8" s="41">
        <v>0</v>
      </c>
      <c r="P8" s="52"/>
      <c r="Q8" s="52"/>
      <c r="R8" s="52">
        <f t="shared" si="7"/>
        <v>7529.5715685937757</v>
      </c>
      <c r="S8" s="80" t="s">
        <v>181</v>
      </c>
      <c r="T8" s="41">
        <f>$T$7*3</f>
        <v>353.434977</v>
      </c>
    </row>
    <row r="9" spans="1:20" ht="12.75" customHeight="1">
      <c r="A9" s="41" t="s">
        <v>32</v>
      </c>
      <c r="B9" s="13" t="s">
        <v>33</v>
      </c>
      <c r="C9" s="9">
        <v>3636</v>
      </c>
      <c r="D9" s="41">
        <f t="shared" si="0"/>
        <v>8.9140625</v>
      </c>
      <c r="E9" s="41">
        <f t="shared" si="1"/>
        <v>3644.9140625</v>
      </c>
      <c r="F9" s="79">
        <f t="shared" si="2"/>
        <v>8.2585007069171396E-3</v>
      </c>
      <c r="G9" s="41">
        <f t="shared" si="3"/>
        <v>328.68832813530213</v>
      </c>
      <c r="H9" s="41">
        <v>4</v>
      </c>
      <c r="I9" s="41">
        <f t="shared" si="4"/>
        <v>471.24663600000002</v>
      </c>
      <c r="J9" s="41">
        <f t="shared" si="5"/>
        <v>805.45738565092711</v>
      </c>
      <c r="K9" s="41">
        <f t="shared" si="6"/>
        <v>4748.109375</v>
      </c>
      <c r="L9" s="7">
        <v>0</v>
      </c>
      <c r="M9" s="41">
        <v>0</v>
      </c>
      <c r="N9" s="41">
        <v>0</v>
      </c>
      <c r="O9" s="41">
        <v>0</v>
      </c>
      <c r="P9" s="52"/>
      <c r="Q9" s="52"/>
      <c r="R9" s="52">
        <f t="shared" si="7"/>
        <v>5553.5667606509269</v>
      </c>
      <c r="S9" s="81" t="s">
        <v>182</v>
      </c>
      <c r="T9" s="82">
        <f>T8/64</f>
        <v>5.5224215156250001</v>
      </c>
    </row>
    <row r="10" spans="1:20" ht="12.75" customHeight="1">
      <c r="A10" s="41" t="s">
        <v>35</v>
      </c>
      <c r="B10" s="13" t="s">
        <v>36</v>
      </c>
      <c r="C10" s="9">
        <v>715.5</v>
      </c>
      <c r="D10" s="41">
        <f t="shared" si="0"/>
        <v>8.9140625</v>
      </c>
      <c r="E10" s="41">
        <f t="shared" si="1"/>
        <v>724.4140625</v>
      </c>
      <c r="F10" s="79">
        <f t="shared" si="2"/>
        <v>1.6413484501068307E-3</v>
      </c>
      <c r="G10" s="41">
        <f t="shared" si="3"/>
        <v>65.325668314251857</v>
      </c>
      <c r="H10" s="41">
        <v>3</v>
      </c>
      <c r="I10" s="41">
        <f t="shared" si="4"/>
        <v>353.434977</v>
      </c>
      <c r="J10" s="41">
        <f t="shared" si="5"/>
        <v>424.28306682987687</v>
      </c>
      <c r="K10" s="41">
        <f t="shared" si="6"/>
        <v>4748.109375</v>
      </c>
      <c r="L10" s="7">
        <v>0</v>
      </c>
      <c r="M10" s="41">
        <v>0</v>
      </c>
      <c r="N10" s="41">
        <v>0</v>
      </c>
      <c r="O10" s="41">
        <v>0</v>
      </c>
      <c r="P10" s="52"/>
      <c r="Q10" s="52"/>
      <c r="R10" s="52">
        <f t="shared" si="7"/>
        <v>5172.3924418298766</v>
      </c>
      <c r="S10" s="80"/>
      <c r="T10" s="41"/>
    </row>
    <row r="11" spans="1:20" ht="12.75" customHeight="1">
      <c r="A11" s="41" t="s">
        <v>37</v>
      </c>
      <c r="B11" s="13" t="s">
        <v>38</v>
      </c>
      <c r="C11" s="9">
        <v>3962.5</v>
      </c>
      <c r="D11" s="41">
        <f t="shared" si="0"/>
        <v>8.9140625</v>
      </c>
      <c r="E11" s="41">
        <f t="shared" si="1"/>
        <v>3971.4140625</v>
      </c>
      <c r="F11" s="79">
        <f t="shared" si="2"/>
        <v>8.9982713666838104E-3</v>
      </c>
      <c r="G11" s="41">
        <f t="shared" si="3"/>
        <v>358.13120039401565</v>
      </c>
      <c r="H11" s="41">
        <v>3</v>
      </c>
      <c r="I11" s="41">
        <f t="shared" si="4"/>
        <v>353.434977</v>
      </c>
      <c r="J11" s="41">
        <f t="shared" si="5"/>
        <v>717.08859890964072</v>
      </c>
      <c r="K11" s="41">
        <f t="shared" si="6"/>
        <v>4748.109375</v>
      </c>
      <c r="L11" s="7">
        <v>0</v>
      </c>
      <c r="M11" s="41">
        <v>0</v>
      </c>
      <c r="N11" s="41">
        <v>0</v>
      </c>
      <c r="O11" s="41">
        <v>0</v>
      </c>
      <c r="P11" s="52"/>
      <c r="Q11" s="52"/>
      <c r="R11" s="52">
        <f t="shared" si="7"/>
        <v>5465.1979739096405</v>
      </c>
      <c r="S11" s="81" t="s">
        <v>21</v>
      </c>
      <c r="T11" s="82">
        <f>'ANNUAL-EXPENSE-DETAILS'!BF6</f>
        <v>303879</v>
      </c>
    </row>
    <row r="12" spans="1:20" ht="12.75" customHeight="1">
      <c r="A12" s="41" t="s">
        <v>40</v>
      </c>
      <c r="B12" s="13" t="s">
        <v>41</v>
      </c>
      <c r="C12" s="9">
        <v>895.5</v>
      </c>
      <c r="D12" s="41">
        <f t="shared" si="0"/>
        <v>8.9140625</v>
      </c>
      <c r="E12" s="41">
        <f t="shared" si="1"/>
        <v>904.4140625</v>
      </c>
      <c r="F12" s="79">
        <f t="shared" si="2"/>
        <v>2.0491852610042302E-3</v>
      </c>
      <c r="G12" s="41">
        <f t="shared" si="3"/>
        <v>81.557573387968361</v>
      </c>
      <c r="H12" s="41">
        <v>3</v>
      </c>
      <c r="I12" s="41">
        <f t="shared" si="4"/>
        <v>353.434977</v>
      </c>
      <c r="J12" s="41">
        <f t="shared" si="5"/>
        <v>440.51497190359339</v>
      </c>
      <c r="K12" s="41">
        <f t="shared" si="6"/>
        <v>4748.109375</v>
      </c>
      <c r="L12" s="7">
        <v>750</v>
      </c>
      <c r="M12" s="41">
        <v>0</v>
      </c>
      <c r="N12" s="41">
        <v>0</v>
      </c>
      <c r="O12" s="41">
        <v>0</v>
      </c>
      <c r="P12" s="52"/>
      <c r="Q12" s="52"/>
      <c r="R12" s="52">
        <f t="shared" si="7"/>
        <v>5938.6243469035935</v>
      </c>
      <c r="S12" s="36"/>
      <c r="T12" s="41"/>
    </row>
    <row r="13" spans="1:20" ht="12.75" customHeight="1">
      <c r="A13" s="41" t="s">
        <v>43</v>
      </c>
      <c r="B13" s="13" t="s">
        <v>44</v>
      </c>
      <c r="C13" s="9">
        <v>148.5</v>
      </c>
      <c r="D13" s="41">
        <f t="shared" si="0"/>
        <v>8.9140625</v>
      </c>
      <c r="E13" s="41">
        <f t="shared" si="1"/>
        <v>157.4140625</v>
      </c>
      <c r="F13" s="79">
        <f t="shared" si="2"/>
        <v>3.566624957800219E-4</v>
      </c>
      <c r="G13" s="41">
        <f t="shared" si="3"/>
        <v>14.195167332044871</v>
      </c>
      <c r="H13" s="41">
        <v>3</v>
      </c>
      <c r="I13" s="41">
        <f t="shared" si="4"/>
        <v>353.434977</v>
      </c>
      <c r="J13" s="41">
        <f t="shared" si="5"/>
        <v>373.15256584766985</v>
      </c>
      <c r="K13" s="41">
        <f t="shared" si="6"/>
        <v>4748.109375</v>
      </c>
      <c r="L13" s="7">
        <v>0</v>
      </c>
      <c r="M13" s="41">
        <v>0</v>
      </c>
      <c r="N13" s="41">
        <v>0</v>
      </c>
      <c r="O13" s="41">
        <v>0</v>
      </c>
      <c r="P13" s="52"/>
      <c r="Q13" s="52"/>
      <c r="R13" s="52">
        <f t="shared" si="7"/>
        <v>5121.2619408476694</v>
      </c>
      <c r="S13" s="83"/>
      <c r="T13" s="63"/>
    </row>
    <row r="14" spans="1:20" ht="12.75" customHeight="1">
      <c r="A14" s="41" t="s">
        <v>46</v>
      </c>
      <c r="B14" s="13" t="s">
        <v>47</v>
      </c>
      <c r="C14" s="9">
        <v>2308</v>
      </c>
      <c r="D14" s="41">
        <f t="shared" si="0"/>
        <v>8.9140625</v>
      </c>
      <c r="E14" s="41">
        <f t="shared" si="1"/>
        <v>2316.9140625</v>
      </c>
      <c r="F14" s="79">
        <f t="shared" si="2"/>
        <v>5.2495713465185462E-3</v>
      </c>
      <c r="G14" s="41">
        <f t="shared" si="3"/>
        <v>208.93293959143813</v>
      </c>
      <c r="H14" s="41">
        <v>4</v>
      </c>
      <c r="I14" s="41">
        <f t="shared" si="4"/>
        <v>471.24663600000002</v>
      </c>
      <c r="J14" s="41">
        <f t="shared" si="5"/>
        <v>685.70199710706311</v>
      </c>
      <c r="K14" s="41">
        <f t="shared" si="6"/>
        <v>4748.109375</v>
      </c>
      <c r="L14" s="7">
        <v>0</v>
      </c>
      <c r="M14" s="41">
        <v>0</v>
      </c>
      <c r="N14" s="41">
        <v>0</v>
      </c>
      <c r="O14" s="41">
        <v>0</v>
      </c>
      <c r="P14" s="52"/>
      <c r="Q14" s="52"/>
      <c r="R14" s="52">
        <f t="shared" si="7"/>
        <v>5433.8113721070631</v>
      </c>
      <c r="S14" s="61" t="s">
        <v>193</v>
      </c>
      <c r="T14" s="63"/>
    </row>
    <row r="15" spans="1:20" ht="12.75" customHeight="1">
      <c r="A15" s="41" t="s">
        <v>49</v>
      </c>
      <c r="B15" s="13" t="s">
        <v>50</v>
      </c>
      <c r="C15" s="9">
        <v>3221</v>
      </c>
      <c r="D15" s="41">
        <f t="shared" si="0"/>
        <v>8.9140625</v>
      </c>
      <c r="E15" s="41">
        <f t="shared" si="1"/>
        <v>3229.9140625</v>
      </c>
      <c r="F15" s="79">
        <f t="shared" si="2"/>
        <v>7.3182102817925783E-3</v>
      </c>
      <c r="G15" s="41">
        <f t="shared" si="3"/>
        <v>291.26476921534464</v>
      </c>
      <c r="H15" s="41">
        <v>3</v>
      </c>
      <c r="I15" s="41">
        <f t="shared" si="4"/>
        <v>353.434977</v>
      </c>
      <c r="J15" s="41">
        <f t="shared" si="5"/>
        <v>650.22216773096966</v>
      </c>
      <c r="K15" s="41">
        <f t="shared" si="6"/>
        <v>4748.109375</v>
      </c>
      <c r="L15" s="7">
        <v>0</v>
      </c>
      <c r="M15" s="41">
        <v>0</v>
      </c>
      <c r="N15" s="41">
        <v>0</v>
      </c>
      <c r="O15" s="41">
        <v>0</v>
      </c>
      <c r="P15" s="52"/>
      <c r="Q15" s="52"/>
      <c r="R15" s="52">
        <f t="shared" si="7"/>
        <v>5398.3315427309699</v>
      </c>
      <c r="S15" s="61" t="s">
        <v>42</v>
      </c>
      <c r="T15" s="63"/>
    </row>
    <row r="16" spans="1:20" ht="12.75" customHeight="1">
      <c r="A16" s="41" t="s">
        <v>52</v>
      </c>
      <c r="B16" s="13" t="s">
        <v>53</v>
      </c>
      <c r="C16" s="9">
        <v>1220.5</v>
      </c>
      <c r="D16" s="41">
        <f t="shared" si="0"/>
        <v>8.9140625</v>
      </c>
      <c r="E16" s="41">
        <f t="shared" si="1"/>
        <v>1229.4140625</v>
      </c>
      <c r="F16" s="79">
        <f t="shared" si="2"/>
        <v>2.7855572806800904E-3</v>
      </c>
      <c r="G16" s="41">
        <f t="shared" si="3"/>
        <v>110.8651797710676</v>
      </c>
      <c r="H16" s="41">
        <v>3</v>
      </c>
      <c r="I16" s="41">
        <f t="shared" si="4"/>
        <v>353.434977</v>
      </c>
      <c r="J16" s="41">
        <f t="shared" si="5"/>
        <v>469.82257828669259</v>
      </c>
      <c r="K16" s="41">
        <f t="shared" si="6"/>
        <v>4748.109375</v>
      </c>
      <c r="L16" s="7">
        <v>0</v>
      </c>
      <c r="M16" s="41">
        <v>0</v>
      </c>
      <c r="N16" s="41">
        <v>0</v>
      </c>
      <c r="O16" s="41">
        <v>0</v>
      </c>
      <c r="P16" s="52"/>
      <c r="Q16" s="52"/>
      <c r="R16" s="52">
        <f t="shared" si="7"/>
        <v>5217.931953286693</v>
      </c>
      <c r="S16" s="61" t="s">
        <v>45</v>
      </c>
      <c r="T16" s="63"/>
    </row>
    <row r="17" spans="1:20" ht="12.75" customHeight="1">
      <c r="A17" s="41" t="s">
        <v>55</v>
      </c>
      <c r="B17" s="13" t="s">
        <v>56</v>
      </c>
      <c r="C17" s="9">
        <v>1.5</v>
      </c>
      <c r="D17" s="41">
        <f t="shared" si="0"/>
        <v>8.9140625</v>
      </c>
      <c r="E17" s="41">
        <f t="shared" si="1"/>
        <v>10.4140625</v>
      </c>
      <c r="F17" s="79">
        <f t="shared" si="2"/>
        <v>2.3595766880478893E-5</v>
      </c>
      <c r="G17" s="41">
        <f t="shared" si="3"/>
        <v>0.9391115218430599</v>
      </c>
      <c r="H17" s="41">
        <v>3</v>
      </c>
      <c r="I17" s="41">
        <f t="shared" si="4"/>
        <v>353.434977</v>
      </c>
      <c r="J17" s="41">
        <f t="shared" si="5"/>
        <v>359.89651003746809</v>
      </c>
      <c r="K17" s="41">
        <f t="shared" si="6"/>
        <v>4748.109375</v>
      </c>
      <c r="L17" s="7">
        <v>0</v>
      </c>
      <c r="M17" s="41">
        <v>0</v>
      </c>
      <c r="N17" s="41">
        <v>0</v>
      </c>
      <c r="O17" s="41">
        <v>0</v>
      </c>
      <c r="P17" s="52"/>
      <c r="Q17" s="52"/>
      <c r="R17" s="52">
        <f t="shared" si="7"/>
        <v>5108.005885037468</v>
      </c>
      <c r="S17" s="64" t="s">
        <v>184</v>
      </c>
      <c r="T17" s="65">
        <f>T15-T16</f>
        <v>0</v>
      </c>
    </row>
    <row r="18" spans="1:20" ht="12.75" customHeight="1">
      <c r="A18" s="41" t="s">
        <v>58</v>
      </c>
      <c r="B18" s="13" t="s">
        <v>59</v>
      </c>
      <c r="C18" s="9">
        <v>11200.5</v>
      </c>
      <c r="D18" s="41">
        <f t="shared" si="0"/>
        <v>8.9140625</v>
      </c>
      <c r="E18" s="41">
        <f t="shared" si="1"/>
        <v>11209.4140625</v>
      </c>
      <c r="F18" s="79">
        <f t="shared" si="2"/>
        <v>2.5397842684880358E-2</v>
      </c>
      <c r="G18" s="41">
        <f t="shared" si="3"/>
        <v>1010.8341388582382</v>
      </c>
      <c r="H18" s="41">
        <v>4</v>
      </c>
      <c r="I18" s="41">
        <f t="shared" si="4"/>
        <v>471.24663600000002</v>
      </c>
      <c r="J18" s="41">
        <f t="shared" si="5"/>
        <v>1487.6031963738633</v>
      </c>
      <c r="K18" s="41">
        <f t="shared" si="6"/>
        <v>4748.109375</v>
      </c>
      <c r="L18" s="7">
        <v>0</v>
      </c>
      <c r="M18" s="41">
        <v>0</v>
      </c>
      <c r="N18" s="41">
        <v>0</v>
      </c>
      <c r="O18" s="41">
        <v>0</v>
      </c>
      <c r="P18" s="52"/>
      <c r="Q18" s="52"/>
      <c r="R18" s="52">
        <f t="shared" si="7"/>
        <v>6235.7125713738633</v>
      </c>
      <c r="S18" s="66" t="s">
        <v>54</v>
      </c>
      <c r="T18" s="67">
        <f>T14-T17</f>
        <v>0</v>
      </c>
    </row>
    <row r="19" spans="1:20" ht="12.75" customHeight="1">
      <c r="A19" s="41" t="s">
        <v>61</v>
      </c>
      <c r="B19" s="13" t="s">
        <v>62</v>
      </c>
      <c r="C19" s="9">
        <v>2363.5</v>
      </c>
      <c r="D19" s="41">
        <f t="shared" si="0"/>
        <v>8.9140625</v>
      </c>
      <c r="E19" s="41">
        <f t="shared" si="1"/>
        <v>2372.4140625</v>
      </c>
      <c r="F19" s="79">
        <f t="shared" si="2"/>
        <v>5.3753210298785777E-3</v>
      </c>
      <c r="G19" s="41">
        <f t="shared" si="3"/>
        <v>213.93777698916739</v>
      </c>
      <c r="H19" s="41">
        <v>4</v>
      </c>
      <c r="I19" s="41">
        <f t="shared" si="4"/>
        <v>471.24663600000002</v>
      </c>
      <c r="J19" s="41">
        <f t="shared" si="5"/>
        <v>690.70683450479237</v>
      </c>
      <c r="K19" s="41">
        <f t="shared" si="6"/>
        <v>4748.109375</v>
      </c>
      <c r="L19" s="7">
        <v>0</v>
      </c>
      <c r="M19" s="41">
        <v>0</v>
      </c>
      <c r="N19" s="41">
        <v>0</v>
      </c>
      <c r="O19" s="41">
        <v>0</v>
      </c>
      <c r="P19" s="52"/>
      <c r="Q19" s="52"/>
      <c r="R19" s="52">
        <f t="shared" si="7"/>
        <v>5438.8162095047919</v>
      </c>
      <c r="S19" s="36"/>
      <c r="T19" s="41"/>
    </row>
    <row r="20" spans="1:20" ht="12.75" customHeight="1">
      <c r="A20" s="41" t="s">
        <v>63</v>
      </c>
      <c r="B20" s="13" t="s">
        <v>64</v>
      </c>
      <c r="C20" s="9">
        <v>5665</v>
      </c>
      <c r="D20" s="41">
        <f t="shared" si="0"/>
        <v>8.9140625</v>
      </c>
      <c r="E20" s="41">
        <f t="shared" si="1"/>
        <v>5673.9140625</v>
      </c>
      <c r="F20" s="79">
        <f t="shared" si="2"/>
        <v>1.2855727869755048E-2</v>
      </c>
      <c r="G20" s="41">
        <f t="shared" si="3"/>
        <v>511.65796921625093</v>
      </c>
      <c r="H20" s="41">
        <v>4</v>
      </c>
      <c r="I20" s="41">
        <f t="shared" si="4"/>
        <v>471.24663600000002</v>
      </c>
      <c r="J20" s="41">
        <f t="shared" si="5"/>
        <v>988.42702673187591</v>
      </c>
      <c r="K20" s="41">
        <f t="shared" si="6"/>
        <v>4748.109375</v>
      </c>
      <c r="L20" s="7">
        <v>750</v>
      </c>
      <c r="M20" s="41">
        <v>0</v>
      </c>
      <c r="N20" s="41">
        <v>0</v>
      </c>
      <c r="O20" s="41">
        <v>0</v>
      </c>
      <c r="P20" s="52"/>
      <c r="Q20" s="52"/>
      <c r="R20" s="52">
        <f t="shared" si="7"/>
        <v>6486.5364017318761</v>
      </c>
      <c r="S20" s="36"/>
      <c r="T20" s="41"/>
    </row>
    <row r="21" spans="1:20" ht="12.75" customHeight="1">
      <c r="A21" s="41" t="s">
        <v>65</v>
      </c>
      <c r="B21" s="13" t="s">
        <v>66</v>
      </c>
      <c r="C21" s="9">
        <v>12832.5</v>
      </c>
      <c r="D21" s="41">
        <f t="shared" si="0"/>
        <v>8.9140625</v>
      </c>
      <c r="E21" s="41">
        <f t="shared" si="1"/>
        <v>12841.4140625</v>
      </c>
      <c r="F21" s="79">
        <f t="shared" si="2"/>
        <v>2.9095563103683445E-2</v>
      </c>
      <c r="G21" s="41">
        <f t="shared" si="3"/>
        <v>1158.0034115266012</v>
      </c>
      <c r="H21" s="41">
        <v>3</v>
      </c>
      <c r="I21" s="41">
        <f t="shared" si="4"/>
        <v>353.434977</v>
      </c>
      <c r="J21" s="41">
        <f t="shared" si="5"/>
        <v>1516.9608100422261</v>
      </c>
      <c r="K21" s="41">
        <f t="shared" si="6"/>
        <v>4748.109375</v>
      </c>
      <c r="L21" s="7">
        <v>0</v>
      </c>
      <c r="M21" s="41">
        <v>0</v>
      </c>
      <c r="N21" s="41">
        <v>0</v>
      </c>
      <c r="O21" s="41">
        <v>0</v>
      </c>
      <c r="P21" s="52"/>
      <c r="Q21" s="52"/>
      <c r="R21" s="52">
        <f t="shared" si="7"/>
        <v>6265.0701850422265</v>
      </c>
      <c r="S21" s="36"/>
      <c r="T21" s="41"/>
    </row>
    <row r="22" spans="1:20" ht="12.75" customHeight="1">
      <c r="A22" s="41" t="s">
        <v>67</v>
      </c>
      <c r="B22" s="13" t="s">
        <v>68</v>
      </c>
      <c r="C22" s="9">
        <v>10356</v>
      </c>
      <c r="D22" s="41">
        <f t="shared" si="0"/>
        <v>8.9140625</v>
      </c>
      <c r="E22" s="41">
        <f t="shared" si="1"/>
        <v>10364.9140625</v>
      </c>
      <c r="F22" s="79">
        <f t="shared" si="2"/>
        <v>2.348440831375339E-2</v>
      </c>
      <c r="G22" s="41">
        <f t="shared" si="3"/>
        <v>934.67945088738486</v>
      </c>
      <c r="H22" s="41">
        <v>3</v>
      </c>
      <c r="I22" s="41">
        <f t="shared" si="4"/>
        <v>353.434977</v>
      </c>
      <c r="J22" s="41">
        <f t="shared" si="5"/>
        <v>1293.6368494030098</v>
      </c>
      <c r="K22" s="41">
        <f t="shared" si="6"/>
        <v>4748.109375</v>
      </c>
      <c r="L22" s="7">
        <v>0</v>
      </c>
      <c r="M22" s="41">
        <v>0</v>
      </c>
      <c r="N22" s="41">
        <v>0</v>
      </c>
      <c r="O22" s="41">
        <v>0</v>
      </c>
      <c r="P22" s="52"/>
      <c r="Q22" s="52"/>
      <c r="R22" s="52">
        <f t="shared" si="7"/>
        <v>6041.7462244030103</v>
      </c>
      <c r="S22" s="36"/>
      <c r="T22" s="41"/>
    </row>
    <row r="23" spans="1:20" ht="12.75" customHeight="1">
      <c r="A23" s="41" t="s">
        <v>69</v>
      </c>
      <c r="B23" s="13" t="s">
        <v>70</v>
      </c>
      <c r="C23" s="9">
        <v>13897</v>
      </c>
      <c r="D23" s="41">
        <f t="shared" si="0"/>
        <v>8.9140625</v>
      </c>
      <c r="E23" s="41">
        <f t="shared" si="1"/>
        <v>13905.9140625</v>
      </c>
      <c r="F23" s="79">
        <f t="shared" si="2"/>
        <v>3.1507464688129455E-2</v>
      </c>
      <c r="G23" s="41">
        <f t="shared" si="3"/>
        <v>1253.9970945875523</v>
      </c>
      <c r="H23" s="41">
        <v>4</v>
      </c>
      <c r="I23" s="41">
        <f t="shared" si="4"/>
        <v>471.24663600000002</v>
      </c>
      <c r="J23" s="41">
        <f t="shared" si="5"/>
        <v>1730.7661521031773</v>
      </c>
      <c r="K23" s="41">
        <f t="shared" si="6"/>
        <v>4748.109375</v>
      </c>
      <c r="L23" s="7">
        <v>0</v>
      </c>
      <c r="M23" s="41">
        <v>0</v>
      </c>
      <c r="N23" s="41">
        <v>0</v>
      </c>
      <c r="O23" s="41">
        <v>0</v>
      </c>
      <c r="P23" s="52"/>
      <c r="Q23" s="52"/>
      <c r="R23" s="52">
        <f t="shared" si="7"/>
        <v>6478.8755271031769</v>
      </c>
      <c r="S23" s="36"/>
      <c r="T23" s="41"/>
    </row>
    <row r="24" spans="1:20" ht="12.75" customHeight="1">
      <c r="A24" s="41" t="s">
        <v>71</v>
      </c>
      <c r="B24" s="13" t="s">
        <v>72</v>
      </c>
      <c r="C24" s="9">
        <v>14771</v>
      </c>
      <c r="D24" s="41">
        <f t="shared" si="0"/>
        <v>8.9140625</v>
      </c>
      <c r="E24" s="41">
        <f t="shared" si="1"/>
        <v>14779.9140625</v>
      </c>
      <c r="F24" s="79">
        <f t="shared" si="2"/>
        <v>3.3487738981042382E-2</v>
      </c>
      <c r="G24" s="41">
        <f t="shared" si="3"/>
        <v>1332.8120114454869</v>
      </c>
      <c r="H24" s="41">
        <v>4</v>
      </c>
      <c r="I24" s="41">
        <f t="shared" si="4"/>
        <v>471.24663600000002</v>
      </c>
      <c r="J24" s="41">
        <f t="shared" si="5"/>
        <v>1809.5810689611119</v>
      </c>
      <c r="K24" s="41">
        <f t="shared" si="6"/>
        <v>4748.109375</v>
      </c>
      <c r="L24" s="7">
        <v>0</v>
      </c>
      <c r="M24" s="41">
        <v>0</v>
      </c>
      <c r="N24" s="41">
        <v>0</v>
      </c>
      <c r="O24" s="41">
        <v>0</v>
      </c>
      <c r="P24" s="52"/>
      <c r="Q24" s="52"/>
      <c r="R24" s="52">
        <f t="shared" si="7"/>
        <v>6557.6904439611117</v>
      </c>
      <c r="S24" s="36"/>
      <c r="T24" s="41"/>
    </row>
    <row r="25" spans="1:20" ht="12.75" customHeight="1">
      <c r="A25" s="41" t="s">
        <v>73</v>
      </c>
      <c r="B25" s="13" t="s">
        <v>74</v>
      </c>
      <c r="C25" s="9">
        <v>20576</v>
      </c>
      <c r="D25" s="41">
        <f t="shared" si="0"/>
        <v>8.9140625</v>
      </c>
      <c r="E25" s="41">
        <f t="shared" si="1"/>
        <v>20584.9140625</v>
      </c>
      <c r="F25" s="79">
        <f t="shared" si="2"/>
        <v>4.6640476132483524E-2</v>
      </c>
      <c r="G25" s="41">
        <f t="shared" si="3"/>
        <v>1856.2909500728442</v>
      </c>
      <c r="H25" s="41">
        <v>4</v>
      </c>
      <c r="I25" s="41">
        <f t="shared" si="4"/>
        <v>471.24663600000002</v>
      </c>
      <c r="J25" s="41">
        <f t="shared" si="5"/>
        <v>2333.060007588469</v>
      </c>
      <c r="K25" s="41">
        <f t="shared" si="6"/>
        <v>4748.109375</v>
      </c>
      <c r="L25" s="7">
        <v>0</v>
      </c>
      <c r="M25" s="41">
        <v>0</v>
      </c>
      <c r="N25" s="41">
        <v>0</v>
      </c>
      <c r="O25" s="41">
        <v>0</v>
      </c>
      <c r="P25" s="52"/>
      <c r="Q25" s="52"/>
      <c r="R25" s="52">
        <f t="shared" si="7"/>
        <v>7081.1693825884686</v>
      </c>
      <c r="S25" s="36"/>
      <c r="T25" s="41"/>
    </row>
    <row r="26" spans="1:20" ht="12.75" customHeight="1">
      <c r="A26" s="41" t="s">
        <v>75</v>
      </c>
      <c r="B26" s="13" t="s">
        <v>76</v>
      </c>
      <c r="C26" s="9">
        <v>4303.5</v>
      </c>
      <c r="D26" s="41">
        <f t="shared" si="0"/>
        <v>8.9140625</v>
      </c>
      <c r="E26" s="41">
        <f t="shared" si="1"/>
        <v>4312.4140625</v>
      </c>
      <c r="F26" s="79">
        <f t="shared" si="2"/>
        <v>9.7708955473283284E-3</v>
      </c>
      <c r="G26" s="41">
        <f t="shared" si="3"/>
        <v>388.88164278366747</v>
      </c>
      <c r="H26" s="41">
        <v>3</v>
      </c>
      <c r="I26" s="41">
        <f t="shared" si="4"/>
        <v>353.434977</v>
      </c>
      <c r="J26" s="41">
        <f t="shared" si="5"/>
        <v>747.83904129929249</v>
      </c>
      <c r="K26" s="41">
        <f t="shared" si="6"/>
        <v>4748.109375</v>
      </c>
      <c r="L26" s="7">
        <v>0</v>
      </c>
      <c r="M26" s="41">
        <v>0</v>
      </c>
      <c r="N26" s="41">
        <v>0</v>
      </c>
      <c r="O26" s="41">
        <v>0</v>
      </c>
      <c r="P26" s="52"/>
      <c r="Q26" s="52"/>
      <c r="R26" s="52">
        <f t="shared" si="7"/>
        <v>5495.9484162992921</v>
      </c>
      <c r="S26" s="36"/>
      <c r="T26" s="41"/>
    </row>
    <row r="27" spans="1:20" ht="12.75" customHeight="1">
      <c r="A27" s="41" t="s">
        <v>77</v>
      </c>
      <c r="B27" s="13" t="s">
        <v>78</v>
      </c>
      <c r="C27" s="9">
        <v>7473.5</v>
      </c>
      <c r="D27" s="41">
        <f t="shared" si="0"/>
        <v>8.9140625</v>
      </c>
      <c r="E27" s="41">
        <f t="shared" si="1"/>
        <v>7482.4140625</v>
      </c>
      <c r="F27" s="79">
        <f t="shared" si="2"/>
        <v>1.6953354939243645E-2</v>
      </c>
      <c r="G27" s="41">
        <f t="shared" si="3"/>
        <v>674.74352658189707</v>
      </c>
      <c r="H27" s="41">
        <v>3</v>
      </c>
      <c r="I27" s="41">
        <f t="shared" si="4"/>
        <v>353.434977</v>
      </c>
      <c r="J27" s="41">
        <f t="shared" si="5"/>
        <v>1033.700925097522</v>
      </c>
      <c r="K27" s="41">
        <f t="shared" si="6"/>
        <v>4748.109375</v>
      </c>
      <c r="L27" s="7">
        <v>0</v>
      </c>
      <c r="M27" s="41">
        <v>0</v>
      </c>
      <c r="N27" s="41">
        <v>0</v>
      </c>
      <c r="O27" s="41">
        <v>0</v>
      </c>
      <c r="P27" s="52"/>
      <c r="Q27" s="52"/>
      <c r="R27" s="52">
        <f t="shared" si="7"/>
        <v>5781.8103000975225</v>
      </c>
      <c r="S27" s="36"/>
      <c r="T27" s="41"/>
    </row>
    <row r="28" spans="1:20" ht="12.75" customHeight="1">
      <c r="A28" s="41" t="s">
        <v>79</v>
      </c>
      <c r="B28" s="13" t="s">
        <v>80</v>
      </c>
      <c r="C28" s="9">
        <v>5843</v>
      </c>
      <c r="D28" s="41">
        <f t="shared" si="0"/>
        <v>8.9140625</v>
      </c>
      <c r="E28" s="41">
        <f t="shared" si="1"/>
        <v>5851.9140625</v>
      </c>
      <c r="F28" s="79">
        <f t="shared" si="2"/>
        <v>1.3259033160531366E-2</v>
      </c>
      <c r="G28" s="41">
        <f t="shared" si="3"/>
        <v>527.70951978914832</v>
      </c>
      <c r="H28" s="41">
        <v>3</v>
      </c>
      <c r="I28" s="41">
        <f t="shared" si="4"/>
        <v>353.434977</v>
      </c>
      <c r="J28" s="41">
        <f t="shared" si="5"/>
        <v>886.66691830477328</v>
      </c>
      <c r="K28" s="41">
        <f t="shared" si="6"/>
        <v>4748.109375</v>
      </c>
      <c r="L28" s="7">
        <v>0</v>
      </c>
      <c r="M28" s="41">
        <v>0</v>
      </c>
      <c r="N28" s="41">
        <v>0</v>
      </c>
      <c r="O28" s="41">
        <v>0</v>
      </c>
      <c r="P28" s="52"/>
      <c r="Q28" s="52"/>
      <c r="R28" s="52">
        <f t="shared" si="7"/>
        <v>5634.7762933047734</v>
      </c>
      <c r="S28" s="36"/>
      <c r="T28" s="41"/>
    </row>
    <row r="29" spans="1:20" ht="12.75" customHeight="1">
      <c r="A29" s="41" t="s">
        <v>81</v>
      </c>
      <c r="B29" s="13" t="s">
        <v>82</v>
      </c>
      <c r="C29" s="9">
        <v>9415.5</v>
      </c>
      <c r="D29" s="41">
        <f t="shared" si="0"/>
        <v>8.9140625</v>
      </c>
      <c r="E29" s="41">
        <f t="shared" si="1"/>
        <v>9424.4140625</v>
      </c>
      <c r="F29" s="79">
        <f t="shared" si="2"/>
        <v>2.1353460976814478E-2</v>
      </c>
      <c r="G29" s="41">
        <f t="shared" si="3"/>
        <v>849.86774687721618</v>
      </c>
      <c r="H29" s="41">
        <v>3</v>
      </c>
      <c r="I29" s="41">
        <f t="shared" si="4"/>
        <v>353.434977</v>
      </c>
      <c r="J29" s="41">
        <f t="shared" si="5"/>
        <v>1208.825145392841</v>
      </c>
      <c r="K29" s="41">
        <f t="shared" si="6"/>
        <v>4748.109375</v>
      </c>
      <c r="L29" s="7">
        <v>0</v>
      </c>
      <c r="M29" s="41">
        <v>0</v>
      </c>
      <c r="N29" s="41">
        <v>0</v>
      </c>
      <c r="O29" s="41">
        <v>0</v>
      </c>
      <c r="P29" s="52"/>
      <c r="Q29" s="52"/>
      <c r="R29" s="52">
        <f t="shared" si="7"/>
        <v>5956.9345203928406</v>
      </c>
      <c r="S29" s="36"/>
      <c r="T29" s="41"/>
    </row>
    <row r="30" spans="1:20" ht="12.75" customHeight="1">
      <c r="A30" s="41" t="s">
        <v>83</v>
      </c>
      <c r="B30" s="13" t="s">
        <v>84</v>
      </c>
      <c r="C30" s="9">
        <v>5828.5</v>
      </c>
      <c r="D30" s="41">
        <f t="shared" si="0"/>
        <v>8.9140625</v>
      </c>
      <c r="E30" s="41">
        <f t="shared" si="1"/>
        <v>5837.4140625</v>
      </c>
      <c r="F30" s="79">
        <f t="shared" si="2"/>
        <v>1.322617963965352E-2</v>
      </c>
      <c r="G30" s="41">
        <f t="shared" si="3"/>
        <v>526.40194965821013</v>
      </c>
      <c r="H30" s="41">
        <v>5</v>
      </c>
      <c r="I30" s="41">
        <f t="shared" si="4"/>
        <v>589.05829500000004</v>
      </c>
      <c r="J30" s="41">
        <f t="shared" si="5"/>
        <v>1120.9826661738352</v>
      </c>
      <c r="K30" s="41">
        <f t="shared" si="6"/>
        <v>4748.109375</v>
      </c>
      <c r="L30" s="7">
        <v>0</v>
      </c>
      <c r="M30" s="41">
        <v>0</v>
      </c>
      <c r="N30" s="41">
        <v>0</v>
      </c>
      <c r="O30" s="41">
        <v>0</v>
      </c>
      <c r="P30" s="52"/>
      <c r="Q30" s="52"/>
      <c r="R30" s="52">
        <f t="shared" si="7"/>
        <v>5869.0920411738352</v>
      </c>
      <c r="S30" s="36"/>
      <c r="T30" s="41"/>
    </row>
    <row r="31" spans="1:20" ht="12.75" customHeight="1">
      <c r="A31" s="41" t="s">
        <v>85</v>
      </c>
      <c r="B31" s="13" t="s">
        <v>86</v>
      </c>
      <c r="C31" s="9">
        <v>9979.5</v>
      </c>
      <c r="D31" s="41">
        <f t="shared" si="0"/>
        <v>8.9140625</v>
      </c>
      <c r="E31" s="41">
        <f t="shared" si="1"/>
        <v>9988.4140625</v>
      </c>
      <c r="F31" s="79">
        <f t="shared" si="2"/>
        <v>2.2631349650959663E-2</v>
      </c>
      <c r="G31" s="41">
        <f t="shared" si="3"/>
        <v>900.72771610819461</v>
      </c>
      <c r="H31" s="41">
        <v>3</v>
      </c>
      <c r="I31" s="41">
        <f t="shared" si="4"/>
        <v>353.434977</v>
      </c>
      <c r="J31" s="41">
        <f t="shared" si="5"/>
        <v>1259.6851146238196</v>
      </c>
      <c r="K31" s="41">
        <f t="shared" si="6"/>
        <v>4748.109375</v>
      </c>
      <c r="L31" s="7">
        <v>0</v>
      </c>
      <c r="M31" s="41">
        <v>0</v>
      </c>
      <c r="N31" s="41">
        <v>0</v>
      </c>
      <c r="O31" s="41">
        <v>0</v>
      </c>
      <c r="P31" s="52"/>
      <c r="Q31" s="52"/>
      <c r="R31" s="52">
        <f t="shared" si="7"/>
        <v>6007.7944896238196</v>
      </c>
      <c r="S31" s="36"/>
      <c r="T31" s="41"/>
    </row>
    <row r="32" spans="1:20" ht="12.75" customHeight="1">
      <c r="A32" s="41" t="s">
        <v>87</v>
      </c>
      <c r="B32" s="13" t="s">
        <v>88</v>
      </c>
      <c r="C32" s="9">
        <v>2982</v>
      </c>
      <c r="D32" s="41">
        <f t="shared" si="0"/>
        <v>8.9140625</v>
      </c>
      <c r="E32" s="41">
        <f t="shared" si="1"/>
        <v>2990.9140625</v>
      </c>
      <c r="F32" s="79">
        <f t="shared" si="2"/>
        <v>6.7766936273232535E-3</v>
      </c>
      <c r="G32" s="41">
        <f t="shared" si="3"/>
        <v>269.71240636746552</v>
      </c>
      <c r="H32" s="41">
        <v>3</v>
      </c>
      <c r="I32" s="41">
        <f t="shared" si="4"/>
        <v>353.434977</v>
      </c>
      <c r="J32" s="41">
        <f t="shared" si="5"/>
        <v>628.66980488309059</v>
      </c>
      <c r="K32" s="41">
        <f t="shared" si="6"/>
        <v>4748.109375</v>
      </c>
      <c r="L32" s="7">
        <v>0</v>
      </c>
      <c r="M32" s="41">
        <v>0</v>
      </c>
      <c r="N32" s="41">
        <v>0</v>
      </c>
      <c r="O32" s="41">
        <v>0</v>
      </c>
      <c r="P32" s="52"/>
      <c r="Q32" s="52"/>
      <c r="R32" s="52">
        <f t="shared" si="7"/>
        <v>5376.7791798830904</v>
      </c>
      <c r="S32" s="36"/>
      <c r="T32" s="41"/>
    </row>
    <row r="33" spans="1:20" ht="12.75" customHeight="1">
      <c r="A33" s="41" t="s">
        <v>89</v>
      </c>
      <c r="B33" s="13" t="s">
        <v>90</v>
      </c>
      <c r="C33" s="9">
        <v>11224</v>
      </c>
      <c r="D33" s="41">
        <f t="shared" si="0"/>
        <v>8.9140625</v>
      </c>
      <c r="E33" s="41">
        <f t="shared" si="1"/>
        <v>11232.9140625</v>
      </c>
      <c r="F33" s="79">
        <f t="shared" si="2"/>
        <v>2.5451088046303073E-2</v>
      </c>
      <c r="G33" s="41">
        <f t="shared" si="3"/>
        <v>1012.9533042428623</v>
      </c>
      <c r="H33" s="41">
        <v>3</v>
      </c>
      <c r="I33" s="41">
        <f t="shared" si="4"/>
        <v>353.434977</v>
      </c>
      <c r="J33" s="41">
        <f t="shared" si="5"/>
        <v>1371.9107027584873</v>
      </c>
      <c r="K33" s="41">
        <f t="shared" si="6"/>
        <v>4748.109375</v>
      </c>
      <c r="L33" s="7">
        <v>0</v>
      </c>
      <c r="M33" s="41">
        <v>0</v>
      </c>
      <c r="N33" s="41">
        <v>0</v>
      </c>
      <c r="O33" s="41">
        <v>0</v>
      </c>
      <c r="P33" s="52"/>
      <c r="Q33" s="52"/>
      <c r="R33" s="52">
        <f t="shared" si="7"/>
        <v>6120.0200777584869</v>
      </c>
      <c r="S33" s="36"/>
      <c r="T33" s="41"/>
    </row>
    <row r="34" spans="1:20" ht="12.75" customHeight="1">
      <c r="A34" s="41" t="s">
        <v>91</v>
      </c>
      <c r="B34" s="13" t="s">
        <v>92</v>
      </c>
      <c r="C34" s="9">
        <v>7755</v>
      </c>
      <c r="D34" s="41">
        <f t="shared" si="0"/>
        <v>8.9140625</v>
      </c>
      <c r="E34" s="41">
        <f t="shared" si="1"/>
        <v>7763.9140625</v>
      </c>
      <c r="F34" s="79">
        <f t="shared" si="2"/>
        <v>1.7591166396285968E-2</v>
      </c>
      <c r="G34" s="41">
        <f t="shared" si="3"/>
        <v>700.12842257218153</v>
      </c>
      <c r="H34" s="41">
        <v>4</v>
      </c>
      <c r="I34" s="41">
        <f t="shared" si="4"/>
        <v>471.24663600000002</v>
      </c>
      <c r="J34" s="41">
        <f t="shared" si="5"/>
        <v>1176.8974800878066</v>
      </c>
      <c r="K34" s="41">
        <f t="shared" si="6"/>
        <v>4748.109375</v>
      </c>
      <c r="L34" s="7">
        <v>0</v>
      </c>
      <c r="M34" s="41">
        <v>0</v>
      </c>
      <c r="N34" s="41">
        <v>0</v>
      </c>
      <c r="O34" s="41">
        <v>0</v>
      </c>
      <c r="P34" s="52"/>
      <c r="Q34" s="52"/>
      <c r="R34" s="52">
        <f t="shared" si="7"/>
        <v>5925.0068550878068</v>
      </c>
      <c r="S34" s="36"/>
      <c r="T34" s="41"/>
    </row>
    <row r="35" spans="1:20" ht="12.75" customHeight="1">
      <c r="A35" s="41" t="s">
        <v>93</v>
      </c>
      <c r="B35" s="13" t="s">
        <v>94</v>
      </c>
      <c r="C35" s="9">
        <v>6260.5</v>
      </c>
      <c r="D35" s="41">
        <f t="shared" si="0"/>
        <v>8.9140625</v>
      </c>
      <c r="E35" s="41">
        <f t="shared" si="1"/>
        <v>6269.4140625</v>
      </c>
      <c r="F35" s="79">
        <f t="shared" si="2"/>
        <v>1.4204987985807278E-2</v>
      </c>
      <c r="G35" s="41">
        <f t="shared" si="3"/>
        <v>565.35852183512964</v>
      </c>
      <c r="H35" s="41">
        <v>4</v>
      </c>
      <c r="I35" s="41">
        <f t="shared" si="4"/>
        <v>471.24663600000002</v>
      </c>
      <c r="J35" s="41">
        <f t="shared" si="5"/>
        <v>1042.1275793507546</v>
      </c>
      <c r="K35" s="41">
        <f t="shared" si="6"/>
        <v>4748.109375</v>
      </c>
      <c r="L35" s="7">
        <v>0</v>
      </c>
      <c r="M35" s="41">
        <v>0</v>
      </c>
      <c r="N35" s="41">
        <v>0</v>
      </c>
      <c r="O35" s="41">
        <v>0</v>
      </c>
      <c r="P35" s="52"/>
      <c r="Q35" s="52"/>
      <c r="R35" s="52">
        <f t="shared" si="7"/>
        <v>5790.2369543507548</v>
      </c>
      <c r="S35" s="36"/>
      <c r="T35" s="41"/>
    </row>
    <row r="36" spans="1:20" ht="12.75" customHeight="1">
      <c r="A36" s="41" t="s">
        <v>95</v>
      </c>
      <c r="B36" s="13" t="s">
        <v>96</v>
      </c>
      <c r="C36" s="9">
        <v>0</v>
      </c>
      <c r="D36" s="41">
        <f t="shared" si="0"/>
        <v>8.9140625</v>
      </c>
      <c r="E36" s="41">
        <f t="shared" si="1"/>
        <v>8.9140625</v>
      </c>
      <c r="F36" s="79">
        <f t="shared" si="2"/>
        <v>2.0197126789667229E-5</v>
      </c>
      <c r="G36" s="41">
        <f t="shared" si="3"/>
        <v>0.80384564622875576</v>
      </c>
      <c r="H36" s="41">
        <v>4</v>
      </c>
      <c r="I36" s="41">
        <f t="shared" si="4"/>
        <v>471.24663600000002</v>
      </c>
      <c r="J36" s="41">
        <f t="shared" si="5"/>
        <v>477.57290316185379</v>
      </c>
      <c r="K36" s="41">
        <f t="shared" si="6"/>
        <v>4748.109375</v>
      </c>
      <c r="L36" s="7">
        <v>0</v>
      </c>
      <c r="M36" s="41">
        <v>0</v>
      </c>
      <c r="N36" s="41">
        <v>0</v>
      </c>
      <c r="O36" s="41">
        <v>0</v>
      </c>
      <c r="P36" s="52"/>
      <c r="Q36" s="52"/>
      <c r="R36" s="52">
        <f t="shared" si="7"/>
        <v>5225.6822781618539</v>
      </c>
      <c r="S36" s="36"/>
      <c r="T36" s="41"/>
    </row>
    <row r="37" spans="1:20" ht="12.75" customHeight="1">
      <c r="A37" s="41" t="s">
        <v>97</v>
      </c>
      <c r="B37" s="13" t="s">
        <v>98</v>
      </c>
      <c r="C37" s="9">
        <v>2101.5</v>
      </c>
      <c r="D37" s="41">
        <f t="shared" si="0"/>
        <v>8.9140625</v>
      </c>
      <c r="E37" s="41">
        <f t="shared" si="1"/>
        <v>2110.4140625</v>
      </c>
      <c r="F37" s="79">
        <f t="shared" si="2"/>
        <v>4.781691894016807E-3</v>
      </c>
      <c r="G37" s="41">
        <f t="shared" si="3"/>
        <v>190.31133738186892</v>
      </c>
      <c r="H37" s="41">
        <v>3</v>
      </c>
      <c r="I37" s="41">
        <f t="shared" si="4"/>
        <v>353.434977</v>
      </c>
      <c r="J37" s="41">
        <f t="shared" si="5"/>
        <v>549.26873589749391</v>
      </c>
      <c r="K37" s="41">
        <f t="shared" si="6"/>
        <v>4748.109375</v>
      </c>
      <c r="L37" s="7">
        <v>0</v>
      </c>
      <c r="M37" s="41">
        <v>0</v>
      </c>
      <c r="N37" s="41">
        <v>0</v>
      </c>
      <c r="O37" s="41">
        <v>0</v>
      </c>
      <c r="P37" s="52"/>
      <c r="Q37" s="52"/>
      <c r="R37" s="52">
        <f t="shared" si="7"/>
        <v>5297.3781108974936</v>
      </c>
      <c r="S37" s="36"/>
      <c r="T37" s="41"/>
    </row>
    <row r="38" spans="1:20" ht="12.75" customHeight="1">
      <c r="A38" s="41" t="s">
        <v>99</v>
      </c>
      <c r="B38" s="13" t="s">
        <v>100</v>
      </c>
      <c r="C38" s="9">
        <v>775.5</v>
      </c>
      <c r="D38" s="41">
        <f t="shared" si="0"/>
        <v>8.9140625</v>
      </c>
      <c r="E38" s="41">
        <f t="shared" si="1"/>
        <v>784.4140625</v>
      </c>
      <c r="F38" s="79">
        <f t="shared" si="2"/>
        <v>1.7772940537392971E-3</v>
      </c>
      <c r="G38" s="41">
        <f t="shared" si="3"/>
        <v>70.73630333882403</v>
      </c>
      <c r="H38" s="41">
        <v>3</v>
      </c>
      <c r="I38" s="41">
        <f t="shared" si="4"/>
        <v>353.434977</v>
      </c>
      <c r="J38" s="41">
        <f t="shared" si="5"/>
        <v>429.69370185444905</v>
      </c>
      <c r="K38" s="41">
        <f t="shared" si="6"/>
        <v>4748.109375</v>
      </c>
      <c r="L38" s="7">
        <v>0</v>
      </c>
      <c r="M38" s="41">
        <v>0</v>
      </c>
      <c r="N38" s="41">
        <v>0</v>
      </c>
      <c r="O38" s="41">
        <v>0</v>
      </c>
      <c r="P38" s="52"/>
      <c r="Q38" s="52"/>
      <c r="R38" s="52">
        <f t="shared" si="7"/>
        <v>5177.8030768544486</v>
      </c>
      <c r="S38" s="36"/>
      <c r="T38" s="41"/>
    </row>
    <row r="39" spans="1:20" ht="12.75" customHeight="1">
      <c r="A39" s="41" t="s">
        <v>101</v>
      </c>
      <c r="B39" s="13" t="s">
        <v>102</v>
      </c>
      <c r="C39" s="9">
        <v>34103</v>
      </c>
      <c r="D39" s="41">
        <f t="shared" si="0"/>
        <v>8.9140625</v>
      </c>
      <c r="E39" s="41">
        <f t="shared" si="1"/>
        <v>34111.9140625</v>
      </c>
      <c r="F39" s="79">
        <f t="shared" si="2"/>
        <v>7.7289412471423097E-2</v>
      </c>
      <c r="G39" s="41">
        <f t="shared" si="3"/>
        <v>3076.1186163626394</v>
      </c>
      <c r="H39" s="41">
        <v>4</v>
      </c>
      <c r="I39" s="41">
        <f t="shared" si="4"/>
        <v>471.24663600000002</v>
      </c>
      <c r="J39" s="41">
        <f t="shared" si="5"/>
        <v>3552.8876738782642</v>
      </c>
      <c r="K39" s="41">
        <f t="shared" si="6"/>
        <v>4748.109375</v>
      </c>
      <c r="L39" s="7">
        <v>0</v>
      </c>
      <c r="M39" s="41">
        <v>0</v>
      </c>
      <c r="N39" s="41">
        <v>0</v>
      </c>
      <c r="O39" s="41">
        <v>0</v>
      </c>
      <c r="P39" s="52"/>
      <c r="Q39" s="52"/>
      <c r="R39" s="52">
        <f t="shared" si="7"/>
        <v>8300.9970488782637</v>
      </c>
      <c r="S39" s="36"/>
      <c r="T39" s="41"/>
    </row>
    <row r="40" spans="1:20" ht="12.75" customHeight="1">
      <c r="A40" s="41" t="s">
        <v>103</v>
      </c>
      <c r="B40" s="13" t="s">
        <v>104</v>
      </c>
      <c r="C40" s="9">
        <v>2569</v>
      </c>
      <c r="D40" s="41">
        <f t="shared" si="0"/>
        <v>8.9140625</v>
      </c>
      <c r="E40" s="41">
        <f t="shared" si="1"/>
        <v>2577.9140625</v>
      </c>
      <c r="F40" s="79">
        <f t="shared" si="2"/>
        <v>5.8409347223197759E-3</v>
      </c>
      <c r="G40" s="41">
        <f t="shared" si="3"/>
        <v>232.46920194832708</v>
      </c>
      <c r="H40" s="41">
        <v>4</v>
      </c>
      <c r="I40" s="41">
        <f t="shared" si="4"/>
        <v>471.24663600000002</v>
      </c>
      <c r="J40" s="41">
        <f t="shared" si="5"/>
        <v>709.23825946395209</v>
      </c>
      <c r="K40" s="41">
        <f t="shared" si="6"/>
        <v>4748.109375</v>
      </c>
      <c r="L40" s="7">
        <v>0</v>
      </c>
      <c r="M40" s="41">
        <v>0</v>
      </c>
      <c r="N40" s="41">
        <v>0</v>
      </c>
      <c r="O40" s="41">
        <v>0</v>
      </c>
      <c r="P40" s="52"/>
      <c r="Q40" s="52"/>
      <c r="R40" s="52">
        <f t="shared" si="7"/>
        <v>5457.3476344639521</v>
      </c>
      <c r="S40" s="36"/>
      <c r="T40" s="41"/>
    </row>
    <row r="41" spans="1:20" ht="12.75" customHeight="1">
      <c r="A41" s="41" t="s">
        <v>105</v>
      </c>
      <c r="B41" s="13" t="s">
        <v>106</v>
      </c>
      <c r="C41" s="9">
        <v>2018</v>
      </c>
      <c r="D41" s="41">
        <f t="shared" si="0"/>
        <v>8.9140625</v>
      </c>
      <c r="E41" s="41">
        <f t="shared" si="1"/>
        <v>2026.9140625</v>
      </c>
      <c r="F41" s="79">
        <f t="shared" si="2"/>
        <v>4.5925009289616249E-3</v>
      </c>
      <c r="G41" s="41">
        <f t="shared" si="3"/>
        <v>182.78153697267268</v>
      </c>
      <c r="H41" s="41">
        <v>3</v>
      </c>
      <c r="I41" s="41">
        <f t="shared" si="4"/>
        <v>353.434977</v>
      </c>
      <c r="J41" s="41">
        <f t="shared" si="5"/>
        <v>541.73893548829767</v>
      </c>
      <c r="K41" s="41">
        <f t="shared" si="6"/>
        <v>4748.109375</v>
      </c>
      <c r="L41" s="7">
        <v>0</v>
      </c>
      <c r="M41" s="41">
        <v>0</v>
      </c>
      <c r="N41" s="41">
        <v>0</v>
      </c>
      <c r="O41" s="41">
        <v>0</v>
      </c>
      <c r="P41" s="52"/>
      <c r="Q41" s="52"/>
      <c r="R41" s="52">
        <f t="shared" si="7"/>
        <v>5289.848310488298</v>
      </c>
      <c r="S41" s="36"/>
      <c r="T41" s="41"/>
    </row>
    <row r="42" spans="1:20" ht="12.75" customHeight="1">
      <c r="A42" s="41" t="s">
        <v>107</v>
      </c>
      <c r="B42" s="13" t="s">
        <v>108</v>
      </c>
      <c r="C42" s="9">
        <v>8217</v>
      </c>
      <c r="D42" s="41">
        <f t="shared" si="0"/>
        <v>8.9140625</v>
      </c>
      <c r="E42" s="41">
        <f t="shared" si="1"/>
        <v>8225.9140625</v>
      </c>
      <c r="F42" s="79">
        <f t="shared" si="2"/>
        <v>1.8637947544255958E-2</v>
      </c>
      <c r="G42" s="41">
        <f t="shared" si="3"/>
        <v>741.79031226138716</v>
      </c>
      <c r="H42" s="41">
        <v>3</v>
      </c>
      <c r="I42" s="41">
        <f t="shared" si="4"/>
        <v>353.434977</v>
      </c>
      <c r="J42" s="41">
        <f t="shared" si="5"/>
        <v>1100.7477107770121</v>
      </c>
      <c r="K42" s="41">
        <f t="shared" si="6"/>
        <v>4748.109375</v>
      </c>
      <c r="L42" s="7">
        <v>0</v>
      </c>
      <c r="M42" s="41">
        <v>0</v>
      </c>
      <c r="N42" s="41">
        <v>0</v>
      </c>
      <c r="O42" s="41">
        <v>0</v>
      </c>
      <c r="P42" s="52"/>
      <c r="Q42" s="52"/>
      <c r="R42" s="52">
        <f t="shared" si="7"/>
        <v>5848.8570857770119</v>
      </c>
      <c r="S42" s="36"/>
      <c r="T42" s="41"/>
    </row>
    <row r="43" spans="1:20" ht="12.75" customHeight="1">
      <c r="A43" s="41" t="s">
        <v>109</v>
      </c>
      <c r="B43" s="30" t="s">
        <v>110</v>
      </c>
      <c r="C43" s="9">
        <v>300</v>
      </c>
      <c r="D43" s="41">
        <f t="shared" si="0"/>
        <v>8.9140625</v>
      </c>
      <c r="E43" s="41">
        <f t="shared" si="1"/>
        <v>308.9140625</v>
      </c>
      <c r="F43" s="79">
        <f t="shared" si="2"/>
        <v>6.9992514495199984E-4</v>
      </c>
      <c r="G43" s="41">
        <f t="shared" si="3"/>
        <v>27.857020769089594</v>
      </c>
      <c r="H43" s="41">
        <v>3</v>
      </c>
      <c r="I43" s="41">
        <f t="shared" si="4"/>
        <v>353.434977</v>
      </c>
      <c r="J43" s="41">
        <f t="shared" si="5"/>
        <v>386.81441928471457</v>
      </c>
      <c r="K43" s="41">
        <f t="shared" si="6"/>
        <v>4748.109375</v>
      </c>
      <c r="L43" s="7">
        <v>0</v>
      </c>
      <c r="M43" s="41">
        <v>0</v>
      </c>
      <c r="N43" s="41">
        <v>0</v>
      </c>
      <c r="O43" s="41">
        <v>0</v>
      </c>
      <c r="P43" s="52"/>
      <c r="Q43" s="52"/>
      <c r="R43" s="52">
        <f t="shared" si="7"/>
        <v>5134.9237942847149</v>
      </c>
      <c r="S43" s="36"/>
      <c r="T43" s="41"/>
    </row>
    <row r="44" spans="1:20" ht="12.75" customHeight="1">
      <c r="A44" s="41" t="s">
        <v>111</v>
      </c>
      <c r="B44" s="13" t="s">
        <v>112</v>
      </c>
      <c r="C44" s="9">
        <v>666</v>
      </c>
      <c r="D44" s="41">
        <f t="shared" si="0"/>
        <v>8.9140625</v>
      </c>
      <c r="E44" s="41">
        <f t="shared" si="1"/>
        <v>674.9140625</v>
      </c>
      <c r="F44" s="79">
        <f t="shared" si="2"/>
        <v>1.5291933271100457E-3</v>
      </c>
      <c r="G44" s="41">
        <f t="shared" si="3"/>
        <v>60.861894418979823</v>
      </c>
      <c r="H44" s="41">
        <v>3</v>
      </c>
      <c r="I44" s="41">
        <f t="shared" si="4"/>
        <v>353.434977</v>
      </c>
      <c r="J44" s="41">
        <f t="shared" si="5"/>
        <v>419.81929293460485</v>
      </c>
      <c r="K44" s="41">
        <f t="shared" si="6"/>
        <v>4748.109375</v>
      </c>
      <c r="L44" s="7">
        <v>0</v>
      </c>
      <c r="M44" s="41">
        <v>0</v>
      </c>
      <c r="N44" s="41">
        <v>0</v>
      </c>
      <c r="O44" s="41">
        <v>0</v>
      </c>
      <c r="P44" s="52"/>
      <c r="Q44" s="52"/>
      <c r="R44" s="52">
        <f t="shared" si="7"/>
        <v>5167.9286679346051</v>
      </c>
      <c r="S44" s="36"/>
      <c r="T44" s="41"/>
    </row>
    <row r="45" spans="1:20" ht="12.75" customHeight="1">
      <c r="A45" s="41" t="s">
        <v>113</v>
      </c>
      <c r="B45" s="13" t="s">
        <v>114</v>
      </c>
      <c r="C45" s="9">
        <v>19097.5</v>
      </c>
      <c r="D45" s="41">
        <f t="shared" si="0"/>
        <v>8.9140625</v>
      </c>
      <c r="E45" s="41">
        <f t="shared" si="1"/>
        <v>19106.4140625</v>
      </c>
      <c r="F45" s="79">
        <f t="shared" si="2"/>
        <v>4.3290549882973491E-2</v>
      </c>
      <c r="G45" s="41">
        <f t="shared" si="3"/>
        <v>1722.9638853423448</v>
      </c>
      <c r="H45" s="41">
        <v>3</v>
      </c>
      <c r="I45" s="41">
        <f t="shared" si="4"/>
        <v>353.434977</v>
      </c>
      <c r="J45" s="41">
        <f t="shared" si="5"/>
        <v>2081.9212838579697</v>
      </c>
      <c r="K45" s="41">
        <f t="shared" si="6"/>
        <v>4748.109375</v>
      </c>
      <c r="L45" s="7">
        <v>0</v>
      </c>
      <c r="M45" s="41">
        <v>0</v>
      </c>
      <c r="N45" s="41">
        <v>0</v>
      </c>
      <c r="O45" s="41">
        <v>0</v>
      </c>
      <c r="P45" s="52"/>
      <c r="Q45" s="52"/>
      <c r="R45" s="52">
        <f t="shared" si="7"/>
        <v>6830.0306588579697</v>
      </c>
      <c r="S45" s="36"/>
      <c r="T45" s="41"/>
    </row>
    <row r="46" spans="1:20" ht="12.75" customHeight="1">
      <c r="A46" s="41" t="s">
        <v>115</v>
      </c>
      <c r="B46" s="13" t="s">
        <v>116</v>
      </c>
      <c r="C46" s="9">
        <v>2411.5</v>
      </c>
      <c r="D46" s="41">
        <f t="shared" si="0"/>
        <v>8.9140625</v>
      </c>
      <c r="E46" s="41">
        <f t="shared" si="1"/>
        <v>2420.4140625</v>
      </c>
      <c r="F46" s="79">
        <f t="shared" si="2"/>
        <v>5.4840775127845513E-3</v>
      </c>
      <c r="G46" s="41">
        <f t="shared" si="3"/>
        <v>218.26628500882515</v>
      </c>
      <c r="H46" s="41">
        <v>4</v>
      </c>
      <c r="I46" s="41">
        <f t="shared" si="4"/>
        <v>471.24663600000002</v>
      </c>
      <c r="J46" s="41">
        <f t="shared" si="5"/>
        <v>695.03534252445024</v>
      </c>
      <c r="K46" s="41">
        <f t="shared" si="6"/>
        <v>4748.109375</v>
      </c>
      <c r="L46" s="7">
        <v>0</v>
      </c>
      <c r="M46" s="41">
        <v>0</v>
      </c>
      <c r="N46" s="41">
        <v>0</v>
      </c>
      <c r="O46" s="41">
        <v>0</v>
      </c>
      <c r="P46" s="52"/>
      <c r="Q46" s="52"/>
      <c r="R46" s="52">
        <f t="shared" si="7"/>
        <v>5443.1447175244502</v>
      </c>
      <c r="S46" s="36"/>
      <c r="T46" s="41"/>
    </row>
    <row r="47" spans="1:20" ht="12.75" customHeight="1">
      <c r="A47" s="41" t="s">
        <v>117</v>
      </c>
      <c r="B47" s="13" t="s">
        <v>118</v>
      </c>
      <c r="C47" s="9">
        <v>539.5</v>
      </c>
      <c r="D47" s="41">
        <f t="shared" si="0"/>
        <v>8.9140625</v>
      </c>
      <c r="E47" s="41">
        <f t="shared" si="1"/>
        <v>548.4140625</v>
      </c>
      <c r="F47" s="79">
        <f t="shared" si="2"/>
        <v>1.2425746794515954E-3</v>
      </c>
      <c r="G47" s="41">
        <f t="shared" si="3"/>
        <v>49.454472242173502</v>
      </c>
      <c r="H47" s="41">
        <v>3</v>
      </c>
      <c r="I47" s="41">
        <f t="shared" si="4"/>
        <v>353.434977</v>
      </c>
      <c r="J47" s="41">
        <f t="shared" si="5"/>
        <v>408.41187075779851</v>
      </c>
      <c r="K47" s="41">
        <f t="shared" si="6"/>
        <v>4748.109375</v>
      </c>
      <c r="L47" s="7">
        <v>0</v>
      </c>
      <c r="M47" s="41">
        <v>0</v>
      </c>
      <c r="N47" s="41">
        <v>0</v>
      </c>
      <c r="O47" s="41">
        <v>0</v>
      </c>
      <c r="P47" s="52"/>
      <c r="Q47" s="52"/>
      <c r="R47" s="52">
        <f t="shared" si="7"/>
        <v>5156.5212457577982</v>
      </c>
      <c r="S47" s="36"/>
      <c r="T47" s="41"/>
    </row>
    <row r="48" spans="1:20" ht="12.75" customHeight="1">
      <c r="A48" s="41" t="s">
        <v>119</v>
      </c>
      <c r="B48" s="13" t="s">
        <v>120</v>
      </c>
      <c r="C48" s="9">
        <v>8920.5</v>
      </c>
      <c r="D48" s="41">
        <f t="shared" si="0"/>
        <v>8.9140625</v>
      </c>
      <c r="E48" s="41">
        <f t="shared" si="1"/>
        <v>8929.4140625</v>
      </c>
      <c r="F48" s="79">
        <f t="shared" si="2"/>
        <v>2.0231909746846629E-2</v>
      </c>
      <c r="G48" s="41">
        <f t="shared" si="3"/>
        <v>805.23000792449579</v>
      </c>
      <c r="H48" s="41">
        <v>3</v>
      </c>
      <c r="I48" s="41">
        <f t="shared" si="4"/>
        <v>353.434977</v>
      </c>
      <c r="J48" s="41">
        <f t="shared" si="5"/>
        <v>1164.1874064401209</v>
      </c>
      <c r="K48" s="41">
        <f t="shared" si="6"/>
        <v>4748.109375</v>
      </c>
      <c r="L48" s="7">
        <v>0</v>
      </c>
      <c r="M48" s="41">
        <v>0</v>
      </c>
      <c r="N48" s="41">
        <v>0</v>
      </c>
      <c r="O48" s="41">
        <v>0</v>
      </c>
      <c r="P48" s="52"/>
      <c r="Q48" s="52"/>
      <c r="R48" s="52">
        <f t="shared" si="7"/>
        <v>5912.2967814401209</v>
      </c>
      <c r="S48" s="36"/>
      <c r="T48" s="41"/>
    </row>
    <row r="49" spans="1:20" ht="12.75" customHeight="1">
      <c r="A49" s="41" t="s">
        <v>121</v>
      </c>
      <c r="B49" s="13" t="s">
        <v>122</v>
      </c>
      <c r="C49" s="9">
        <v>8839</v>
      </c>
      <c r="D49" s="41">
        <f t="shared" si="0"/>
        <v>8.9140625</v>
      </c>
      <c r="E49" s="41">
        <f t="shared" si="1"/>
        <v>8847.9140625</v>
      </c>
      <c r="F49" s="79">
        <f t="shared" si="2"/>
        <v>2.0047250301912529E-2</v>
      </c>
      <c r="G49" s="41">
        <f t="shared" si="3"/>
        <v>797.88056201611869</v>
      </c>
      <c r="H49" s="41">
        <v>3</v>
      </c>
      <c r="I49" s="41">
        <f t="shared" si="4"/>
        <v>353.434977</v>
      </c>
      <c r="J49" s="41">
        <f t="shared" si="5"/>
        <v>1156.8379605317436</v>
      </c>
      <c r="K49" s="41">
        <f t="shared" si="6"/>
        <v>4748.109375</v>
      </c>
      <c r="L49" s="7">
        <v>0</v>
      </c>
      <c r="M49" s="41">
        <v>0</v>
      </c>
      <c r="N49" s="41">
        <v>0</v>
      </c>
      <c r="O49" s="41">
        <v>0</v>
      </c>
      <c r="P49" s="52"/>
      <c r="Q49" s="52"/>
      <c r="R49" s="52">
        <f t="shared" si="7"/>
        <v>5904.9473355317441</v>
      </c>
      <c r="S49" s="36"/>
      <c r="T49" s="41"/>
    </row>
    <row r="50" spans="1:20" ht="12.75" customHeight="1">
      <c r="A50" s="41" t="s">
        <v>123</v>
      </c>
      <c r="B50" s="13" t="s">
        <v>124</v>
      </c>
      <c r="C50" s="9">
        <v>3289.5</v>
      </c>
      <c r="D50" s="41">
        <f t="shared" si="0"/>
        <v>8.9140625</v>
      </c>
      <c r="E50" s="41">
        <f t="shared" si="1"/>
        <v>3298.4140625</v>
      </c>
      <c r="F50" s="79">
        <f t="shared" si="2"/>
        <v>7.473414845939645E-3</v>
      </c>
      <c r="G50" s="41">
        <f t="shared" si="3"/>
        <v>297.44191086839788</v>
      </c>
      <c r="H50" s="41">
        <v>4</v>
      </c>
      <c r="I50" s="41">
        <f t="shared" si="4"/>
        <v>471.24663600000002</v>
      </c>
      <c r="J50" s="41">
        <f t="shared" si="5"/>
        <v>774.21096838402286</v>
      </c>
      <c r="K50" s="41">
        <f t="shared" si="6"/>
        <v>4748.109375</v>
      </c>
      <c r="L50" s="7">
        <v>0</v>
      </c>
      <c r="M50" s="41">
        <v>0</v>
      </c>
      <c r="N50" s="41">
        <v>0</v>
      </c>
      <c r="O50" s="41">
        <v>0</v>
      </c>
      <c r="P50" s="52"/>
      <c r="Q50" s="52"/>
      <c r="R50" s="52">
        <f t="shared" si="7"/>
        <v>5522.3203433840226</v>
      </c>
      <c r="S50" s="36"/>
      <c r="T50" s="41"/>
    </row>
    <row r="51" spans="1:20" ht="12.75" customHeight="1">
      <c r="A51" s="41" t="s">
        <v>125</v>
      </c>
      <c r="B51" s="13" t="s">
        <v>126</v>
      </c>
      <c r="C51" s="9">
        <v>5211.5</v>
      </c>
      <c r="D51" s="41">
        <f t="shared" si="0"/>
        <v>8.9140625</v>
      </c>
      <c r="E51" s="41">
        <f t="shared" si="1"/>
        <v>5220.4140625</v>
      </c>
      <c r="F51" s="79">
        <f t="shared" si="2"/>
        <v>1.1828205682299656E-2</v>
      </c>
      <c r="G51" s="41">
        <f t="shared" si="3"/>
        <v>470.76258615552632</v>
      </c>
      <c r="H51" s="41">
        <v>4</v>
      </c>
      <c r="I51" s="41">
        <f t="shared" si="4"/>
        <v>471.24663600000002</v>
      </c>
      <c r="J51" s="41">
        <f t="shared" si="5"/>
        <v>947.53164367115141</v>
      </c>
      <c r="K51" s="41">
        <f t="shared" si="6"/>
        <v>4748.109375</v>
      </c>
      <c r="L51" s="7">
        <v>0</v>
      </c>
      <c r="M51" s="41">
        <v>0</v>
      </c>
      <c r="N51" s="41">
        <v>0</v>
      </c>
      <c r="O51" s="41">
        <v>0</v>
      </c>
      <c r="P51" s="52"/>
      <c r="Q51" s="52"/>
      <c r="R51" s="52">
        <f t="shared" si="7"/>
        <v>5695.641018671151</v>
      </c>
      <c r="S51" s="36"/>
      <c r="T51" s="41"/>
    </row>
    <row r="52" spans="1:20" ht="12.75" customHeight="1">
      <c r="A52" s="41" t="s">
        <v>127</v>
      </c>
      <c r="B52" s="13" t="s">
        <v>128</v>
      </c>
      <c r="C52" s="9">
        <v>14157.5</v>
      </c>
      <c r="D52" s="41">
        <f t="shared" si="0"/>
        <v>8.9140625</v>
      </c>
      <c r="E52" s="41">
        <f t="shared" si="1"/>
        <v>14166.4140625</v>
      </c>
      <c r="F52" s="79">
        <f t="shared" si="2"/>
        <v>3.2097695183900418E-2</v>
      </c>
      <c r="G52" s="41">
        <f t="shared" si="3"/>
        <v>1277.4882683192366</v>
      </c>
      <c r="H52" s="41">
        <v>4</v>
      </c>
      <c r="I52" s="41">
        <f t="shared" si="4"/>
        <v>471.24663600000002</v>
      </c>
      <c r="J52" s="41">
        <f t="shared" si="5"/>
        <v>1754.2573258348616</v>
      </c>
      <c r="K52" s="41">
        <f t="shared" si="6"/>
        <v>4748.109375</v>
      </c>
      <c r="L52" s="7">
        <v>0</v>
      </c>
      <c r="M52" s="41">
        <v>0</v>
      </c>
      <c r="N52" s="41">
        <v>0</v>
      </c>
      <c r="O52" s="41">
        <v>0</v>
      </c>
      <c r="P52" s="52"/>
      <c r="Q52" s="52"/>
      <c r="R52" s="52">
        <f t="shared" si="7"/>
        <v>6502.3667008348621</v>
      </c>
      <c r="S52" s="36"/>
      <c r="T52" s="41"/>
    </row>
    <row r="53" spans="1:20" ht="12.75" customHeight="1">
      <c r="A53" s="41" t="s">
        <v>129</v>
      </c>
      <c r="B53" s="13" t="s">
        <v>130</v>
      </c>
      <c r="C53" s="9">
        <v>4636</v>
      </c>
      <c r="D53" s="41">
        <f t="shared" si="0"/>
        <v>8.9140625</v>
      </c>
      <c r="E53" s="41">
        <f t="shared" si="1"/>
        <v>4644.9140625</v>
      </c>
      <c r="F53" s="79">
        <f t="shared" si="2"/>
        <v>1.0524260767458249E-2</v>
      </c>
      <c r="G53" s="41">
        <f t="shared" si="3"/>
        <v>418.86557854483829</v>
      </c>
      <c r="H53" s="41">
        <v>3</v>
      </c>
      <c r="I53" s="41">
        <f t="shared" si="4"/>
        <v>353.434977</v>
      </c>
      <c r="J53" s="41">
        <f t="shared" si="5"/>
        <v>777.82297706046324</v>
      </c>
      <c r="K53" s="41">
        <f t="shared" si="6"/>
        <v>4748.109375</v>
      </c>
      <c r="L53" s="7">
        <v>0</v>
      </c>
      <c r="M53" s="41">
        <v>0</v>
      </c>
      <c r="N53" s="41">
        <v>0</v>
      </c>
      <c r="O53" s="41">
        <v>0</v>
      </c>
      <c r="P53" s="52"/>
      <c r="Q53" s="52"/>
      <c r="R53" s="52">
        <f t="shared" si="7"/>
        <v>5525.932352060463</v>
      </c>
      <c r="S53" s="36"/>
      <c r="T53" s="41"/>
    </row>
    <row r="54" spans="1:20" ht="12.75" customHeight="1">
      <c r="A54" s="41" t="s">
        <v>131</v>
      </c>
      <c r="B54" s="13" t="s">
        <v>132</v>
      </c>
      <c r="C54" s="9">
        <v>14526.5</v>
      </c>
      <c r="D54" s="41">
        <f t="shared" si="0"/>
        <v>8.9140625</v>
      </c>
      <c r="E54" s="41">
        <f t="shared" si="1"/>
        <v>14535.4140625</v>
      </c>
      <c r="F54" s="79">
        <f t="shared" si="2"/>
        <v>3.2933760646240082E-2</v>
      </c>
      <c r="G54" s="41">
        <f t="shared" si="3"/>
        <v>1310.7636737203552</v>
      </c>
      <c r="H54" s="41">
        <v>3</v>
      </c>
      <c r="I54" s="41">
        <f t="shared" si="4"/>
        <v>353.434977</v>
      </c>
      <c r="J54" s="41">
        <f t="shared" si="5"/>
        <v>1669.72107223598</v>
      </c>
      <c r="K54" s="41">
        <f t="shared" si="6"/>
        <v>4748.109375</v>
      </c>
      <c r="L54" s="7">
        <v>0</v>
      </c>
      <c r="M54" s="41">
        <v>0</v>
      </c>
      <c r="N54" s="41">
        <v>0</v>
      </c>
      <c r="O54" s="41">
        <v>0</v>
      </c>
      <c r="P54" s="52"/>
      <c r="Q54" s="52"/>
      <c r="R54" s="52">
        <f t="shared" si="7"/>
        <v>6417.8304472359796</v>
      </c>
      <c r="S54" s="36"/>
      <c r="T54" s="41"/>
    </row>
    <row r="55" spans="1:20" ht="12.75" customHeight="1">
      <c r="A55" s="41" t="s">
        <v>133</v>
      </c>
      <c r="B55" s="13" t="s">
        <v>134</v>
      </c>
      <c r="C55" s="9">
        <v>15228</v>
      </c>
      <c r="D55" s="41">
        <f t="shared" si="0"/>
        <v>8.9140625</v>
      </c>
      <c r="E55" s="41">
        <f t="shared" si="1"/>
        <v>15236.9140625</v>
      </c>
      <c r="F55" s="79">
        <f t="shared" si="2"/>
        <v>3.4523191328709672E-2</v>
      </c>
      <c r="G55" s="41">
        <f t="shared" si="3"/>
        <v>1374.0230148826449</v>
      </c>
      <c r="H55" s="41">
        <v>4</v>
      </c>
      <c r="I55" s="41">
        <f t="shared" si="4"/>
        <v>471.24663600000002</v>
      </c>
      <c r="J55" s="41">
        <f t="shared" si="5"/>
        <v>1850.79207239827</v>
      </c>
      <c r="K55" s="41">
        <f t="shared" si="6"/>
        <v>4748.109375</v>
      </c>
      <c r="L55" s="7">
        <v>0</v>
      </c>
      <c r="M55" s="41">
        <v>0</v>
      </c>
      <c r="N55" s="41">
        <v>0</v>
      </c>
      <c r="O55" s="41">
        <v>0</v>
      </c>
      <c r="P55" s="52"/>
      <c r="Q55" s="52"/>
      <c r="R55" s="52">
        <f t="shared" si="7"/>
        <v>6598.9014473982697</v>
      </c>
      <c r="S55" s="36"/>
      <c r="T55" s="41"/>
    </row>
    <row r="56" spans="1:20" ht="12.75" customHeight="1">
      <c r="A56" s="41" t="s">
        <v>135</v>
      </c>
      <c r="B56" s="13" t="s">
        <v>136</v>
      </c>
      <c r="C56" s="9">
        <v>9860.5</v>
      </c>
      <c r="D56" s="41">
        <f t="shared" si="0"/>
        <v>8.9140625</v>
      </c>
      <c r="E56" s="41">
        <f t="shared" si="1"/>
        <v>9869.4140625</v>
      </c>
      <c r="F56" s="79">
        <f t="shared" si="2"/>
        <v>2.2361724203755269E-2</v>
      </c>
      <c r="G56" s="41">
        <f t="shared" si="3"/>
        <v>889.99662330945966</v>
      </c>
      <c r="H56" s="41">
        <v>4</v>
      </c>
      <c r="I56" s="41">
        <f t="shared" si="4"/>
        <v>471.24663600000002</v>
      </c>
      <c r="J56" s="41">
        <f t="shared" si="5"/>
        <v>1366.7656808250847</v>
      </c>
      <c r="K56" s="41">
        <f t="shared" si="6"/>
        <v>4748.109375</v>
      </c>
      <c r="L56" s="7">
        <v>0</v>
      </c>
      <c r="M56" s="41">
        <v>0</v>
      </c>
      <c r="N56" s="41">
        <v>0</v>
      </c>
      <c r="O56" s="41">
        <v>0</v>
      </c>
      <c r="P56" s="52"/>
      <c r="Q56" s="52"/>
      <c r="R56" s="52">
        <f t="shared" si="7"/>
        <v>6114.8750558250849</v>
      </c>
      <c r="S56" s="36"/>
      <c r="T56" s="41"/>
    </row>
    <row r="57" spans="1:20" ht="12.75" customHeight="1">
      <c r="A57" s="41" t="s">
        <v>137</v>
      </c>
      <c r="B57" s="13" t="s">
        <v>138</v>
      </c>
      <c r="C57" s="9">
        <v>11485.5</v>
      </c>
      <c r="D57" s="41">
        <f t="shared" si="0"/>
        <v>8.9140625</v>
      </c>
      <c r="E57" s="41">
        <f t="shared" si="1"/>
        <v>11494.4140625</v>
      </c>
      <c r="F57" s="79">
        <f t="shared" si="2"/>
        <v>2.6043584302134572E-2</v>
      </c>
      <c r="G57" s="41">
        <f t="shared" si="3"/>
        <v>1036.5346552249559</v>
      </c>
      <c r="H57" s="41">
        <v>4</v>
      </c>
      <c r="I57" s="41">
        <f t="shared" si="4"/>
        <v>471.24663600000002</v>
      </c>
      <c r="J57" s="41">
        <f t="shared" si="5"/>
        <v>1513.303712740581</v>
      </c>
      <c r="K57" s="41">
        <f t="shared" si="6"/>
        <v>4748.109375</v>
      </c>
      <c r="L57" s="7">
        <v>0</v>
      </c>
      <c r="M57" s="41">
        <v>0</v>
      </c>
      <c r="N57" s="41">
        <v>0</v>
      </c>
      <c r="O57" s="41">
        <v>0</v>
      </c>
      <c r="P57" s="52"/>
      <c r="Q57" s="52"/>
      <c r="R57" s="52">
        <f t="shared" si="7"/>
        <v>6261.4130877405805</v>
      </c>
      <c r="S57" s="36"/>
      <c r="T57" s="41"/>
    </row>
    <row r="58" spans="1:20" ht="12.75" customHeight="1">
      <c r="A58" s="41" t="s">
        <v>139</v>
      </c>
      <c r="B58" s="13" t="s">
        <v>140</v>
      </c>
      <c r="C58" s="9">
        <v>2147</v>
      </c>
      <c r="D58" s="41">
        <f t="shared" si="0"/>
        <v>8.9140625</v>
      </c>
      <c r="E58" s="41">
        <f t="shared" si="1"/>
        <v>2155.9140625</v>
      </c>
      <c r="F58" s="79">
        <f t="shared" si="2"/>
        <v>4.8847839767714278E-3</v>
      </c>
      <c r="G58" s="41">
        <f t="shared" si="3"/>
        <v>194.41440227550282</v>
      </c>
      <c r="H58" s="41">
        <v>3</v>
      </c>
      <c r="I58" s="41">
        <f t="shared" si="4"/>
        <v>353.434977</v>
      </c>
      <c r="J58" s="41">
        <f t="shared" si="5"/>
        <v>553.37180079112784</v>
      </c>
      <c r="K58" s="41">
        <f t="shared" si="6"/>
        <v>4748.109375</v>
      </c>
      <c r="L58" s="7">
        <v>0</v>
      </c>
      <c r="M58" s="41">
        <v>0</v>
      </c>
      <c r="N58" s="41">
        <v>0</v>
      </c>
      <c r="O58" s="41">
        <v>0</v>
      </c>
      <c r="P58" s="52"/>
      <c r="Q58" s="52"/>
      <c r="R58" s="52">
        <f t="shared" si="7"/>
        <v>5301.4811757911275</v>
      </c>
      <c r="S58" s="36"/>
      <c r="T58" s="41"/>
    </row>
    <row r="59" spans="1:20" ht="12.75" customHeight="1">
      <c r="A59" s="41" t="s">
        <v>141</v>
      </c>
      <c r="B59" s="13" t="s">
        <v>142</v>
      </c>
      <c r="C59" s="9">
        <v>13170</v>
      </c>
      <c r="D59" s="41">
        <f t="shared" si="0"/>
        <v>8.9140625</v>
      </c>
      <c r="E59" s="41">
        <f t="shared" si="1"/>
        <v>13178.9140625</v>
      </c>
      <c r="F59" s="79">
        <f t="shared" si="2"/>
        <v>2.9860257124116069E-2</v>
      </c>
      <c r="G59" s="41">
        <f t="shared" si="3"/>
        <v>1188.4382335398195</v>
      </c>
      <c r="H59" s="41">
        <v>3</v>
      </c>
      <c r="I59" s="41">
        <f t="shared" si="4"/>
        <v>353.434977</v>
      </c>
      <c r="J59" s="41">
        <f t="shared" si="5"/>
        <v>1547.3956320554444</v>
      </c>
      <c r="K59" s="41">
        <f t="shared" si="6"/>
        <v>4748.109375</v>
      </c>
      <c r="L59" s="7">
        <v>0</v>
      </c>
      <c r="M59" s="41">
        <v>0</v>
      </c>
      <c r="N59" s="41">
        <v>0</v>
      </c>
      <c r="O59" s="41">
        <v>0</v>
      </c>
      <c r="P59" s="52"/>
      <c r="Q59" s="52"/>
      <c r="R59" s="52">
        <f t="shared" si="7"/>
        <v>6295.5050070554444</v>
      </c>
      <c r="S59" s="36"/>
      <c r="T59" s="41"/>
    </row>
    <row r="60" spans="1:20" ht="12.75" customHeight="1">
      <c r="A60" s="41" t="s">
        <v>143</v>
      </c>
      <c r="B60" s="13" t="s">
        <v>144</v>
      </c>
      <c r="C60" s="9">
        <v>1555.5</v>
      </c>
      <c r="D60" s="41">
        <f t="shared" si="0"/>
        <v>8.9140625</v>
      </c>
      <c r="E60" s="41">
        <f t="shared" si="1"/>
        <v>1564.4140625</v>
      </c>
      <c r="F60" s="79">
        <f t="shared" si="2"/>
        <v>3.5445869009613621E-3</v>
      </c>
      <c r="G60" s="41">
        <f t="shared" si="3"/>
        <v>141.07455865826222</v>
      </c>
      <c r="H60" s="41">
        <v>3</v>
      </c>
      <c r="I60" s="41">
        <f t="shared" si="4"/>
        <v>353.434977</v>
      </c>
      <c r="J60" s="41">
        <f t="shared" si="5"/>
        <v>500.03195717388724</v>
      </c>
      <c r="K60" s="41">
        <f t="shared" si="6"/>
        <v>4748.109375</v>
      </c>
      <c r="L60" s="7">
        <v>0</v>
      </c>
      <c r="M60" s="41">
        <v>0</v>
      </c>
      <c r="N60" s="41">
        <v>0</v>
      </c>
      <c r="O60" s="41">
        <v>0</v>
      </c>
      <c r="P60" s="52"/>
      <c r="Q60" s="52"/>
      <c r="R60" s="52">
        <f t="shared" si="7"/>
        <v>5248.1413321738873</v>
      </c>
      <c r="S60" s="36"/>
      <c r="T60" s="41"/>
    </row>
    <row r="61" spans="1:20" ht="12.75" customHeight="1">
      <c r="A61" s="41" t="s">
        <v>145</v>
      </c>
      <c r="B61" s="13" t="s">
        <v>146</v>
      </c>
      <c r="C61" s="9">
        <v>1027</v>
      </c>
      <c r="D61" s="41">
        <f t="shared" si="0"/>
        <v>8.9140625</v>
      </c>
      <c r="E61" s="41">
        <f t="shared" si="1"/>
        <v>1035.9140625</v>
      </c>
      <c r="F61" s="79">
        <f t="shared" si="2"/>
        <v>2.347132708965386E-3</v>
      </c>
      <c r="G61" s="41">
        <f t="shared" si="3"/>
        <v>93.415881816822363</v>
      </c>
      <c r="H61" s="41">
        <v>3</v>
      </c>
      <c r="I61" s="41">
        <f t="shared" si="4"/>
        <v>353.434977</v>
      </c>
      <c r="J61" s="41">
        <f t="shared" si="5"/>
        <v>452.37328033244739</v>
      </c>
      <c r="K61" s="41">
        <f t="shared" si="6"/>
        <v>4748.109375</v>
      </c>
      <c r="L61" s="7">
        <v>0</v>
      </c>
      <c r="M61" s="41">
        <v>0</v>
      </c>
      <c r="N61" s="41">
        <v>0</v>
      </c>
      <c r="O61" s="41">
        <v>0</v>
      </c>
      <c r="P61" s="52"/>
      <c r="Q61" s="52"/>
      <c r="R61" s="52">
        <f t="shared" si="7"/>
        <v>5200.4826553324474</v>
      </c>
      <c r="S61" s="36"/>
      <c r="T61" s="41"/>
    </row>
    <row r="62" spans="1:20" ht="12.75" customHeight="1">
      <c r="A62" s="41" t="s">
        <v>147</v>
      </c>
      <c r="B62" s="13" t="s">
        <v>148</v>
      </c>
      <c r="C62" s="9">
        <v>6809</v>
      </c>
      <c r="D62" s="41">
        <f t="shared" si="0"/>
        <v>8.9140625</v>
      </c>
      <c r="E62" s="41">
        <f t="shared" si="1"/>
        <v>6817.9140625</v>
      </c>
      <c r="F62" s="79">
        <f t="shared" si="2"/>
        <v>1.5447757379014077E-2</v>
      </c>
      <c r="G62" s="41">
        <f t="shared" si="3"/>
        <v>614.82074368476026</v>
      </c>
      <c r="H62" s="41">
        <v>4</v>
      </c>
      <c r="I62" s="41">
        <f t="shared" si="4"/>
        <v>471.24663600000002</v>
      </c>
      <c r="J62" s="41">
        <f t="shared" si="5"/>
        <v>1091.5898012003852</v>
      </c>
      <c r="K62" s="41">
        <f t="shared" si="6"/>
        <v>4748.109375</v>
      </c>
      <c r="L62" s="7">
        <v>0</v>
      </c>
      <c r="M62" s="41">
        <v>0</v>
      </c>
      <c r="N62" s="41">
        <v>0</v>
      </c>
      <c r="O62" s="41">
        <v>0</v>
      </c>
      <c r="P62" s="52"/>
      <c r="Q62" s="52"/>
      <c r="R62" s="52">
        <f t="shared" si="7"/>
        <v>5839.6991762003854</v>
      </c>
      <c r="S62" s="36"/>
      <c r="T62" s="41"/>
    </row>
    <row r="63" spans="1:20" ht="12.75" customHeight="1">
      <c r="A63" s="41" t="s">
        <v>149</v>
      </c>
      <c r="B63" s="13" t="s">
        <v>36</v>
      </c>
      <c r="C63" s="9">
        <v>301.5</v>
      </c>
      <c r="D63" s="41">
        <f t="shared" si="0"/>
        <v>8.9140625</v>
      </c>
      <c r="E63" s="41">
        <f t="shared" si="1"/>
        <v>310.4140625</v>
      </c>
      <c r="F63" s="79">
        <f t="shared" si="2"/>
        <v>7.0332378504281152E-4</v>
      </c>
      <c r="G63" s="41">
        <f t="shared" si="3"/>
        <v>27.992286644703899</v>
      </c>
      <c r="H63" s="41">
        <v>3</v>
      </c>
      <c r="I63" s="41">
        <f t="shared" si="4"/>
        <v>353.434977</v>
      </c>
      <c r="J63" s="41">
        <f t="shared" si="5"/>
        <v>386.9496851603289</v>
      </c>
      <c r="K63" s="41">
        <f t="shared" si="6"/>
        <v>4748.109375</v>
      </c>
      <c r="L63" s="7">
        <v>750</v>
      </c>
      <c r="M63" s="41">
        <v>0</v>
      </c>
      <c r="N63" s="41">
        <v>0</v>
      </c>
      <c r="O63" s="41">
        <v>0</v>
      </c>
      <c r="P63" s="52"/>
      <c r="Q63" s="52"/>
      <c r="R63" s="52">
        <f t="shared" si="7"/>
        <v>5885.059060160329</v>
      </c>
      <c r="S63" s="36"/>
      <c r="T63" s="41"/>
    </row>
    <row r="64" spans="1:20" ht="12.75" customHeight="1">
      <c r="A64" s="41" t="s">
        <v>150</v>
      </c>
      <c r="B64" s="13" t="s">
        <v>151</v>
      </c>
      <c r="C64" s="9">
        <v>2699</v>
      </c>
      <c r="D64" s="41">
        <f t="shared" si="0"/>
        <v>8.9140625</v>
      </c>
      <c r="E64" s="41">
        <f t="shared" si="1"/>
        <v>2707.9140625</v>
      </c>
      <c r="F64" s="79">
        <f t="shared" si="2"/>
        <v>6.1354835301901198E-3</v>
      </c>
      <c r="G64" s="41">
        <f t="shared" si="3"/>
        <v>244.19224450156676</v>
      </c>
      <c r="H64" s="41">
        <v>3</v>
      </c>
      <c r="I64" s="41">
        <f t="shared" si="4"/>
        <v>353.434977</v>
      </c>
      <c r="J64" s="41">
        <f t="shared" si="5"/>
        <v>603.14964301719181</v>
      </c>
      <c r="K64" s="41">
        <f t="shared" si="6"/>
        <v>4748.109375</v>
      </c>
      <c r="L64" s="7">
        <v>0</v>
      </c>
      <c r="M64" s="41">
        <v>0</v>
      </c>
      <c r="N64" s="41">
        <v>0</v>
      </c>
      <c r="O64" s="41">
        <v>0</v>
      </c>
      <c r="P64" s="52"/>
      <c r="Q64" s="52"/>
      <c r="R64" s="52">
        <f t="shared" si="7"/>
        <v>5351.2590180171919</v>
      </c>
      <c r="S64" s="36"/>
      <c r="T64" s="41"/>
    </row>
    <row r="65" spans="1:20" ht="12.75" customHeight="1">
      <c r="A65" s="41" t="s">
        <v>152</v>
      </c>
      <c r="B65" s="13" t="s">
        <v>153</v>
      </c>
      <c r="C65" s="9">
        <v>1229</v>
      </c>
      <c r="D65" s="41">
        <f t="shared" si="0"/>
        <v>8.9140625</v>
      </c>
      <c r="E65" s="41">
        <f t="shared" si="1"/>
        <v>1237.9140625</v>
      </c>
      <c r="F65" s="79">
        <f t="shared" si="2"/>
        <v>2.80481624119469E-3</v>
      </c>
      <c r="G65" s="41">
        <f t="shared" si="3"/>
        <v>111.63168639954866</v>
      </c>
      <c r="H65" s="41">
        <v>3</v>
      </c>
      <c r="I65" s="41">
        <f t="shared" si="4"/>
        <v>353.434977</v>
      </c>
      <c r="J65" s="41">
        <f t="shared" si="5"/>
        <v>470.58908491517366</v>
      </c>
      <c r="K65" s="41">
        <f t="shared" si="6"/>
        <v>4748.109375</v>
      </c>
      <c r="L65" s="7">
        <v>0</v>
      </c>
      <c r="M65" s="41">
        <v>0</v>
      </c>
      <c r="N65" s="41">
        <v>0</v>
      </c>
      <c r="O65" s="41">
        <v>0</v>
      </c>
      <c r="P65" s="52"/>
      <c r="Q65" s="52"/>
      <c r="R65" s="52">
        <f t="shared" si="7"/>
        <v>5218.6984599151738</v>
      </c>
      <c r="S65" s="36"/>
      <c r="T65" s="41"/>
    </row>
    <row r="66" spans="1:20" ht="12.75" customHeight="1">
      <c r="A66" s="41" t="s">
        <v>154</v>
      </c>
      <c r="B66" s="13" t="s">
        <v>155</v>
      </c>
      <c r="C66" s="9">
        <v>3429.5</v>
      </c>
      <c r="D66" s="41">
        <f t="shared" si="0"/>
        <v>8.9140625</v>
      </c>
      <c r="E66" s="41">
        <f t="shared" si="1"/>
        <v>3438.4140625</v>
      </c>
      <c r="F66" s="79">
        <f t="shared" si="2"/>
        <v>7.7906212544153995E-3</v>
      </c>
      <c r="G66" s="41">
        <f t="shared" si="3"/>
        <v>310.0667259257329</v>
      </c>
      <c r="H66" s="41">
        <v>4</v>
      </c>
      <c r="I66" s="41">
        <f t="shared" si="4"/>
        <v>471.24663600000002</v>
      </c>
      <c r="J66" s="41">
        <f t="shared" si="5"/>
        <v>786.83578344135799</v>
      </c>
      <c r="K66" s="41">
        <f t="shared" si="6"/>
        <v>4748.109375</v>
      </c>
      <c r="L66" s="7">
        <v>0</v>
      </c>
      <c r="M66" s="41">
        <v>0</v>
      </c>
      <c r="N66" s="41">
        <v>0</v>
      </c>
      <c r="O66" s="41">
        <v>0</v>
      </c>
      <c r="P66" s="52"/>
      <c r="Q66" s="52"/>
      <c r="R66" s="52">
        <f t="shared" si="7"/>
        <v>5534.9451584413582</v>
      </c>
      <c r="S66" s="36"/>
      <c r="T66" s="41"/>
    </row>
    <row r="67" spans="1:20" ht="12.75" customHeight="1">
      <c r="A67" s="41" t="s">
        <v>156</v>
      </c>
      <c r="B67" s="13" t="s">
        <v>157</v>
      </c>
      <c r="C67" s="9">
        <v>3190.5</v>
      </c>
      <c r="D67" s="41">
        <f t="shared" si="0"/>
        <v>8.9140625</v>
      </c>
      <c r="E67" s="41">
        <f t="shared" si="1"/>
        <v>3199.4140625</v>
      </c>
      <c r="F67" s="79">
        <f t="shared" si="2"/>
        <v>7.2491045999460747E-3</v>
      </c>
      <c r="G67" s="41">
        <f t="shared" si="3"/>
        <v>288.51436307785377</v>
      </c>
      <c r="H67" s="41">
        <v>4</v>
      </c>
      <c r="I67" s="41">
        <f t="shared" si="4"/>
        <v>471.24663600000002</v>
      </c>
      <c r="J67" s="41">
        <f t="shared" si="5"/>
        <v>765.28342059347881</v>
      </c>
      <c r="K67" s="41">
        <f t="shared" si="6"/>
        <v>4748.109375</v>
      </c>
      <c r="L67" s="7">
        <v>0</v>
      </c>
      <c r="M67" s="41">
        <v>0</v>
      </c>
      <c r="N67" s="41">
        <v>0</v>
      </c>
      <c r="O67" s="41">
        <v>0</v>
      </c>
      <c r="P67" s="52"/>
      <c r="Q67" s="52"/>
      <c r="R67" s="52">
        <f t="shared" si="7"/>
        <v>5513.3927955934787</v>
      </c>
      <c r="S67" s="36"/>
      <c r="T67" s="41"/>
    </row>
    <row r="68" spans="1:20" ht="12.75" customHeight="1">
      <c r="A68" s="41" t="s">
        <v>158</v>
      </c>
      <c r="B68" s="13" t="s">
        <v>159</v>
      </c>
      <c r="C68" s="9">
        <v>10371.5</v>
      </c>
      <c r="D68" s="41">
        <f t="shared" si="0"/>
        <v>8.9140625</v>
      </c>
      <c r="E68" s="41">
        <f t="shared" si="1"/>
        <v>10380.4140625</v>
      </c>
      <c r="F68" s="79">
        <f t="shared" si="2"/>
        <v>2.3519527594691777E-2</v>
      </c>
      <c r="G68" s="41">
        <f t="shared" si="3"/>
        <v>936.07719826873267</v>
      </c>
      <c r="H68" s="41">
        <v>4</v>
      </c>
      <c r="I68" s="41">
        <f t="shared" si="4"/>
        <v>471.24663600000002</v>
      </c>
      <c r="J68" s="41">
        <f t="shared" si="5"/>
        <v>1412.8462557843577</v>
      </c>
      <c r="K68" s="41">
        <f t="shared" si="6"/>
        <v>4748.109375</v>
      </c>
      <c r="L68" s="7">
        <v>0</v>
      </c>
      <c r="M68" s="41">
        <v>0</v>
      </c>
      <c r="N68" s="41">
        <v>0</v>
      </c>
      <c r="O68" s="41">
        <v>0</v>
      </c>
      <c r="P68" s="52"/>
      <c r="Q68" s="52"/>
      <c r="R68" s="52">
        <f t="shared" si="7"/>
        <v>6160.9556307843577</v>
      </c>
      <c r="S68" s="36"/>
      <c r="T68" s="41"/>
    </row>
    <row r="69" spans="1:20" ht="12.75" customHeight="1">
      <c r="A69" s="41" t="s">
        <v>160</v>
      </c>
      <c r="B69" s="13" t="s">
        <v>161</v>
      </c>
      <c r="C69" s="9">
        <v>8509.5</v>
      </c>
      <c r="D69" s="41">
        <f t="shared" si="0"/>
        <v>8.9140625</v>
      </c>
      <c r="E69" s="41">
        <f t="shared" si="1"/>
        <v>8518.4140625</v>
      </c>
      <c r="F69" s="79">
        <f t="shared" si="2"/>
        <v>1.9300682361964232E-2</v>
      </c>
      <c r="G69" s="41">
        <f t="shared" si="3"/>
        <v>768.16715800617646</v>
      </c>
      <c r="H69" s="41">
        <v>3</v>
      </c>
      <c r="I69" s="41">
        <f t="shared" si="4"/>
        <v>353.434977</v>
      </c>
      <c r="J69" s="41">
        <f t="shared" si="5"/>
        <v>1127.1245565218014</v>
      </c>
      <c r="K69" s="41">
        <f t="shared" si="6"/>
        <v>4748.109375</v>
      </c>
      <c r="L69" s="7">
        <v>0</v>
      </c>
      <c r="M69" s="41">
        <v>0</v>
      </c>
      <c r="N69" s="41">
        <v>0</v>
      </c>
      <c r="O69" s="41">
        <v>0</v>
      </c>
      <c r="P69" s="52"/>
      <c r="Q69" s="52"/>
      <c r="R69" s="52">
        <f t="shared" si="7"/>
        <v>5875.2339315218014</v>
      </c>
      <c r="S69" s="36"/>
      <c r="T69" s="41"/>
    </row>
    <row r="70" spans="1:20" ht="12.75" customHeight="1">
      <c r="A70" s="41"/>
      <c r="B70" s="78" t="s">
        <v>162</v>
      </c>
      <c r="C70" s="41">
        <f t="shared" ref="C70:O70" si="8">SUM(C3:C69)</f>
        <v>441353</v>
      </c>
      <c r="D70" s="41">
        <f t="shared" si="8"/>
        <v>570.5</v>
      </c>
      <c r="E70" s="41">
        <f t="shared" si="8"/>
        <v>441353</v>
      </c>
      <c r="F70" s="79">
        <f t="shared" si="8"/>
        <v>0.99999999999999989</v>
      </c>
      <c r="G70" s="41">
        <f t="shared" si="8"/>
        <v>39799.999999999993</v>
      </c>
      <c r="H70" s="41">
        <f t="shared" si="8"/>
        <v>223</v>
      </c>
      <c r="I70" s="41">
        <f t="shared" si="8"/>
        <v>26271.999957000018</v>
      </c>
      <c r="J70" s="41">
        <f t="shared" si="8"/>
        <v>66071.999956999993</v>
      </c>
      <c r="K70" s="41">
        <f t="shared" si="8"/>
        <v>303879</v>
      </c>
      <c r="L70" s="41">
        <f t="shared" si="8"/>
        <v>3000</v>
      </c>
      <c r="M70" s="41">
        <f t="shared" si="8"/>
        <v>0</v>
      </c>
      <c r="N70" s="41">
        <f t="shared" si="8"/>
        <v>0</v>
      </c>
      <c r="O70" s="41">
        <f t="shared" si="8"/>
        <v>0</v>
      </c>
      <c r="P70" s="41"/>
      <c r="Q70" s="41"/>
      <c r="R70" s="41">
        <f>SUM(R3:R69)</f>
        <v>372950.99995700008</v>
      </c>
      <c r="S70" s="36"/>
      <c r="T70" s="41"/>
    </row>
  </sheetData>
  <mergeCells count="1">
    <mergeCell ref="B1:T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X64"/>
  <sheetViews>
    <sheetView workbookViewId="0"/>
  </sheetViews>
  <sheetFormatPr baseColWidth="10" defaultColWidth="14.5" defaultRowHeight="15" customHeight="1"/>
  <cols>
    <col min="1" max="1" width="36.1640625" customWidth="1"/>
    <col min="2" max="2" width="14.5" hidden="1"/>
  </cols>
  <sheetData>
    <row r="1" spans="1:76">
      <c r="A1" s="90" t="s">
        <v>194</v>
      </c>
      <c r="B1" s="90"/>
      <c r="C1" s="90" t="str">
        <f t="array" ref="C1:BN1">TRANSPOSE('INCOME-EXPENSE-CYCLES'!A3:A66)</f>
        <v>F1</v>
      </c>
      <c r="D1" s="90" t="str">
        <v>F2</v>
      </c>
      <c r="E1" s="90" t="str">
        <v>F3</v>
      </c>
      <c r="F1" s="90" t="str">
        <v>F4</v>
      </c>
      <c r="G1" s="90" t="str">
        <v>F5</v>
      </c>
      <c r="H1" s="90" t="str">
        <v>F6</v>
      </c>
      <c r="I1" s="90" t="str">
        <v>F7</v>
      </c>
      <c r="J1" s="90" t="str">
        <v>F8</v>
      </c>
      <c r="K1" s="90" t="str">
        <v>F9</v>
      </c>
      <c r="L1" s="90" t="str">
        <v>F10</v>
      </c>
      <c r="M1" s="90" t="str">
        <v>F11</v>
      </c>
      <c r="N1" s="90" t="str">
        <v>F12</v>
      </c>
      <c r="O1" s="90" t="str">
        <v>F13</v>
      </c>
      <c r="P1" s="90" t="str">
        <v>F14</v>
      </c>
      <c r="Q1" s="90" t="str">
        <v>F15</v>
      </c>
      <c r="R1" s="90" t="str">
        <v>F16</v>
      </c>
      <c r="S1" s="90" t="str">
        <v>G1</v>
      </c>
      <c r="T1" s="90" t="str">
        <v>G2</v>
      </c>
      <c r="U1" s="90" t="str">
        <v>G3</v>
      </c>
      <c r="V1" s="90" t="str">
        <v>G4</v>
      </c>
      <c r="W1" s="90" t="str">
        <v>G5</v>
      </c>
      <c r="X1" s="90" t="str">
        <v>G6</v>
      </c>
      <c r="Y1" s="90" t="str">
        <v>G7</v>
      </c>
      <c r="Z1" s="90" t="str">
        <v>G8</v>
      </c>
      <c r="AA1" s="90" t="str">
        <v>G9</v>
      </c>
      <c r="AB1" s="90" t="str">
        <v>G10</v>
      </c>
      <c r="AC1" s="90" t="str">
        <v>G11</v>
      </c>
      <c r="AD1" s="90" t="str">
        <v>G12</v>
      </c>
      <c r="AE1" s="90" t="str">
        <v>G13</v>
      </c>
      <c r="AF1" s="90" t="str">
        <v>G14</v>
      </c>
      <c r="AG1" s="90" t="str">
        <v>G15</v>
      </c>
      <c r="AH1" s="90" t="str">
        <v>G16</v>
      </c>
      <c r="AI1" s="90" t="str">
        <v>S1</v>
      </c>
      <c r="AJ1" s="90" t="str">
        <v>S2</v>
      </c>
      <c r="AK1" s="90" t="str">
        <v>S3</v>
      </c>
      <c r="AL1" s="90" t="str">
        <v>S4</v>
      </c>
      <c r="AM1" s="90" t="str">
        <v>S5</v>
      </c>
      <c r="AN1" s="90" t="str">
        <v>S6</v>
      </c>
      <c r="AO1" s="90" t="str">
        <v>S7</v>
      </c>
      <c r="AP1" s="90" t="str">
        <v>S8</v>
      </c>
      <c r="AQ1" s="90" t="str">
        <v>S9</v>
      </c>
      <c r="AR1" s="90" t="str">
        <v>S10</v>
      </c>
      <c r="AS1" s="90" t="str">
        <v>S11</v>
      </c>
      <c r="AT1" s="90" t="str">
        <v>S12</v>
      </c>
      <c r="AU1" s="90" t="str">
        <v>S13</v>
      </c>
      <c r="AV1" s="90" t="str">
        <v>S14</v>
      </c>
      <c r="AW1" s="90" t="str">
        <v>S15</v>
      </c>
      <c r="AX1" s="90" t="str">
        <v>S16</v>
      </c>
      <c r="AY1" s="90" t="str">
        <v>T1</v>
      </c>
      <c r="AZ1" s="90" t="str">
        <v>T2</v>
      </c>
      <c r="BA1" s="90" t="str">
        <v>T3</v>
      </c>
      <c r="BB1" s="90" t="str">
        <v>T4</v>
      </c>
      <c r="BC1" s="90" t="str">
        <v>T5</v>
      </c>
      <c r="BD1" s="90" t="str">
        <v>T6</v>
      </c>
      <c r="BE1" s="90" t="str">
        <v>T7</v>
      </c>
      <c r="BF1" s="90" t="str">
        <v>T8</v>
      </c>
      <c r="BG1" s="90" t="str">
        <v>T9</v>
      </c>
      <c r="BH1" s="90" t="str">
        <v>T10</v>
      </c>
      <c r="BI1" s="90" t="str">
        <v>T11</v>
      </c>
      <c r="BJ1" s="90" t="str">
        <v>T12</v>
      </c>
      <c r="BK1" s="90" t="str">
        <v>T13</v>
      </c>
      <c r="BL1" s="90" t="str">
        <v>T14</v>
      </c>
      <c r="BM1" s="90" t="str">
        <v>T15</v>
      </c>
      <c r="BN1" s="90" t="str">
        <v>T16</v>
      </c>
      <c r="BO1" s="90"/>
      <c r="BP1" s="90"/>
      <c r="BQ1" s="90"/>
      <c r="BR1" s="90"/>
      <c r="BS1" s="90"/>
      <c r="BT1" s="90"/>
      <c r="BU1" s="90"/>
      <c r="BV1" s="90"/>
      <c r="BW1" s="90"/>
      <c r="BX1" s="90"/>
    </row>
    <row r="2" spans="1:76">
      <c r="A2" s="40" t="s">
        <v>195</v>
      </c>
      <c r="C2" s="91">
        <f t="array" ref="C2:BN2">TRANSPOSE('July2025-EXPENSE'!E6:E69)</f>
        <v>4320.9140625</v>
      </c>
      <c r="D2" s="91">
        <v>17020.4140625</v>
      </c>
      <c r="E2" s="91">
        <v>17240.4140625</v>
      </c>
      <c r="F2" s="91">
        <v>3644.9140625</v>
      </c>
      <c r="G2" s="91">
        <v>724.4140625</v>
      </c>
      <c r="H2" s="91">
        <v>3971.4140625</v>
      </c>
      <c r="I2" s="91">
        <v>904.4140625</v>
      </c>
      <c r="J2" s="91">
        <v>157.4140625</v>
      </c>
      <c r="K2" s="91">
        <v>2316.9140625</v>
      </c>
      <c r="L2" s="91">
        <v>3229.9140625</v>
      </c>
      <c r="M2" s="91">
        <v>1229.4140625</v>
      </c>
      <c r="N2" s="91">
        <v>10.4140625</v>
      </c>
      <c r="O2" s="91">
        <v>11209.4140625</v>
      </c>
      <c r="P2" s="91">
        <v>2372.4140625</v>
      </c>
      <c r="Q2" s="91">
        <v>5673.9140625</v>
      </c>
      <c r="R2" s="91">
        <v>12841.4140625</v>
      </c>
      <c r="S2" s="91">
        <v>10364.9140625</v>
      </c>
      <c r="T2" s="91">
        <v>13905.9140625</v>
      </c>
      <c r="U2" s="91">
        <v>14779.9140625</v>
      </c>
      <c r="V2" s="91">
        <v>20584.9140625</v>
      </c>
      <c r="W2" s="91">
        <v>4312.4140625</v>
      </c>
      <c r="X2" s="91">
        <v>7482.4140625</v>
      </c>
      <c r="Y2" s="91">
        <v>5851.9140625</v>
      </c>
      <c r="Z2" s="91">
        <v>9424.4140625</v>
      </c>
      <c r="AA2" s="91">
        <v>5837.4140625</v>
      </c>
      <c r="AB2" s="91">
        <v>9988.4140625</v>
      </c>
      <c r="AC2" s="91">
        <v>2990.9140625</v>
      </c>
      <c r="AD2" s="91">
        <v>11232.9140625</v>
      </c>
      <c r="AE2" s="91">
        <v>7763.9140625</v>
      </c>
      <c r="AF2" s="91">
        <v>6269.4140625</v>
      </c>
      <c r="AG2" s="91">
        <v>8.9140625</v>
      </c>
      <c r="AH2" s="91">
        <v>2110.4140625</v>
      </c>
      <c r="AI2" s="91">
        <v>784.4140625</v>
      </c>
      <c r="AJ2" s="91">
        <v>34111.9140625</v>
      </c>
      <c r="AK2" s="91">
        <v>2577.9140625</v>
      </c>
      <c r="AL2" s="91">
        <v>2026.9140625</v>
      </c>
      <c r="AM2" s="91">
        <v>8225.9140625</v>
      </c>
      <c r="AN2" s="91">
        <v>308.9140625</v>
      </c>
      <c r="AO2" s="91">
        <v>674.9140625</v>
      </c>
      <c r="AP2" s="91">
        <v>19106.4140625</v>
      </c>
      <c r="AQ2" s="91">
        <v>2420.4140625</v>
      </c>
      <c r="AR2" s="91">
        <v>548.4140625</v>
      </c>
      <c r="AS2" s="91">
        <v>8929.4140625</v>
      </c>
      <c r="AT2" s="91">
        <v>8847.9140625</v>
      </c>
      <c r="AU2" s="91">
        <v>3298.4140625</v>
      </c>
      <c r="AV2" s="91">
        <v>5220.4140625</v>
      </c>
      <c r="AW2" s="91">
        <v>14166.4140625</v>
      </c>
      <c r="AX2" s="91">
        <v>4644.9140625</v>
      </c>
      <c r="AY2" s="91">
        <v>14535.4140625</v>
      </c>
      <c r="AZ2" s="91">
        <v>15236.9140625</v>
      </c>
      <c r="BA2" s="91">
        <v>9869.4140625</v>
      </c>
      <c r="BB2" s="91">
        <v>11494.4140625</v>
      </c>
      <c r="BC2" s="91">
        <v>2155.9140625</v>
      </c>
      <c r="BD2" s="91">
        <v>13178.9140625</v>
      </c>
      <c r="BE2" s="91">
        <v>1564.4140625</v>
      </c>
      <c r="BF2" s="91">
        <v>1035.9140625</v>
      </c>
      <c r="BG2" s="91">
        <v>6817.9140625</v>
      </c>
      <c r="BH2" s="91">
        <v>310.4140625</v>
      </c>
      <c r="BI2" s="91">
        <v>2707.9140625</v>
      </c>
      <c r="BJ2" s="91">
        <v>1237.9140625</v>
      </c>
      <c r="BK2" s="91">
        <v>3438.4140625</v>
      </c>
      <c r="BL2" s="91">
        <v>3199.4140625</v>
      </c>
      <c r="BM2" s="91">
        <v>10380.4140625</v>
      </c>
      <c r="BN2" s="91">
        <v>8518.4140625</v>
      </c>
    </row>
    <row r="3" spans="1:76">
      <c r="A3" s="40" t="s">
        <v>196</v>
      </c>
      <c r="C3" s="92">
        <f t="array" ref="C3:BN3">TRANSPOSE('July2025-EXPENSE'!F6:F69)</f>
        <v>9.790154507842928E-3</v>
      </c>
      <c r="D3" s="92">
        <v>3.856417439668474E-2</v>
      </c>
      <c r="E3" s="92">
        <v>3.9062641610003786E-2</v>
      </c>
      <c r="F3" s="92">
        <v>8.2585007069171396E-3</v>
      </c>
      <c r="G3" s="92">
        <v>1.6413484501068307E-3</v>
      </c>
      <c r="H3" s="92">
        <v>8.9982713666838104E-3</v>
      </c>
      <c r="I3" s="92">
        <v>2.0491852610042302E-3</v>
      </c>
      <c r="J3" s="92">
        <v>3.566624957800219E-4</v>
      </c>
      <c r="K3" s="92">
        <v>5.2495713465185462E-3</v>
      </c>
      <c r="L3" s="92">
        <v>7.3182102817925783E-3</v>
      </c>
      <c r="M3" s="92">
        <v>2.7855572806800904E-3</v>
      </c>
      <c r="N3" s="92">
        <v>2.3595766880478893E-5</v>
      </c>
      <c r="O3" s="92">
        <v>2.5397842684880358E-2</v>
      </c>
      <c r="P3" s="92">
        <v>5.3753210298785777E-3</v>
      </c>
      <c r="Q3" s="92">
        <v>1.2855727869755048E-2</v>
      </c>
      <c r="R3" s="92">
        <v>2.9095563103683445E-2</v>
      </c>
      <c r="S3" s="92">
        <v>2.348440831375339E-2</v>
      </c>
      <c r="T3" s="92">
        <v>3.1507464688129455E-2</v>
      </c>
      <c r="U3" s="92">
        <v>3.3487738981042382E-2</v>
      </c>
      <c r="V3" s="92">
        <v>4.6640476132483524E-2</v>
      </c>
      <c r="W3" s="92">
        <v>9.7708955473283284E-3</v>
      </c>
      <c r="X3" s="92">
        <v>1.6953354939243645E-2</v>
      </c>
      <c r="Y3" s="92">
        <v>1.3259033160531366E-2</v>
      </c>
      <c r="Z3" s="92">
        <v>2.1353460976814478E-2</v>
      </c>
      <c r="AA3" s="92">
        <v>1.322617963965352E-2</v>
      </c>
      <c r="AB3" s="92">
        <v>2.2631349650959663E-2</v>
      </c>
      <c r="AC3" s="92">
        <v>6.7766936273232535E-3</v>
      </c>
      <c r="AD3" s="92">
        <v>2.5451088046303073E-2</v>
      </c>
      <c r="AE3" s="92">
        <v>1.7591166396285968E-2</v>
      </c>
      <c r="AF3" s="92">
        <v>1.4204987985807278E-2</v>
      </c>
      <c r="AG3" s="92">
        <v>2.0197126789667229E-5</v>
      </c>
      <c r="AH3" s="92">
        <v>4.781691894016807E-3</v>
      </c>
      <c r="AI3" s="92">
        <v>1.7772940537392971E-3</v>
      </c>
      <c r="AJ3" s="92">
        <v>7.7289412471423097E-2</v>
      </c>
      <c r="AK3" s="92">
        <v>5.8409347223197759E-3</v>
      </c>
      <c r="AL3" s="92">
        <v>4.5925009289616249E-3</v>
      </c>
      <c r="AM3" s="92">
        <v>1.8637947544255958E-2</v>
      </c>
      <c r="AN3" s="92">
        <v>6.9992514495199984E-4</v>
      </c>
      <c r="AO3" s="92">
        <v>1.5291933271100457E-3</v>
      </c>
      <c r="AP3" s="92">
        <v>4.3290549882973491E-2</v>
      </c>
      <c r="AQ3" s="92">
        <v>5.4840775127845513E-3</v>
      </c>
      <c r="AR3" s="92">
        <v>1.2425746794515954E-3</v>
      </c>
      <c r="AS3" s="92">
        <v>2.0231909746846629E-2</v>
      </c>
      <c r="AT3" s="92">
        <v>2.0047250301912529E-2</v>
      </c>
      <c r="AU3" s="92">
        <v>7.473414845939645E-3</v>
      </c>
      <c r="AV3" s="92">
        <v>1.1828205682299656E-2</v>
      </c>
      <c r="AW3" s="92">
        <v>3.2097695183900418E-2</v>
      </c>
      <c r="AX3" s="92">
        <v>1.0524260767458249E-2</v>
      </c>
      <c r="AY3" s="92">
        <v>3.2933760646240082E-2</v>
      </c>
      <c r="AZ3" s="92">
        <v>3.4523191328709672E-2</v>
      </c>
      <c r="BA3" s="92">
        <v>2.2361724203755269E-2</v>
      </c>
      <c r="BB3" s="92">
        <v>2.6043584302134572E-2</v>
      </c>
      <c r="BC3" s="92">
        <v>4.8847839767714278E-3</v>
      </c>
      <c r="BD3" s="92">
        <v>2.9860257124116069E-2</v>
      </c>
      <c r="BE3" s="92">
        <v>3.5445869009613621E-3</v>
      </c>
      <c r="BF3" s="92">
        <v>2.347132708965386E-3</v>
      </c>
      <c r="BG3" s="92">
        <v>1.5447757379014077E-2</v>
      </c>
      <c r="BH3" s="92">
        <v>7.0332378504281152E-4</v>
      </c>
      <c r="BI3" s="92">
        <v>6.1354835301901198E-3</v>
      </c>
      <c r="BJ3" s="92">
        <v>2.80481624119469E-3</v>
      </c>
      <c r="BK3" s="92">
        <v>7.7906212544153995E-3</v>
      </c>
      <c r="BL3" s="92">
        <v>7.2491045999460747E-3</v>
      </c>
      <c r="BM3" s="92">
        <v>2.3519527594691777E-2</v>
      </c>
      <c r="BN3" s="92">
        <v>1.9300682361964232E-2</v>
      </c>
    </row>
    <row r="4" spans="1:76">
      <c r="A4" s="40" t="s">
        <v>197</v>
      </c>
      <c r="C4" s="91">
        <f t="array" ref="C4:BN4">TRANSPOSE('July2025-EXPENSE'!I6:I69)</f>
        <v>353.434977</v>
      </c>
      <c r="D4" s="91">
        <v>471.24663600000002</v>
      </c>
      <c r="E4" s="91">
        <v>471.24663600000002</v>
      </c>
      <c r="F4" s="91">
        <v>471.24663600000002</v>
      </c>
      <c r="G4" s="91">
        <v>353.434977</v>
      </c>
      <c r="H4" s="91">
        <v>353.434977</v>
      </c>
      <c r="I4" s="91">
        <v>353.434977</v>
      </c>
      <c r="J4" s="91">
        <v>353.434977</v>
      </c>
      <c r="K4" s="91">
        <v>471.24663600000002</v>
      </c>
      <c r="L4" s="91">
        <v>353.434977</v>
      </c>
      <c r="M4" s="91">
        <v>353.434977</v>
      </c>
      <c r="N4" s="91">
        <v>353.434977</v>
      </c>
      <c r="O4" s="91">
        <v>471.24663600000002</v>
      </c>
      <c r="P4" s="91">
        <v>471.24663600000002</v>
      </c>
      <c r="Q4" s="91">
        <v>471.24663600000002</v>
      </c>
      <c r="R4" s="91">
        <v>353.434977</v>
      </c>
      <c r="S4" s="91">
        <v>353.434977</v>
      </c>
      <c r="T4" s="91">
        <v>471.24663600000002</v>
      </c>
      <c r="U4" s="91">
        <v>471.24663600000002</v>
      </c>
      <c r="V4" s="91">
        <v>471.24663600000002</v>
      </c>
      <c r="W4" s="91">
        <v>353.434977</v>
      </c>
      <c r="X4" s="91">
        <v>353.434977</v>
      </c>
      <c r="Y4" s="91">
        <v>353.434977</v>
      </c>
      <c r="Z4" s="91">
        <v>353.434977</v>
      </c>
      <c r="AA4" s="91">
        <v>589.05829500000004</v>
      </c>
      <c r="AB4" s="91">
        <v>353.434977</v>
      </c>
      <c r="AC4" s="91">
        <v>353.434977</v>
      </c>
      <c r="AD4" s="91">
        <v>353.434977</v>
      </c>
      <c r="AE4" s="91">
        <v>471.24663600000002</v>
      </c>
      <c r="AF4" s="91">
        <v>471.24663600000002</v>
      </c>
      <c r="AG4" s="91">
        <v>471.24663600000002</v>
      </c>
      <c r="AH4" s="91">
        <v>353.434977</v>
      </c>
      <c r="AI4" s="91">
        <v>353.434977</v>
      </c>
      <c r="AJ4" s="91">
        <v>471.24663600000002</v>
      </c>
      <c r="AK4" s="91">
        <v>471.24663600000002</v>
      </c>
      <c r="AL4" s="91">
        <v>353.434977</v>
      </c>
      <c r="AM4" s="91">
        <v>353.434977</v>
      </c>
      <c r="AN4" s="91">
        <v>353.434977</v>
      </c>
      <c r="AO4" s="91">
        <v>353.434977</v>
      </c>
      <c r="AP4" s="91">
        <v>353.434977</v>
      </c>
      <c r="AQ4" s="91">
        <v>471.24663600000002</v>
      </c>
      <c r="AR4" s="91">
        <v>353.434977</v>
      </c>
      <c r="AS4" s="91">
        <v>353.434977</v>
      </c>
      <c r="AT4" s="91">
        <v>353.434977</v>
      </c>
      <c r="AU4" s="91">
        <v>471.24663600000002</v>
      </c>
      <c r="AV4" s="91">
        <v>471.24663600000002</v>
      </c>
      <c r="AW4" s="91">
        <v>471.24663600000002</v>
      </c>
      <c r="AX4" s="91">
        <v>353.434977</v>
      </c>
      <c r="AY4" s="91">
        <v>353.434977</v>
      </c>
      <c r="AZ4" s="91">
        <v>471.24663600000002</v>
      </c>
      <c r="BA4" s="91">
        <v>471.24663600000002</v>
      </c>
      <c r="BB4" s="91">
        <v>471.24663600000002</v>
      </c>
      <c r="BC4" s="91">
        <v>353.434977</v>
      </c>
      <c r="BD4" s="91">
        <v>353.434977</v>
      </c>
      <c r="BE4" s="91">
        <v>353.434977</v>
      </c>
      <c r="BF4" s="91">
        <v>353.434977</v>
      </c>
      <c r="BG4" s="91">
        <v>471.24663600000002</v>
      </c>
      <c r="BH4" s="91">
        <v>353.434977</v>
      </c>
      <c r="BI4" s="91">
        <v>353.434977</v>
      </c>
      <c r="BJ4" s="91">
        <v>353.434977</v>
      </c>
      <c r="BK4" s="91">
        <v>471.24663600000002</v>
      </c>
      <c r="BL4" s="91">
        <v>471.24663600000002</v>
      </c>
      <c r="BM4" s="91">
        <v>471.24663600000002</v>
      </c>
      <c r="BN4" s="91">
        <v>353.434977</v>
      </c>
    </row>
    <row r="5" spans="1:76">
      <c r="A5" s="40" t="s">
        <v>198</v>
      </c>
      <c r="C5" s="91">
        <f>'July2025-EXPENSE'!$T$9</f>
        <v>5.5224215156250001</v>
      </c>
      <c r="D5" s="91">
        <f>'July2025-EXPENSE'!$T$9</f>
        <v>5.5224215156250001</v>
      </c>
      <c r="E5" s="91">
        <f>'July2025-EXPENSE'!$T$9</f>
        <v>5.5224215156250001</v>
      </c>
      <c r="F5" s="91">
        <f>'July2025-EXPENSE'!$T$9</f>
        <v>5.5224215156250001</v>
      </c>
      <c r="G5" s="91">
        <f>'July2025-EXPENSE'!$T$9</f>
        <v>5.5224215156250001</v>
      </c>
      <c r="H5" s="91">
        <f>'July2025-EXPENSE'!$T$9</f>
        <v>5.5224215156250001</v>
      </c>
      <c r="I5" s="91">
        <f>'July2025-EXPENSE'!$T$9</f>
        <v>5.5224215156250001</v>
      </c>
      <c r="J5" s="91">
        <f>'July2025-EXPENSE'!$T$9</f>
        <v>5.5224215156250001</v>
      </c>
      <c r="K5" s="91">
        <f>'July2025-EXPENSE'!$T$9</f>
        <v>5.5224215156250001</v>
      </c>
      <c r="L5" s="91">
        <f>'July2025-EXPENSE'!$T$9</f>
        <v>5.5224215156250001</v>
      </c>
      <c r="M5" s="91">
        <f>'July2025-EXPENSE'!$T$9</f>
        <v>5.5224215156250001</v>
      </c>
      <c r="N5" s="91">
        <f>'July2025-EXPENSE'!$T$9</f>
        <v>5.5224215156250001</v>
      </c>
      <c r="O5" s="91">
        <f>'July2025-EXPENSE'!$T$9</f>
        <v>5.5224215156250001</v>
      </c>
      <c r="P5" s="91">
        <f>'July2025-EXPENSE'!$T$9</f>
        <v>5.5224215156250001</v>
      </c>
      <c r="Q5" s="91">
        <f>'July2025-EXPENSE'!$T$9</f>
        <v>5.5224215156250001</v>
      </c>
      <c r="R5" s="91">
        <f>'July2025-EXPENSE'!$T$9</f>
        <v>5.5224215156250001</v>
      </c>
      <c r="S5" s="91">
        <f>'July2025-EXPENSE'!$T$9</f>
        <v>5.5224215156250001</v>
      </c>
      <c r="T5" s="91">
        <f>'July2025-EXPENSE'!$T$9</f>
        <v>5.5224215156250001</v>
      </c>
      <c r="U5" s="91">
        <f>'July2025-EXPENSE'!$T$9</f>
        <v>5.5224215156250001</v>
      </c>
      <c r="V5" s="91">
        <f>'July2025-EXPENSE'!$T$9</f>
        <v>5.5224215156250001</v>
      </c>
      <c r="W5" s="91">
        <f>'July2025-EXPENSE'!$T$9</f>
        <v>5.5224215156250001</v>
      </c>
      <c r="X5" s="91">
        <f>'July2025-EXPENSE'!$T$9</f>
        <v>5.5224215156250001</v>
      </c>
      <c r="Y5" s="91">
        <f>'July2025-EXPENSE'!$T$9</f>
        <v>5.5224215156250001</v>
      </c>
      <c r="Z5" s="91">
        <f>'July2025-EXPENSE'!$T$9</f>
        <v>5.5224215156250001</v>
      </c>
      <c r="AA5" s="91">
        <f>'July2025-EXPENSE'!$T$9</f>
        <v>5.5224215156250001</v>
      </c>
      <c r="AB5" s="91">
        <f>'July2025-EXPENSE'!$T$9</f>
        <v>5.5224215156250001</v>
      </c>
      <c r="AC5" s="91">
        <f>'July2025-EXPENSE'!$T$9</f>
        <v>5.5224215156250001</v>
      </c>
      <c r="AD5" s="91">
        <f>'July2025-EXPENSE'!$T$9</f>
        <v>5.5224215156250001</v>
      </c>
      <c r="AE5" s="91">
        <f>'July2025-EXPENSE'!$T$9</f>
        <v>5.5224215156250001</v>
      </c>
      <c r="AF5" s="91">
        <f>'July2025-EXPENSE'!$T$9</f>
        <v>5.5224215156250001</v>
      </c>
      <c r="AG5" s="91">
        <f>'July2025-EXPENSE'!$T$9</f>
        <v>5.5224215156250001</v>
      </c>
      <c r="AH5" s="91">
        <f>'July2025-EXPENSE'!$T$9</f>
        <v>5.5224215156250001</v>
      </c>
      <c r="AI5" s="91">
        <f>'July2025-EXPENSE'!$T$9</f>
        <v>5.5224215156250001</v>
      </c>
      <c r="AJ5" s="91">
        <f>'July2025-EXPENSE'!$T$9</f>
        <v>5.5224215156250001</v>
      </c>
      <c r="AK5" s="91">
        <f>'July2025-EXPENSE'!$T$9</f>
        <v>5.5224215156250001</v>
      </c>
      <c r="AL5" s="91">
        <f>'July2025-EXPENSE'!$T$9</f>
        <v>5.5224215156250001</v>
      </c>
      <c r="AM5" s="91">
        <f>'July2025-EXPENSE'!$T$9</f>
        <v>5.5224215156250001</v>
      </c>
      <c r="AN5" s="91">
        <f>'July2025-EXPENSE'!$T$9</f>
        <v>5.5224215156250001</v>
      </c>
      <c r="AO5" s="91">
        <f>'July2025-EXPENSE'!$T$9</f>
        <v>5.5224215156250001</v>
      </c>
      <c r="AP5" s="91">
        <f>'July2025-EXPENSE'!$T$9</f>
        <v>5.5224215156250001</v>
      </c>
      <c r="AQ5" s="91">
        <f>'July2025-EXPENSE'!$T$9</f>
        <v>5.5224215156250001</v>
      </c>
      <c r="AR5" s="91">
        <f>'July2025-EXPENSE'!$T$9</f>
        <v>5.5224215156250001</v>
      </c>
      <c r="AS5" s="91">
        <f>'July2025-EXPENSE'!$T$9</f>
        <v>5.5224215156250001</v>
      </c>
      <c r="AT5" s="91">
        <f>'July2025-EXPENSE'!$T$9</f>
        <v>5.5224215156250001</v>
      </c>
      <c r="AU5" s="91">
        <f>'July2025-EXPENSE'!$T$9</f>
        <v>5.5224215156250001</v>
      </c>
      <c r="AV5" s="91">
        <f>'July2025-EXPENSE'!$T$9</f>
        <v>5.5224215156250001</v>
      </c>
      <c r="AW5" s="91">
        <f>'July2025-EXPENSE'!$T$9</f>
        <v>5.5224215156250001</v>
      </c>
      <c r="AX5" s="91">
        <f>'July2025-EXPENSE'!$T$9</f>
        <v>5.5224215156250001</v>
      </c>
      <c r="AY5" s="91">
        <f>'July2025-EXPENSE'!$T$9</f>
        <v>5.5224215156250001</v>
      </c>
      <c r="AZ5" s="91">
        <f>'July2025-EXPENSE'!$T$9</f>
        <v>5.5224215156250001</v>
      </c>
      <c r="BA5" s="91">
        <f>'July2025-EXPENSE'!$T$9</f>
        <v>5.5224215156250001</v>
      </c>
      <c r="BB5" s="91">
        <f>'July2025-EXPENSE'!$T$9</f>
        <v>5.5224215156250001</v>
      </c>
      <c r="BC5" s="91">
        <f>'July2025-EXPENSE'!$T$9</f>
        <v>5.5224215156250001</v>
      </c>
      <c r="BD5" s="91">
        <f>'July2025-EXPENSE'!$T$9</f>
        <v>5.5224215156250001</v>
      </c>
      <c r="BE5" s="91">
        <f>'July2025-EXPENSE'!$T$9</f>
        <v>5.5224215156250001</v>
      </c>
      <c r="BF5" s="91">
        <f>'July2025-EXPENSE'!$T$9</f>
        <v>5.5224215156250001</v>
      </c>
      <c r="BG5" s="91">
        <f>'July2025-EXPENSE'!$T$9</f>
        <v>5.5224215156250001</v>
      </c>
      <c r="BH5" s="91">
        <f>'July2025-EXPENSE'!$T$9</f>
        <v>5.5224215156250001</v>
      </c>
      <c r="BI5" s="91">
        <f>'July2025-EXPENSE'!$T$9</f>
        <v>5.5224215156250001</v>
      </c>
      <c r="BJ5" s="91">
        <f>'July2025-EXPENSE'!$T$9</f>
        <v>5.5224215156250001</v>
      </c>
      <c r="BK5" s="91">
        <f>'July2025-EXPENSE'!$T$9</f>
        <v>5.5224215156250001</v>
      </c>
      <c r="BL5" s="91">
        <f>'July2025-EXPENSE'!$T$9</f>
        <v>5.5224215156250001</v>
      </c>
      <c r="BM5" s="91">
        <f>'July2025-EXPENSE'!$T$9</f>
        <v>5.5224215156250001</v>
      </c>
      <c r="BN5" s="91">
        <f>'July2025-EXPENSE'!$T$9</f>
        <v>5.5224215156250001</v>
      </c>
    </row>
    <row r="6" spans="1:76">
      <c r="A6" s="40" t="s">
        <v>199</v>
      </c>
      <c r="C6" s="46">
        <f t="array" ref="C6:BN6">TRANSPOSE('July2025-EXPENSE'!J6:J69)</f>
        <v>748.60554792777361</v>
      </c>
      <c r="D6" s="46">
        <v>2011.6231985036777</v>
      </c>
      <c r="E6" s="46">
        <v>2031.4621935937757</v>
      </c>
      <c r="F6" s="46">
        <v>805.45738565092711</v>
      </c>
      <c r="G6" s="46">
        <v>424.28306682987687</v>
      </c>
      <c r="H6" s="46">
        <v>717.08859890964072</v>
      </c>
      <c r="I6" s="46">
        <v>440.51497190359339</v>
      </c>
      <c r="J6" s="46">
        <v>373.15256584766985</v>
      </c>
      <c r="K6" s="46">
        <v>685.70199710706311</v>
      </c>
      <c r="L6" s="46">
        <v>650.22216773096966</v>
      </c>
      <c r="M6" s="46">
        <v>469.82257828669259</v>
      </c>
      <c r="N6" s="46">
        <v>359.89651003746809</v>
      </c>
      <c r="O6" s="46">
        <v>1487.6031963738633</v>
      </c>
      <c r="P6" s="46">
        <v>690.70683450479237</v>
      </c>
      <c r="Q6" s="46">
        <v>988.42702673187591</v>
      </c>
      <c r="R6" s="46">
        <v>1516.9608100422261</v>
      </c>
      <c r="S6" s="46">
        <v>1293.6368494030098</v>
      </c>
      <c r="T6" s="46">
        <v>1730.7661521031773</v>
      </c>
      <c r="U6" s="46">
        <v>1809.5810689611119</v>
      </c>
      <c r="V6" s="46">
        <v>2333.060007588469</v>
      </c>
      <c r="W6" s="46">
        <v>747.83904129929249</v>
      </c>
      <c r="X6" s="46">
        <v>1033.700925097522</v>
      </c>
      <c r="Y6" s="46">
        <v>886.66691830477328</v>
      </c>
      <c r="Z6" s="46">
        <v>1208.825145392841</v>
      </c>
      <c r="AA6" s="46">
        <v>1120.9826661738352</v>
      </c>
      <c r="AB6" s="46">
        <v>1259.6851146238196</v>
      </c>
      <c r="AC6" s="46">
        <v>628.66980488309059</v>
      </c>
      <c r="AD6" s="46">
        <v>1371.9107027584873</v>
      </c>
      <c r="AE6" s="46">
        <v>1176.8974800878066</v>
      </c>
      <c r="AF6" s="46">
        <v>1042.1275793507546</v>
      </c>
      <c r="AG6" s="46">
        <v>477.57290316185379</v>
      </c>
      <c r="AH6" s="46">
        <v>549.26873589749391</v>
      </c>
      <c r="AI6" s="46">
        <v>429.69370185444905</v>
      </c>
      <c r="AJ6" s="46">
        <v>3552.8876738782642</v>
      </c>
      <c r="AK6" s="46">
        <v>709.23825946395209</v>
      </c>
      <c r="AL6" s="46">
        <v>541.73893548829767</v>
      </c>
      <c r="AM6" s="46">
        <v>1100.7477107770121</v>
      </c>
      <c r="AN6" s="46">
        <v>386.81441928471457</v>
      </c>
      <c r="AO6" s="46">
        <v>419.81929293460485</v>
      </c>
      <c r="AP6" s="46">
        <v>2081.9212838579697</v>
      </c>
      <c r="AQ6" s="46">
        <v>695.03534252445024</v>
      </c>
      <c r="AR6" s="46">
        <v>408.41187075779851</v>
      </c>
      <c r="AS6" s="46">
        <v>1164.1874064401209</v>
      </c>
      <c r="AT6" s="46">
        <v>1156.8379605317436</v>
      </c>
      <c r="AU6" s="46">
        <v>774.21096838402286</v>
      </c>
      <c r="AV6" s="46">
        <v>947.53164367115141</v>
      </c>
      <c r="AW6" s="46">
        <v>1754.2573258348616</v>
      </c>
      <c r="AX6" s="46">
        <v>777.82297706046324</v>
      </c>
      <c r="AY6" s="46">
        <v>1669.72107223598</v>
      </c>
      <c r="AZ6" s="46">
        <v>1850.79207239827</v>
      </c>
      <c r="BA6" s="46">
        <v>1366.7656808250847</v>
      </c>
      <c r="BB6" s="46">
        <v>1513.303712740581</v>
      </c>
      <c r="BC6" s="46">
        <v>553.37180079112784</v>
      </c>
      <c r="BD6" s="46">
        <v>1547.3956320554444</v>
      </c>
      <c r="BE6" s="46">
        <v>500.03195717388724</v>
      </c>
      <c r="BF6" s="46">
        <v>452.37328033244739</v>
      </c>
      <c r="BG6" s="46">
        <v>1091.5898012003852</v>
      </c>
      <c r="BH6" s="46">
        <v>386.9496851603289</v>
      </c>
      <c r="BI6" s="46">
        <v>603.14964301719181</v>
      </c>
      <c r="BJ6" s="46">
        <v>470.58908491517366</v>
      </c>
      <c r="BK6" s="46">
        <v>786.83578344135799</v>
      </c>
      <c r="BL6" s="46">
        <v>765.28342059347881</v>
      </c>
      <c r="BM6" s="46">
        <v>1412.8462557843577</v>
      </c>
      <c r="BN6" s="46">
        <v>1127.1245565218014</v>
      </c>
    </row>
    <row r="7" spans="1:76">
      <c r="A7" s="40" t="s">
        <v>200</v>
      </c>
      <c r="C7" s="46">
        <f t="array" ref="C7:BN7">TRANSPOSE('July2025-EXPENSE'!L6:L69)</f>
        <v>0</v>
      </c>
      <c r="D7" s="46">
        <v>0</v>
      </c>
      <c r="E7" s="46">
        <v>750</v>
      </c>
      <c r="F7" s="46">
        <v>0</v>
      </c>
      <c r="G7" s="46">
        <v>0</v>
      </c>
      <c r="H7" s="46">
        <v>0</v>
      </c>
      <c r="I7" s="46">
        <v>750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750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750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</row>
    <row r="8" spans="1:76">
      <c r="A8" s="40" t="s">
        <v>201</v>
      </c>
      <c r="C8" s="46">
        <f t="array" ref="C8:BN8">TRANSPOSE('July2025-EXPENSE'!M6:M69)</f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</row>
    <row r="9" spans="1:76">
      <c r="A9" s="40" t="s">
        <v>202</v>
      </c>
      <c r="C9" s="46">
        <f t="array" ref="C9:BN9">TRANSPOSE('July2025-EXPENSE'!N6:N69)</f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</row>
    <row r="10" spans="1:76">
      <c r="A10" s="40" t="s">
        <v>203</v>
      </c>
      <c r="C10" s="46">
        <f t="array" ref="C10:BN10">TRANSPOSE('July2025-EXPENSE'!O6:O69)</f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</row>
    <row r="11" spans="1:76">
      <c r="A11" s="46" t="str">
        <f t="array" ref="A11:A64">TRANSPOSE('ANNUAL-EXPENSE-DETAILS'!B2:BC2)</f>
        <v>DRINKING WATER
SLN WATER SUP</v>
      </c>
      <c r="B11" s="46">
        <f t="array" ref="B11:B64">TRANSPOSE('ANNUAL-EXPENSE-DETAILS'!B6:BC6)</f>
        <v>16800</v>
      </c>
    </row>
    <row r="12" spans="1:76">
      <c r="A12" s="46" t="str">
        <v>STP SLUDGE CLEANING
BALAJI</v>
      </c>
      <c r="B12" s="46">
        <v>23000</v>
      </c>
    </row>
    <row r="13" spans="1:76">
      <c r="A13" s="46" t="str">
        <v>STP MAINTENANCE</v>
      </c>
      <c r="B13" s="46">
        <v>30000</v>
      </c>
      <c r="C13" s="40">
        <f t="shared" ref="C13:BN13" si="0">$B13/64</f>
        <v>468.75</v>
      </c>
      <c r="D13" s="40">
        <f t="shared" si="0"/>
        <v>468.75</v>
      </c>
      <c r="E13" s="40">
        <f t="shared" si="0"/>
        <v>468.75</v>
      </c>
      <c r="F13" s="40">
        <f t="shared" si="0"/>
        <v>468.75</v>
      </c>
      <c r="G13" s="40">
        <f t="shared" si="0"/>
        <v>468.75</v>
      </c>
      <c r="H13" s="40">
        <f t="shared" si="0"/>
        <v>468.75</v>
      </c>
      <c r="I13" s="40">
        <f t="shared" si="0"/>
        <v>468.75</v>
      </c>
      <c r="J13" s="40">
        <f t="shared" si="0"/>
        <v>468.75</v>
      </c>
      <c r="K13" s="40">
        <f t="shared" si="0"/>
        <v>468.75</v>
      </c>
      <c r="L13" s="40">
        <f t="shared" si="0"/>
        <v>468.75</v>
      </c>
      <c r="M13" s="40">
        <f t="shared" si="0"/>
        <v>468.75</v>
      </c>
      <c r="N13" s="40">
        <f t="shared" si="0"/>
        <v>468.75</v>
      </c>
      <c r="O13" s="40">
        <f t="shared" si="0"/>
        <v>468.75</v>
      </c>
      <c r="P13" s="40">
        <f t="shared" si="0"/>
        <v>468.75</v>
      </c>
      <c r="Q13" s="40">
        <f t="shared" si="0"/>
        <v>468.75</v>
      </c>
      <c r="R13" s="40">
        <f t="shared" si="0"/>
        <v>468.75</v>
      </c>
      <c r="S13" s="40">
        <f t="shared" si="0"/>
        <v>468.75</v>
      </c>
      <c r="T13" s="40">
        <f t="shared" si="0"/>
        <v>468.75</v>
      </c>
      <c r="U13" s="40">
        <f t="shared" si="0"/>
        <v>468.75</v>
      </c>
      <c r="V13" s="40">
        <f t="shared" si="0"/>
        <v>468.75</v>
      </c>
      <c r="W13" s="40">
        <f t="shared" si="0"/>
        <v>468.75</v>
      </c>
      <c r="X13" s="40">
        <f t="shared" si="0"/>
        <v>468.75</v>
      </c>
      <c r="Y13" s="40">
        <f t="shared" si="0"/>
        <v>468.75</v>
      </c>
      <c r="Z13" s="40">
        <f t="shared" si="0"/>
        <v>468.75</v>
      </c>
      <c r="AA13" s="40">
        <f t="shared" si="0"/>
        <v>468.75</v>
      </c>
      <c r="AB13" s="40">
        <f t="shared" si="0"/>
        <v>468.75</v>
      </c>
      <c r="AC13" s="40">
        <f t="shared" si="0"/>
        <v>468.75</v>
      </c>
      <c r="AD13" s="40">
        <f t="shared" si="0"/>
        <v>468.75</v>
      </c>
      <c r="AE13" s="40">
        <f t="shared" si="0"/>
        <v>468.75</v>
      </c>
      <c r="AF13" s="40">
        <f t="shared" si="0"/>
        <v>468.75</v>
      </c>
      <c r="AG13" s="40">
        <f t="shared" si="0"/>
        <v>468.75</v>
      </c>
      <c r="AH13" s="40">
        <f t="shared" si="0"/>
        <v>468.75</v>
      </c>
      <c r="AI13" s="40">
        <f t="shared" si="0"/>
        <v>468.75</v>
      </c>
      <c r="AJ13" s="40">
        <f t="shared" si="0"/>
        <v>468.75</v>
      </c>
      <c r="AK13" s="40">
        <f t="shared" si="0"/>
        <v>468.75</v>
      </c>
      <c r="AL13" s="40">
        <f t="shared" si="0"/>
        <v>468.75</v>
      </c>
      <c r="AM13" s="40">
        <f t="shared" si="0"/>
        <v>468.75</v>
      </c>
      <c r="AN13" s="40">
        <f t="shared" si="0"/>
        <v>468.75</v>
      </c>
      <c r="AO13" s="40">
        <f t="shared" si="0"/>
        <v>468.75</v>
      </c>
      <c r="AP13" s="40">
        <f t="shared" si="0"/>
        <v>468.75</v>
      </c>
      <c r="AQ13" s="40">
        <f t="shared" si="0"/>
        <v>468.75</v>
      </c>
      <c r="AR13" s="40">
        <f t="shared" si="0"/>
        <v>468.75</v>
      </c>
      <c r="AS13" s="40">
        <f t="shared" si="0"/>
        <v>468.75</v>
      </c>
      <c r="AT13" s="40">
        <f t="shared" si="0"/>
        <v>468.75</v>
      </c>
      <c r="AU13" s="40">
        <f t="shared" si="0"/>
        <v>468.75</v>
      </c>
      <c r="AV13" s="40">
        <f t="shared" si="0"/>
        <v>468.75</v>
      </c>
      <c r="AW13" s="40">
        <f t="shared" si="0"/>
        <v>468.75</v>
      </c>
      <c r="AX13" s="40">
        <f t="shared" si="0"/>
        <v>468.75</v>
      </c>
      <c r="AY13" s="40">
        <f t="shared" si="0"/>
        <v>468.75</v>
      </c>
      <c r="AZ13" s="40">
        <f t="shared" si="0"/>
        <v>468.75</v>
      </c>
      <c r="BA13" s="40">
        <f t="shared" si="0"/>
        <v>468.75</v>
      </c>
      <c r="BB13" s="40">
        <f t="shared" si="0"/>
        <v>468.75</v>
      </c>
      <c r="BC13" s="40">
        <f t="shared" si="0"/>
        <v>468.75</v>
      </c>
      <c r="BD13" s="40">
        <f t="shared" si="0"/>
        <v>468.75</v>
      </c>
      <c r="BE13" s="40">
        <f t="shared" si="0"/>
        <v>468.75</v>
      </c>
      <c r="BF13" s="40">
        <f t="shared" si="0"/>
        <v>468.75</v>
      </c>
      <c r="BG13" s="40">
        <f t="shared" si="0"/>
        <v>468.75</v>
      </c>
      <c r="BH13" s="40">
        <f t="shared" si="0"/>
        <v>468.75</v>
      </c>
      <c r="BI13" s="40">
        <f t="shared" si="0"/>
        <v>468.75</v>
      </c>
      <c r="BJ13" s="40">
        <f t="shared" si="0"/>
        <v>468.75</v>
      </c>
      <c r="BK13" s="40">
        <f t="shared" si="0"/>
        <v>468.75</v>
      </c>
      <c r="BL13" s="40">
        <f t="shared" si="0"/>
        <v>468.75</v>
      </c>
      <c r="BM13" s="40">
        <f t="shared" si="0"/>
        <v>468.75</v>
      </c>
      <c r="BN13" s="40">
        <f t="shared" si="0"/>
        <v>468.75</v>
      </c>
    </row>
    <row r="14" spans="1:76">
      <c r="A14" s="46" t="str">
        <v>STP MATERIALS</v>
      </c>
      <c r="B14" s="46">
        <v>1600</v>
      </c>
      <c r="C14" s="40">
        <f t="shared" ref="C14:BN14" si="1">$B14/64</f>
        <v>25</v>
      </c>
      <c r="D14" s="40">
        <f t="shared" si="1"/>
        <v>25</v>
      </c>
      <c r="E14" s="40">
        <f t="shared" si="1"/>
        <v>25</v>
      </c>
      <c r="F14" s="40">
        <f t="shared" si="1"/>
        <v>25</v>
      </c>
      <c r="G14" s="40">
        <f t="shared" si="1"/>
        <v>25</v>
      </c>
      <c r="H14" s="40">
        <f t="shared" si="1"/>
        <v>25</v>
      </c>
      <c r="I14" s="40">
        <f t="shared" si="1"/>
        <v>25</v>
      </c>
      <c r="J14" s="40">
        <f t="shared" si="1"/>
        <v>25</v>
      </c>
      <c r="K14" s="40">
        <f t="shared" si="1"/>
        <v>25</v>
      </c>
      <c r="L14" s="40">
        <f t="shared" si="1"/>
        <v>25</v>
      </c>
      <c r="M14" s="40">
        <f t="shared" si="1"/>
        <v>25</v>
      </c>
      <c r="N14" s="40">
        <f t="shared" si="1"/>
        <v>25</v>
      </c>
      <c r="O14" s="40">
        <f t="shared" si="1"/>
        <v>25</v>
      </c>
      <c r="P14" s="40">
        <f t="shared" si="1"/>
        <v>25</v>
      </c>
      <c r="Q14" s="40">
        <f t="shared" si="1"/>
        <v>25</v>
      </c>
      <c r="R14" s="40">
        <f t="shared" si="1"/>
        <v>25</v>
      </c>
      <c r="S14" s="40">
        <f t="shared" si="1"/>
        <v>25</v>
      </c>
      <c r="T14" s="40">
        <f t="shared" si="1"/>
        <v>25</v>
      </c>
      <c r="U14" s="40">
        <f t="shared" si="1"/>
        <v>25</v>
      </c>
      <c r="V14" s="40">
        <f t="shared" si="1"/>
        <v>25</v>
      </c>
      <c r="W14" s="40">
        <f t="shared" si="1"/>
        <v>25</v>
      </c>
      <c r="X14" s="40">
        <f t="shared" si="1"/>
        <v>25</v>
      </c>
      <c r="Y14" s="40">
        <f t="shared" si="1"/>
        <v>25</v>
      </c>
      <c r="Z14" s="40">
        <f t="shared" si="1"/>
        <v>25</v>
      </c>
      <c r="AA14" s="40">
        <f t="shared" si="1"/>
        <v>25</v>
      </c>
      <c r="AB14" s="40">
        <f t="shared" si="1"/>
        <v>25</v>
      </c>
      <c r="AC14" s="40">
        <f t="shared" si="1"/>
        <v>25</v>
      </c>
      <c r="AD14" s="40">
        <f t="shared" si="1"/>
        <v>25</v>
      </c>
      <c r="AE14" s="40">
        <f t="shared" si="1"/>
        <v>25</v>
      </c>
      <c r="AF14" s="40">
        <f t="shared" si="1"/>
        <v>25</v>
      </c>
      <c r="AG14" s="40">
        <f t="shared" si="1"/>
        <v>25</v>
      </c>
      <c r="AH14" s="40">
        <f t="shared" si="1"/>
        <v>25</v>
      </c>
      <c r="AI14" s="40">
        <f t="shared" si="1"/>
        <v>25</v>
      </c>
      <c r="AJ14" s="40">
        <f t="shared" si="1"/>
        <v>25</v>
      </c>
      <c r="AK14" s="40">
        <f t="shared" si="1"/>
        <v>25</v>
      </c>
      <c r="AL14" s="40">
        <f t="shared" si="1"/>
        <v>25</v>
      </c>
      <c r="AM14" s="40">
        <f t="shared" si="1"/>
        <v>25</v>
      </c>
      <c r="AN14" s="40">
        <f t="shared" si="1"/>
        <v>25</v>
      </c>
      <c r="AO14" s="40">
        <f t="shared" si="1"/>
        <v>25</v>
      </c>
      <c r="AP14" s="40">
        <f t="shared" si="1"/>
        <v>25</v>
      </c>
      <c r="AQ14" s="40">
        <f t="shared" si="1"/>
        <v>25</v>
      </c>
      <c r="AR14" s="40">
        <f t="shared" si="1"/>
        <v>25</v>
      </c>
      <c r="AS14" s="40">
        <f t="shared" si="1"/>
        <v>25</v>
      </c>
      <c r="AT14" s="40">
        <f t="shared" si="1"/>
        <v>25</v>
      </c>
      <c r="AU14" s="40">
        <f t="shared" si="1"/>
        <v>25</v>
      </c>
      <c r="AV14" s="40">
        <f t="shared" si="1"/>
        <v>25</v>
      </c>
      <c r="AW14" s="40">
        <f t="shared" si="1"/>
        <v>25</v>
      </c>
      <c r="AX14" s="40">
        <f t="shared" si="1"/>
        <v>25</v>
      </c>
      <c r="AY14" s="40">
        <f t="shared" si="1"/>
        <v>25</v>
      </c>
      <c r="AZ14" s="40">
        <f t="shared" si="1"/>
        <v>25</v>
      </c>
      <c r="BA14" s="40">
        <f t="shared" si="1"/>
        <v>25</v>
      </c>
      <c r="BB14" s="40">
        <f t="shared" si="1"/>
        <v>25</v>
      </c>
      <c r="BC14" s="40">
        <f t="shared" si="1"/>
        <v>25</v>
      </c>
      <c r="BD14" s="40">
        <f t="shared" si="1"/>
        <v>25</v>
      </c>
      <c r="BE14" s="40">
        <f t="shared" si="1"/>
        <v>25</v>
      </c>
      <c r="BF14" s="40">
        <f t="shared" si="1"/>
        <v>25</v>
      </c>
      <c r="BG14" s="40">
        <f t="shared" si="1"/>
        <v>25</v>
      </c>
      <c r="BH14" s="40">
        <f t="shared" si="1"/>
        <v>25</v>
      </c>
      <c r="BI14" s="40">
        <f t="shared" si="1"/>
        <v>25</v>
      </c>
      <c r="BJ14" s="40">
        <f t="shared" si="1"/>
        <v>25</v>
      </c>
      <c r="BK14" s="40">
        <f t="shared" si="1"/>
        <v>25</v>
      </c>
      <c r="BL14" s="40">
        <f t="shared" si="1"/>
        <v>25</v>
      </c>
      <c r="BM14" s="40">
        <f t="shared" si="1"/>
        <v>25</v>
      </c>
      <c r="BN14" s="40">
        <f t="shared" si="1"/>
        <v>25</v>
      </c>
    </row>
    <row r="15" spans="1:76">
      <c r="A15" s="46" t="str">
        <v>STP REPAIR</v>
      </c>
      <c r="B15" s="46">
        <v>0</v>
      </c>
      <c r="C15" s="40">
        <f t="shared" ref="C15:BN15" si="2">$B15/64</f>
        <v>0</v>
      </c>
      <c r="D15" s="40">
        <f t="shared" si="2"/>
        <v>0</v>
      </c>
      <c r="E15" s="40">
        <f t="shared" si="2"/>
        <v>0</v>
      </c>
      <c r="F15" s="40">
        <f t="shared" si="2"/>
        <v>0</v>
      </c>
      <c r="G15" s="40">
        <f t="shared" si="2"/>
        <v>0</v>
      </c>
      <c r="H15" s="40">
        <f t="shared" si="2"/>
        <v>0</v>
      </c>
      <c r="I15" s="40">
        <f t="shared" si="2"/>
        <v>0</v>
      </c>
      <c r="J15" s="40">
        <f t="shared" si="2"/>
        <v>0</v>
      </c>
      <c r="K15" s="40">
        <f t="shared" si="2"/>
        <v>0</v>
      </c>
      <c r="L15" s="40">
        <f t="shared" si="2"/>
        <v>0</v>
      </c>
      <c r="M15" s="40">
        <f t="shared" si="2"/>
        <v>0</v>
      </c>
      <c r="N15" s="40">
        <f t="shared" si="2"/>
        <v>0</v>
      </c>
      <c r="O15" s="40">
        <f t="shared" si="2"/>
        <v>0</v>
      </c>
      <c r="P15" s="40">
        <f t="shared" si="2"/>
        <v>0</v>
      </c>
      <c r="Q15" s="40">
        <f t="shared" si="2"/>
        <v>0</v>
      </c>
      <c r="R15" s="40">
        <f t="shared" si="2"/>
        <v>0</v>
      </c>
      <c r="S15" s="40">
        <f t="shared" si="2"/>
        <v>0</v>
      </c>
      <c r="T15" s="40">
        <f t="shared" si="2"/>
        <v>0</v>
      </c>
      <c r="U15" s="40">
        <f t="shared" si="2"/>
        <v>0</v>
      </c>
      <c r="V15" s="40">
        <f t="shared" si="2"/>
        <v>0</v>
      </c>
      <c r="W15" s="40">
        <f t="shared" si="2"/>
        <v>0</v>
      </c>
      <c r="X15" s="40">
        <f t="shared" si="2"/>
        <v>0</v>
      </c>
      <c r="Y15" s="40">
        <f t="shared" si="2"/>
        <v>0</v>
      </c>
      <c r="Z15" s="40">
        <f t="shared" si="2"/>
        <v>0</v>
      </c>
      <c r="AA15" s="40">
        <f t="shared" si="2"/>
        <v>0</v>
      </c>
      <c r="AB15" s="40">
        <f t="shared" si="2"/>
        <v>0</v>
      </c>
      <c r="AC15" s="40">
        <f t="shared" si="2"/>
        <v>0</v>
      </c>
      <c r="AD15" s="40">
        <f t="shared" si="2"/>
        <v>0</v>
      </c>
      <c r="AE15" s="40">
        <f t="shared" si="2"/>
        <v>0</v>
      </c>
      <c r="AF15" s="40">
        <f t="shared" si="2"/>
        <v>0</v>
      </c>
      <c r="AG15" s="40">
        <f t="shared" si="2"/>
        <v>0</v>
      </c>
      <c r="AH15" s="40">
        <f t="shared" si="2"/>
        <v>0</v>
      </c>
      <c r="AI15" s="40">
        <f t="shared" si="2"/>
        <v>0</v>
      </c>
      <c r="AJ15" s="40">
        <f t="shared" si="2"/>
        <v>0</v>
      </c>
      <c r="AK15" s="40">
        <f t="shared" si="2"/>
        <v>0</v>
      </c>
      <c r="AL15" s="40">
        <f t="shared" si="2"/>
        <v>0</v>
      </c>
      <c r="AM15" s="40">
        <f t="shared" si="2"/>
        <v>0</v>
      </c>
      <c r="AN15" s="40">
        <f t="shared" si="2"/>
        <v>0</v>
      </c>
      <c r="AO15" s="40">
        <f t="shared" si="2"/>
        <v>0</v>
      </c>
      <c r="AP15" s="40">
        <f t="shared" si="2"/>
        <v>0</v>
      </c>
      <c r="AQ15" s="40">
        <f t="shared" si="2"/>
        <v>0</v>
      </c>
      <c r="AR15" s="40">
        <f t="shared" si="2"/>
        <v>0</v>
      </c>
      <c r="AS15" s="40">
        <f t="shared" si="2"/>
        <v>0</v>
      </c>
      <c r="AT15" s="40">
        <f t="shared" si="2"/>
        <v>0</v>
      </c>
      <c r="AU15" s="40">
        <f t="shared" si="2"/>
        <v>0</v>
      </c>
      <c r="AV15" s="40">
        <f t="shared" si="2"/>
        <v>0</v>
      </c>
      <c r="AW15" s="40">
        <f t="shared" si="2"/>
        <v>0</v>
      </c>
      <c r="AX15" s="40">
        <f t="shared" si="2"/>
        <v>0</v>
      </c>
      <c r="AY15" s="40">
        <f t="shared" si="2"/>
        <v>0</v>
      </c>
      <c r="AZ15" s="40">
        <f t="shared" si="2"/>
        <v>0</v>
      </c>
      <c r="BA15" s="40">
        <f t="shared" si="2"/>
        <v>0</v>
      </c>
      <c r="BB15" s="40">
        <f t="shared" si="2"/>
        <v>0</v>
      </c>
      <c r="BC15" s="40">
        <f t="shared" si="2"/>
        <v>0</v>
      </c>
      <c r="BD15" s="40">
        <f t="shared" si="2"/>
        <v>0</v>
      </c>
      <c r="BE15" s="40">
        <f t="shared" si="2"/>
        <v>0</v>
      </c>
      <c r="BF15" s="40">
        <f t="shared" si="2"/>
        <v>0</v>
      </c>
      <c r="BG15" s="40">
        <f t="shared" si="2"/>
        <v>0</v>
      </c>
      <c r="BH15" s="40">
        <f t="shared" si="2"/>
        <v>0</v>
      </c>
      <c r="BI15" s="40">
        <f t="shared" si="2"/>
        <v>0</v>
      </c>
      <c r="BJ15" s="40">
        <f t="shared" si="2"/>
        <v>0</v>
      </c>
      <c r="BK15" s="40">
        <f t="shared" si="2"/>
        <v>0</v>
      </c>
      <c r="BL15" s="40">
        <f t="shared" si="2"/>
        <v>0</v>
      </c>
      <c r="BM15" s="40">
        <f t="shared" si="2"/>
        <v>0</v>
      </c>
      <c r="BN15" s="40">
        <f t="shared" si="2"/>
        <v>0</v>
      </c>
    </row>
    <row r="16" spans="1:76">
      <c r="A16" s="46" t="str">
        <v xml:space="preserve">COMMON 
ELECTRICITY BILL
</v>
      </c>
      <c r="B16" s="46">
        <v>29359</v>
      </c>
      <c r="C16" s="40">
        <f t="shared" ref="C16:BN16" si="3">$B16/64</f>
        <v>458.734375</v>
      </c>
      <c r="D16" s="40">
        <f t="shared" si="3"/>
        <v>458.734375</v>
      </c>
      <c r="E16" s="40">
        <f t="shared" si="3"/>
        <v>458.734375</v>
      </c>
      <c r="F16" s="40">
        <f t="shared" si="3"/>
        <v>458.734375</v>
      </c>
      <c r="G16" s="40">
        <f t="shared" si="3"/>
        <v>458.734375</v>
      </c>
      <c r="H16" s="40">
        <f t="shared" si="3"/>
        <v>458.734375</v>
      </c>
      <c r="I16" s="40">
        <f t="shared" si="3"/>
        <v>458.734375</v>
      </c>
      <c r="J16" s="40">
        <f t="shared" si="3"/>
        <v>458.734375</v>
      </c>
      <c r="K16" s="40">
        <f t="shared" si="3"/>
        <v>458.734375</v>
      </c>
      <c r="L16" s="40">
        <f t="shared" si="3"/>
        <v>458.734375</v>
      </c>
      <c r="M16" s="40">
        <f t="shared" si="3"/>
        <v>458.734375</v>
      </c>
      <c r="N16" s="40">
        <f t="shared" si="3"/>
        <v>458.734375</v>
      </c>
      <c r="O16" s="40">
        <f t="shared" si="3"/>
        <v>458.734375</v>
      </c>
      <c r="P16" s="40">
        <f t="shared" si="3"/>
        <v>458.734375</v>
      </c>
      <c r="Q16" s="40">
        <f t="shared" si="3"/>
        <v>458.734375</v>
      </c>
      <c r="R16" s="40">
        <f t="shared" si="3"/>
        <v>458.734375</v>
      </c>
      <c r="S16" s="40">
        <f t="shared" si="3"/>
        <v>458.734375</v>
      </c>
      <c r="T16" s="40">
        <f t="shared" si="3"/>
        <v>458.734375</v>
      </c>
      <c r="U16" s="40">
        <f t="shared" si="3"/>
        <v>458.734375</v>
      </c>
      <c r="V16" s="40">
        <f t="shared" si="3"/>
        <v>458.734375</v>
      </c>
      <c r="W16" s="40">
        <f t="shared" si="3"/>
        <v>458.734375</v>
      </c>
      <c r="X16" s="40">
        <f t="shared" si="3"/>
        <v>458.734375</v>
      </c>
      <c r="Y16" s="40">
        <f t="shared" si="3"/>
        <v>458.734375</v>
      </c>
      <c r="Z16" s="40">
        <f t="shared" si="3"/>
        <v>458.734375</v>
      </c>
      <c r="AA16" s="40">
        <f t="shared" si="3"/>
        <v>458.734375</v>
      </c>
      <c r="AB16" s="40">
        <f t="shared" si="3"/>
        <v>458.734375</v>
      </c>
      <c r="AC16" s="40">
        <f t="shared" si="3"/>
        <v>458.734375</v>
      </c>
      <c r="AD16" s="40">
        <f t="shared" si="3"/>
        <v>458.734375</v>
      </c>
      <c r="AE16" s="40">
        <f t="shared" si="3"/>
        <v>458.734375</v>
      </c>
      <c r="AF16" s="40">
        <f t="shared" si="3"/>
        <v>458.734375</v>
      </c>
      <c r="AG16" s="40">
        <f t="shared" si="3"/>
        <v>458.734375</v>
      </c>
      <c r="AH16" s="40">
        <f t="shared" si="3"/>
        <v>458.734375</v>
      </c>
      <c r="AI16" s="40">
        <f t="shared" si="3"/>
        <v>458.734375</v>
      </c>
      <c r="AJ16" s="40">
        <f t="shared" si="3"/>
        <v>458.734375</v>
      </c>
      <c r="AK16" s="40">
        <f t="shared" si="3"/>
        <v>458.734375</v>
      </c>
      <c r="AL16" s="40">
        <f t="shared" si="3"/>
        <v>458.734375</v>
      </c>
      <c r="AM16" s="40">
        <f t="shared" si="3"/>
        <v>458.734375</v>
      </c>
      <c r="AN16" s="40">
        <f t="shared" si="3"/>
        <v>458.734375</v>
      </c>
      <c r="AO16" s="40">
        <f t="shared" si="3"/>
        <v>458.734375</v>
      </c>
      <c r="AP16" s="40">
        <f t="shared" si="3"/>
        <v>458.734375</v>
      </c>
      <c r="AQ16" s="40">
        <f t="shared" si="3"/>
        <v>458.734375</v>
      </c>
      <c r="AR16" s="40">
        <f t="shared" si="3"/>
        <v>458.734375</v>
      </c>
      <c r="AS16" s="40">
        <f t="shared" si="3"/>
        <v>458.734375</v>
      </c>
      <c r="AT16" s="40">
        <f t="shared" si="3"/>
        <v>458.734375</v>
      </c>
      <c r="AU16" s="40">
        <f t="shared" si="3"/>
        <v>458.734375</v>
      </c>
      <c r="AV16" s="40">
        <f t="shared" si="3"/>
        <v>458.734375</v>
      </c>
      <c r="AW16" s="40">
        <f t="shared" si="3"/>
        <v>458.734375</v>
      </c>
      <c r="AX16" s="40">
        <f t="shared" si="3"/>
        <v>458.734375</v>
      </c>
      <c r="AY16" s="40">
        <f t="shared" si="3"/>
        <v>458.734375</v>
      </c>
      <c r="AZ16" s="40">
        <f t="shared" si="3"/>
        <v>458.734375</v>
      </c>
      <c r="BA16" s="40">
        <f t="shared" si="3"/>
        <v>458.734375</v>
      </c>
      <c r="BB16" s="40">
        <f t="shared" si="3"/>
        <v>458.734375</v>
      </c>
      <c r="BC16" s="40">
        <f t="shared" si="3"/>
        <v>458.734375</v>
      </c>
      <c r="BD16" s="40">
        <f t="shared" si="3"/>
        <v>458.734375</v>
      </c>
      <c r="BE16" s="40">
        <f t="shared" si="3"/>
        <v>458.734375</v>
      </c>
      <c r="BF16" s="40">
        <f t="shared" si="3"/>
        <v>458.734375</v>
      </c>
      <c r="BG16" s="40">
        <f t="shared" si="3"/>
        <v>458.734375</v>
      </c>
      <c r="BH16" s="40">
        <f t="shared" si="3"/>
        <v>458.734375</v>
      </c>
      <c r="BI16" s="40">
        <f t="shared" si="3"/>
        <v>458.734375</v>
      </c>
      <c r="BJ16" s="40">
        <f t="shared" si="3"/>
        <v>458.734375</v>
      </c>
      <c r="BK16" s="40">
        <f t="shared" si="3"/>
        <v>458.734375</v>
      </c>
      <c r="BL16" s="40">
        <f t="shared" si="3"/>
        <v>458.734375</v>
      </c>
      <c r="BM16" s="40">
        <f t="shared" si="3"/>
        <v>458.734375</v>
      </c>
      <c r="BN16" s="40">
        <f t="shared" si="3"/>
        <v>458.734375</v>
      </c>
    </row>
    <row r="17" spans="1:66">
      <c r="A17" s="46" t="str">
        <v>BECOM Service tax</v>
      </c>
      <c r="B17" s="46">
        <v>0</v>
      </c>
      <c r="C17" s="40">
        <f t="shared" ref="C17:BN17" si="4">$B17/64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  <c r="K17" s="40">
        <f t="shared" si="4"/>
        <v>0</v>
      </c>
      <c r="L17" s="40">
        <f t="shared" si="4"/>
        <v>0</v>
      </c>
      <c r="M17" s="40">
        <f t="shared" si="4"/>
        <v>0</v>
      </c>
      <c r="N17" s="40">
        <f t="shared" si="4"/>
        <v>0</v>
      </c>
      <c r="O17" s="40">
        <f t="shared" si="4"/>
        <v>0</v>
      </c>
      <c r="P17" s="40">
        <f t="shared" si="4"/>
        <v>0</v>
      </c>
      <c r="Q17" s="40">
        <f t="shared" si="4"/>
        <v>0</v>
      </c>
      <c r="R17" s="40">
        <f t="shared" si="4"/>
        <v>0</v>
      </c>
      <c r="S17" s="40">
        <f t="shared" si="4"/>
        <v>0</v>
      </c>
      <c r="T17" s="40">
        <f t="shared" si="4"/>
        <v>0</v>
      </c>
      <c r="U17" s="40">
        <f t="shared" si="4"/>
        <v>0</v>
      </c>
      <c r="V17" s="40">
        <f t="shared" si="4"/>
        <v>0</v>
      </c>
      <c r="W17" s="40">
        <f t="shared" si="4"/>
        <v>0</v>
      </c>
      <c r="X17" s="40">
        <f t="shared" si="4"/>
        <v>0</v>
      </c>
      <c r="Y17" s="40">
        <f t="shared" si="4"/>
        <v>0</v>
      </c>
      <c r="Z17" s="40">
        <f t="shared" si="4"/>
        <v>0</v>
      </c>
      <c r="AA17" s="40">
        <f t="shared" si="4"/>
        <v>0</v>
      </c>
      <c r="AB17" s="40">
        <f t="shared" si="4"/>
        <v>0</v>
      </c>
      <c r="AC17" s="40">
        <f t="shared" si="4"/>
        <v>0</v>
      </c>
      <c r="AD17" s="40">
        <f t="shared" si="4"/>
        <v>0</v>
      </c>
      <c r="AE17" s="40">
        <f t="shared" si="4"/>
        <v>0</v>
      </c>
      <c r="AF17" s="40">
        <f t="shared" si="4"/>
        <v>0</v>
      </c>
      <c r="AG17" s="40">
        <f t="shared" si="4"/>
        <v>0</v>
      </c>
      <c r="AH17" s="40">
        <f t="shared" si="4"/>
        <v>0</v>
      </c>
      <c r="AI17" s="40">
        <f t="shared" si="4"/>
        <v>0</v>
      </c>
      <c r="AJ17" s="40">
        <f t="shared" si="4"/>
        <v>0</v>
      </c>
      <c r="AK17" s="40">
        <f t="shared" si="4"/>
        <v>0</v>
      </c>
      <c r="AL17" s="40">
        <f t="shared" si="4"/>
        <v>0</v>
      </c>
      <c r="AM17" s="40">
        <f t="shared" si="4"/>
        <v>0</v>
      </c>
      <c r="AN17" s="40">
        <f t="shared" si="4"/>
        <v>0</v>
      </c>
      <c r="AO17" s="40">
        <f t="shared" si="4"/>
        <v>0</v>
      </c>
      <c r="AP17" s="40">
        <f t="shared" si="4"/>
        <v>0</v>
      </c>
      <c r="AQ17" s="40">
        <f t="shared" si="4"/>
        <v>0</v>
      </c>
      <c r="AR17" s="40">
        <f t="shared" si="4"/>
        <v>0</v>
      </c>
      <c r="AS17" s="40">
        <f t="shared" si="4"/>
        <v>0</v>
      </c>
      <c r="AT17" s="40">
        <f t="shared" si="4"/>
        <v>0</v>
      </c>
      <c r="AU17" s="40">
        <f t="shared" si="4"/>
        <v>0</v>
      </c>
      <c r="AV17" s="40">
        <f t="shared" si="4"/>
        <v>0</v>
      </c>
      <c r="AW17" s="40">
        <f t="shared" si="4"/>
        <v>0</v>
      </c>
      <c r="AX17" s="40">
        <f t="shared" si="4"/>
        <v>0</v>
      </c>
      <c r="AY17" s="40">
        <f t="shared" si="4"/>
        <v>0</v>
      </c>
      <c r="AZ17" s="40">
        <f t="shared" si="4"/>
        <v>0</v>
      </c>
      <c r="BA17" s="40">
        <f t="shared" si="4"/>
        <v>0</v>
      </c>
      <c r="BB17" s="40">
        <f t="shared" si="4"/>
        <v>0</v>
      </c>
      <c r="BC17" s="40">
        <f t="shared" si="4"/>
        <v>0</v>
      </c>
      <c r="BD17" s="40">
        <f t="shared" si="4"/>
        <v>0</v>
      </c>
      <c r="BE17" s="40">
        <f t="shared" si="4"/>
        <v>0</v>
      </c>
      <c r="BF17" s="40">
        <f t="shared" si="4"/>
        <v>0</v>
      </c>
      <c r="BG17" s="40">
        <f t="shared" si="4"/>
        <v>0</v>
      </c>
      <c r="BH17" s="40">
        <f t="shared" si="4"/>
        <v>0</v>
      </c>
      <c r="BI17" s="40">
        <f t="shared" si="4"/>
        <v>0</v>
      </c>
      <c r="BJ17" s="40">
        <f t="shared" si="4"/>
        <v>0</v>
      </c>
      <c r="BK17" s="40">
        <f t="shared" si="4"/>
        <v>0</v>
      </c>
      <c r="BL17" s="40">
        <f t="shared" si="4"/>
        <v>0</v>
      </c>
      <c r="BM17" s="40">
        <f t="shared" si="4"/>
        <v>0</v>
      </c>
      <c r="BN17" s="40">
        <f t="shared" si="4"/>
        <v>0</v>
      </c>
    </row>
    <row r="18" spans="1:66">
      <c r="A18" s="46" t="str">
        <v>SECURITY SERVICES</v>
      </c>
      <c r="B18" s="46">
        <v>151040</v>
      </c>
      <c r="C18" s="40">
        <f t="shared" ref="C18:BN18" si="5">$B18/64</f>
        <v>2360</v>
      </c>
      <c r="D18" s="40">
        <f t="shared" si="5"/>
        <v>2360</v>
      </c>
      <c r="E18" s="40">
        <f t="shared" si="5"/>
        <v>2360</v>
      </c>
      <c r="F18" s="40">
        <f t="shared" si="5"/>
        <v>2360</v>
      </c>
      <c r="G18" s="40">
        <f t="shared" si="5"/>
        <v>2360</v>
      </c>
      <c r="H18" s="40">
        <f t="shared" si="5"/>
        <v>2360</v>
      </c>
      <c r="I18" s="40">
        <f t="shared" si="5"/>
        <v>2360</v>
      </c>
      <c r="J18" s="40">
        <f t="shared" si="5"/>
        <v>2360</v>
      </c>
      <c r="K18" s="40">
        <f t="shared" si="5"/>
        <v>2360</v>
      </c>
      <c r="L18" s="40">
        <f t="shared" si="5"/>
        <v>2360</v>
      </c>
      <c r="M18" s="40">
        <f t="shared" si="5"/>
        <v>2360</v>
      </c>
      <c r="N18" s="40">
        <f t="shared" si="5"/>
        <v>2360</v>
      </c>
      <c r="O18" s="40">
        <f t="shared" si="5"/>
        <v>2360</v>
      </c>
      <c r="P18" s="40">
        <f t="shared" si="5"/>
        <v>2360</v>
      </c>
      <c r="Q18" s="40">
        <f t="shared" si="5"/>
        <v>2360</v>
      </c>
      <c r="R18" s="40">
        <f t="shared" si="5"/>
        <v>2360</v>
      </c>
      <c r="S18" s="40">
        <f t="shared" si="5"/>
        <v>2360</v>
      </c>
      <c r="T18" s="40">
        <f t="shared" si="5"/>
        <v>2360</v>
      </c>
      <c r="U18" s="40">
        <f t="shared" si="5"/>
        <v>2360</v>
      </c>
      <c r="V18" s="40">
        <f t="shared" si="5"/>
        <v>2360</v>
      </c>
      <c r="W18" s="40">
        <f t="shared" si="5"/>
        <v>2360</v>
      </c>
      <c r="X18" s="40">
        <f t="shared" si="5"/>
        <v>2360</v>
      </c>
      <c r="Y18" s="40">
        <f t="shared" si="5"/>
        <v>2360</v>
      </c>
      <c r="Z18" s="40">
        <f t="shared" si="5"/>
        <v>2360</v>
      </c>
      <c r="AA18" s="40">
        <f t="shared" si="5"/>
        <v>2360</v>
      </c>
      <c r="AB18" s="40">
        <f t="shared" si="5"/>
        <v>2360</v>
      </c>
      <c r="AC18" s="40">
        <f t="shared" si="5"/>
        <v>2360</v>
      </c>
      <c r="AD18" s="40">
        <f t="shared" si="5"/>
        <v>2360</v>
      </c>
      <c r="AE18" s="40">
        <f t="shared" si="5"/>
        <v>2360</v>
      </c>
      <c r="AF18" s="40">
        <f t="shared" si="5"/>
        <v>2360</v>
      </c>
      <c r="AG18" s="40">
        <f t="shared" si="5"/>
        <v>2360</v>
      </c>
      <c r="AH18" s="40">
        <f t="shared" si="5"/>
        <v>2360</v>
      </c>
      <c r="AI18" s="40">
        <f t="shared" si="5"/>
        <v>2360</v>
      </c>
      <c r="AJ18" s="40">
        <f t="shared" si="5"/>
        <v>2360</v>
      </c>
      <c r="AK18" s="40">
        <f t="shared" si="5"/>
        <v>2360</v>
      </c>
      <c r="AL18" s="40">
        <f t="shared" si="5"/>
        <v>2360</v>
      </c>
      <c r="AM18" s="40">
        <f t="shared" si="5"/>
        <v>2360</v>
      </c>
      <c r="AN18" s="40">
        <f t="shared" si="5"/>
        <v>2360</v>
      </c>
      <c r="AO18" s="40">
        <f t="shared" si="5"/>
        <v>2360</v>
      </c>
      <c r="AP18" s="40">
        <f t="shared" si="5"/>
        <v>2360</v>
      </c>
      <c r="AQ18" s="40">
        <f t="shared" si="5"/>
        <v>2360</v>
      </c>
      <c r="AR18" s="40">
        <f t="shared" si="5"/>
        <v>2360</v>
      </c>
      <c r="AS18" s="40">
        <f t="shared" si="5"/>
        <v>2360</v>
      </c>
      <c r="AT18" s="40">
        <f t="shared" si="5"/>
        <v>2360</v>
      </c>
      <c r="AU18" s="40">
        <f t="shared" si="5"/>
        <v>2360</v>
      </c>
      <c r="AV18" s="40">
        <f t="shared" si="5"/>
        <v>2360</v>
      </c>
      <c r="AW18" s="40">
        <f t="shared" si="5"/>
        <v>2360</v>
      </c>
      <c r="AX18" s="40">
        <f t="shared" si="5"/>
        <v>2360</v>
      </c>
      <c r="AY18" s="40">
        <f t="shared" si="5"/>
        <v>2360</v>
      </c>
      <c r="AZ18" s="40">
        <f t="shared" si="5"/>
        <v>2360</v>
      </c>
      <c r="BA18" s="40">
        <f t="shared" si="5"/>
        <v>2360</v>
      </c>
      <c r="BB18" s="40">
        <f t="shared" si="5"/>
        <v>2360</v>
      </c>
      <c r="BC18" s="40">
        <f t="shared" si="5"/>
        <v>2360</v>
      </c>
      <c r="BD18" s="40">
        <f t="shared" si="5"/>
        <v>2360</v>
      </c>
      <c r="BE18" s="40">
        <f t="shared" si="5"/>
        <v>2360</v>
      </c>
      <c r="BF18" s="40">
        <f t="shared" si="5"/>
        <v>2360</v>
      </c>
      <c r="BG18" s="40">
        <f t="shared" si="5"/>
        <v>2360</v>
      </c>
      <c r="BH18" s="40">
        <f t="shared" si="5"/>
        <v>2360</v>
      </c>
      <c r="BI18" s="40">
        <f t="shared" si="5"/>
        <v>2360</v>
      </c>
      <c r="BJ18" s="40">
        <f t="shared" si="5"/>
        <v>2360</v>
      </c>
      <c r="BK18" s="40">
        <f t="shared" si="5"/>
        <v>2360</v>
      </c>
      <c r="BL18" s="40">
        <f t="shared" si="5"/>
        <v>2360</v>
      </c>
      <c r="BM18" s="40">
        <f t="shared" si="5"/>
        <v>2360</v>
      </c>
      <c r="BN18" s="40">
        <f t="shared" si="5"/>
        <v>2360</v>
      </c>
    </row>
    <row r="19" spans="1:66">
      <c r="A19" s="46" t="str">
        <v>GARBAGE REMOVAL</v>
      </c>
      <c r="B19" s="46">
        <v>6600</v>
      </c>
      <c r="C19" s="40">
        <f t="shared" ref="C19:BN19" si="6">$B19/64</f>
        <v>103.125</v>
      </c>
      <c r="D19" s="40">
        <f t="shared" si="6"/>
        <v>103.125</v>
      </c>
      <c r="E19" s="40">
        <f t="shared" si="6"/>
        <v>103.125</v>
      </c>
      <c r="F19" s="40">
        <f t="shared" si="6"/>
        <v>103.125</v>
      </c>
      <c r="G19" s="40">
        <f t="shared" si="6"/>
        <v>103.125</v>
      </c>
      <c r="H19" s="40">
        <f t="shared" si="6"/>
        <v>103.125</v>
      </c>
      <c r="I19" s="40">
        <f t="shared" si="6"/>
        <v>103.125</v>
      </c>
      <c r="J19" s="40">
        <f t="shared" si="6"/>
        <v>103.125</v>
      </c>
      <c r="K19" s="40">
        <f t="shared" si="6"/>
        <v>103.125</v>
      </c>
      <c r="L19" s="40">
        <f t="shared" si="6"/>
        <v>103.125</v>
      </c>
      <c r="M19" s="40">
        <f t="shared" si="6"/>
        <v>103.125</v>
      </c>
      <c r="N19" s="40">
        <f t="shared" si="6"/>
        <v>103.125</v>
      </c>
      <c r="O19" s="40">
        <f t="shared" si="6"/>
        <v>103.125</v>
      </c>
      <c r="P19" s="40">
        <f t="shared" si="6"/>
        <v>103.125</v>
      </c>
      <c r="Q19" s="40">
        <f t="shared" si="6"/>
        <v>103.125</v>
      </c>
      <c r="R19" s="40">
        <f t="shared" si="6"/>
        <v>103.125</v>
      </c>
      <c r="S19" s="40">
        <f t="shared" si="6"/>
        <v>103.125</v>
      </c>
      <c r="T19" s="40">
        <f t="shared" si="6"/>
        <v>103.125</v>
      </c>
      <c r="U19" s="40">
        <f t="shared" si="6"/>
        <v>103.125</v>
      </c>
      <c r="V19" s="40">
        <f t="shared" si="6"/>
        <v>103.125</v>
      </c>
      <c r="W19" s="40">
        <f t="shared" si="6"/>
        <v>103.125</v>
      </c>
      <c r="X19" s="40">
        <f t="shared" si="6"/>
        <v>103.125</v>
      </c>
      <c r="Y19" s="40">
        <f t="shared" si="6"/>
        <v>103.125</v>
      </c>
      <c r="Z19" s="40">
        <f t="shared" si="6"/>
        <v>103.125</v>
      </c>
      <c r="AA19" s="40">
        <f t="shared" si="6"/>
        <v>103.125</v>
      </c>
      <c r="AB19" s="40">
        <f t="shared" si="6"/>
        <v>103.125</v>
      </c>
      <c r="AC19" s="40">
        <f t="shared" si="6"/>
        <v>103.125</v>
      </c>
      <c r="AD19" s="40">
        <f t="shared" si="6"/>
        <v>103.125</v>
      </c>
      <c r="AE19" s="40">
        <f t="shared" si="6"/>
        <v>103.125</v>
      </c>
      <c r="AF19" s="40">
        <f t="shared" si="6"/>
        <v>103.125</v>
      </c>
      <c r="AG19" s="40">
        <f t="shared" si="6"/>
        <v>103.125</v>
      </c>
      <c r="AH19" s="40">
        <f t="shared" si="6"/>
        <v>103.125</v>
      </c>
      <c r="AI19" s="40">
        <f t="shared" si="6"/>
        <v>103.125</v>
      </c>
      <c r="AJ19" s="40">
        <f t="shared" si="6"/>
        <v>103.125</v>
      </c>
      <c r="AK19" s="40">
        <f t="shared" si="6"/>
        <v>103.125</v>
      </c>
      <c r="AL19" s="40">
        <f t="shared" si="6"/>
        <v>103.125</v>
      </c>
      <c r="AM19" s="40">
        <f t="shared" si="6"/>
        <v>103.125</v>
      </c>
      <c r="AN19" s="40">
        <f t="shared" si="6"/>
        <v>103.125</v>
      </c>
      <c r="AO19" s="40">
        <f t="shared" si="6"/>
        <v>103.125</v>
      </c>
      <c r="AP19" s="40">
        <f t="shared" si="6"/>
        <v>103.125</v>
      </c>
      <c r="AQ19" s="40">
        <f t="shared" si="6"/>
        <v>103.125</v>
      </c>
      <c r="AR19" s="40">
        <f t="shared" si="6"/>
        <v>103.125</v>
      </c>
      <c r="AS19" s="40">
        <f t="shared" si="6"/>
        <v>103.125</v>
      </c>
      <c r="AT19" s="40">
        <f t="shared" si="6"/>
        <v>103.125</v>
      </c>
      <c r="AU19" s="40">
        <f t="shared" si="6"/>
        <v>103.125</v>
      </c>
      <c r="AV19" s="40">
        <f t="shared" si="6"/>
        <v>103.125</v>
      </c>
      <c r="AW19" s="40">
        <f t="shared" si="6"/>
        <v>103.125</v>
      </c>
      <c r="AX19" s="40">
        <f t="shared" si="6"/>
        <v>103.125</v>
      </c>
      <c r="AY19" s="40">
        <f t="shared" si="6"/>
        <v>103.125</v>
      </c>
      <c r="AZ19" s="40">
        <f t="shared" si="6"/>
        <v>103.125</v>
      </c>
      <c r="BA19" s="40">
        <f t="shared" si="6"/>
        <v>103.125</v>
      </c>
      <c r="BB19" s="40">
        <f t="shared" si="6"/>
        <v>103.125</v>
      </c>
      <c r="BC19" s="40">
        <f t="shared" si="6"/>
        <v>103.125</v>
      </c>
      <c r="BD19" s="40">
        <f t="shared" si="6"/>
        <v>103.125</v>
      </c>
      <c r="BE19" s="40">
        <f t="shared" si="6"/>
        <v>103.125</v>
      </c>
      <c r="BF19" s="40">
        <f t="shared" si="6"/>
        <v>103.125</v>
      </c>
      <c r="BG19" s="40">
        <f t="shared" si="6"/>
        <v>103.125</v>
      </c>
      <c r="BH19" s="40">
        <f t="shared" si="6"/>
        <v>103.125</v>
      </c>
      <c r="BI19" s="40">
        <f t="shared" si="6"/>
        <v>103.125</v>
      </c>
      <c r="BJ19" s="40">
        <f t="shared" si="6"/>
        <v>103.125</v>
      </c>
      <c r="BK19" s="40">
        <f t="shared" si="6"/>
        <v>103.125</v>
      </c>
      <c r="BL19" s="40">
        <f t="shared" si="6"/>
        <v>103.125</v>
      </c>
      <c r="BM19" s="40">
        <f t="shared" si="6"/>
        <v>103.125</v>
      </c>
      <c r="BN19" s="40">
        <f t="shared" si="6"/>
        <v>103.125</v>
      </c>
    </row>
    <row r="20" spans="1:66">
      <c r="A20" s="46" t="str">
        <v>PETTY CASH</v>
      </c>
      <c r="B20" s="46">
        <v>10000</v>
      </c>
      <c r="C20" s="40">
        <f t="shared" ref="C20:BN20" si="7">$B20/64</f>
        <v>156.25</v>
      </c>
      <c r="D20" s="40">
        <f t="shared" si="7"/>
        <v>156.25</v>
      </c>
      <c r="E20" s="40">
        <f t="shared" si="7"/>
        <v>156.25</v>
      </c>
      <c r="F20" s="40">
        <f t="shared" si="7"/>
        <v>156.25</v>
      </c>
      <c r="G20" s="40">
        <f t="shared" si="7"/>
        <v>156.25</v>
      </c>
      <c r="H20" s="40">
        <f t="shared" si="7"/>
        <v>156.25</v>
      </c>
      <c r="I20" s="40">
        <f t="shared" si="7"/>
        <v>156.25</v>
      </c>
      <c r="J20" s="40">
        <f t="shared" si="7"/>
        <v>156.25</v>
      </c>
      <c r="K20" s="40">
        <f t="shared" si="7"/>
        <v>156.25</v>
      </c>
      <c r="L20" s="40">
        <f t="shared" si="7"/>
        <v>156.25</v>
      </c>
      <c r="M20" s="40">
        <f t="shared" si="7"/>
        <v>156.25</v>
      </c>
      <c r="N20" s="40">
        <f t="shared" si="7"/>
        <v>156.25</v>
      </c>
      <c r="O20" s="40">
        <f t="shared" si="7"/>
        <v>156.25</v>
      </c>
      <c r="P20" s="40">
        <f t="shared" si="7"/>
        <v>156.25</v>
      </c>
      <c r="Q20" s="40">
        <f t="shared" si="7"/>
        <v>156.25</v>
      </c>
      <c r="R20" s="40">
        <f t="shared" si="7"/>
        <v>156.25</v>
      </c>
      <c r="S20" s="40">
        <f t="shared" si="7"/>
        <v>156.25</v>
      </c>
      <c r="T20" s="40">
        <f t="shared" si="7"/>
        <v>156.25</v>
      </c>
      <c r="U20" s="40">
        <f t="shared" si="7"/>
        <v>156.25</v>
      </c>
      <c r="V20" s="40">
        <f t="shared" si="7"/>
        <v>156.25</v>
      </c>
      <c r="W20" s="40">
        <f t="shared" si="7"/>
        <v>156.25</v>
      </c>
      <c r="X20" s="40">
        <f t="shared" si="7"/>
        <v>156.25</v>
      </c>
      <c r="Y20" s="40">
        <f t="shared" si="7"/>
        <v>156.25</v>
      </c>
      <c r="Z20" s="40">
        <f t="shared" si="7"/>
        <v>156.25</v>
      </c>
      <c r="AA20" s="40">
        <f t="shared" si="7"/>
        <v>156.25</v>
      </c>
      <c r="AB20" s="40">
        <f t="shared" si="7"/>
        <v>156.25</v>
      </c>
      <c r="AC20" s="40">
        <f t="shared" si="7"/>
        <v>156.25</v>
      </c>
      <c r="AD20" s="40">
        <f t="shared" si="7"/>
        <v>156.25</v>
      </c>
      <c r="AE20" s="40">
        <f t="shared" si="7"/>
        <v>156.25</v>
      </c>
      <c r="AF20" s="40">
        <f t="shared" si="7"/>
        <v>156.25</v>
      </c>
      <c r="AG20" s="40">
        <f t="shared" si="7"/>
        <v>156.25</v>
      </c>
      <c r="AH20" s="40">
        <f t="shared" si="7"/>
        <v>156.25</v>
      </c>
      <c r="AI20" s="40">
        <f t="shared" si="7"/>
        <v>156.25</v>
      </c>
      <c r="AJ20" s="40">
        <f t="shared" si="7"/>
        <v>156.25</v>
      </c>
      <c r="AK20" s="40">
        <f t="shared" si="7"/>
        <v>156.25</v>
      </c>
      <c r="AL20" s="40">
        <f t="shared" si="7"/>
        <v>156.25</v>
      </c>
      <c r="AM20" s="40">
        <f t="shared" si="7"/>
        <v>156.25</v>
      </c>
      <c r="AN20" s="40">
        <f t="shared" si="7"/>
        <v>156.25</v>
      </c>
      <c r="AO20" s="40">
        <f t="shared" si="7"/>
        <v>156.25</v>
      </c>
      <c r="AP20" s="40">
        <f t="shared" si="7"/>
        <v>156.25</v>
      </c>
      <c r="AQ20" s="40">
        <f t="shared" si="7"/>
        <v>156.25</v>
      </c>
      <c r="AR20" s="40">
        <f t="shared" si="7"/>
        <v>156.25</v>
      </c>
      <c r="AS20" s="40">
        <f t="shared" si="7"/>
        <v>156.25</v>
      </c>
      <c r="AT20" s="40">
        <f t="shared" si="7"/>
        <v>156.25</v>
      </c>
      <c r="AU20" s="40">
        <f t="shared" si="7"/>
        <v>156.25</v>
      </c>
      <c r="AV20" s="40">
        <f t="shared" si="7"/>
        <v>156.25</v>
      </c>
      <c r="AW20" s="40">
        <f t="shared" si="7"/>
        <v>156.25</v>
      </c>
      <c r="AX20" s="40">
        <f t="shared" si="7"/>
        <v>156.25</v>
      </c>
      <c r="AY20" s="40">
        <f t="shared" si="7"/>
        <v>156.25</v>
      </c>
      <c r="AZ20" s="40">
        <f t="shared" si="7"/>
        <v>156.25</v>
      </c>
      <c r="BA20" s="40">
        <f t="shared" si="7"/>
        <v>156.25</v>
      </c>
      <c r="BB20" s="40">
        <f t="shared" si="7"/>
        <v>156.25</v>
      </c>
      <c r="BC20" s="40">
        <f t="shared" si="7"/>
        <v>156.25</v>
      </c>
      <c r="BD20" s="40">
        <f t="shared" si="7"/>
        <v>156.25</v>
      </c>
      <c r="BE20" s="40">
        <f t="shared" si="7"/>
        <v>156.25</v>
      </c>
      <c r="BF20" s="40">
        <f t="shared" si="7"/>
        <v>156.25</v>
      </c>
      <c r="BG20" s="40">
        <f t="shared" si="7"/>
        <v>156.25</v>
      </c>
      <c r="BH20" s="40">
        <f t="shared" si="7"/>
        <v>156.25</v>
      </c>
      <c r="BI20" s="40">
        <f t="shared" si="7"/>
        <v>156.25</v>
      </c>
      <c r="BJ20" s="40">
        <f t="shared" si="7"/>
        <v>156.25</v>
      </c>
      <c r="BK20" s="40">
        <f t="shared" si="7"/>
        <v>156.25</v>
      </c>
      <c r="BL20" s="40">
        <f t="shared" si="7"/>
        <v>156.25</v>
      </c>
      <c r="BM20" s="40">
        <f t="shared" si="7"/>
        <v>156.25</v>
      </c>
      <c r="BN20" s="40">
        <f t="shared" si="7"/>
        <v>156.25</v>
      </c>
    </row>
    <row r="21" spans="1:66">
      <c r="A21" s="46" t="str">
        <v>ELEVATOR MAINTENANCE</v>
      </c>
      <c r="B21" s="46">
        <v>28980</v>
      </c>
      <c r="C21" s="40">
        <f t="shared" ref="C21:BN21" si="8">$B21/64</f>
        <v>452.8125</v>
      </c>
      <c r="D21" s="40">
        <f t="shared" si="8"/>
        <v>452.8125</v>
      </c>
      <c r="E21" s="40">
        <f t="shared" si="8"/>
        <v>452.8125</v>
      </c>
      <c r="F21" s="40">
        <f t="shared" si="8"/>
        <v>452.8125</v>
      </c>
      <c r="G21" s="40">
        <f t="shared" si="8"/>
        <v>452.8125</v>
      </c>
      <c r="H21" s="40">
        <f t="shared" si="8"/>
        <v>452.8125</v>
      </c>
      <c r="I21" s="40">
        <f t="shared" si="8"/>
        <v>452.8125</v>
      </c>
      <c r="J21" s="40">
        <f t="shared" si="8"/>
        <v>452.8125</v>
      </c>
      <c r="K21" s="40">
        <f t="shared" si="8"/>
        <v>452.8125</v>
      </c>
      <c r="L21" s="40">
        <f t="shared" si="8"/>
        <v>452.8125</v>
      </c>
      <c r="M21" s="40">
        <f t="shared" si="8"/>
        <v>452.8125</v>
      </c>
      <c r="N21" s="40">
        <f t="shared" si="8"/>
        <v>452.8125</v>
      </c>
      <c r="O21" s="40">
        <f t="shared" si="8"/>
        <v>452.8125</v>
      </c>
      <c r="P21" s="40">
        <f t="shared" si="8"/>
        <v>452.8125</v>
      </c>
      <c r="Q21" s="40">
        <f t="shared" si="8"/>
        <v>452.8125</v>
      </c>
      <c r="R21" s="40">
        <f t="shared" si="8"/>
        <v>452.8125</v>
      </c>
      <c r="S21" s="40">
        <f t="shared" si="8"/>
        <v>452.8125</v>
      </c>
      <c r="T21" s="40">
        <f t="shared" si="8"/>
        <v>452.8125</v>
      </c>
      <c r="U21" s="40">
        <f t="shared" si="8"/>
        <v>452.8125</v>
      </c>
      <c r="V21" s="40">
        <f t="shared" si="8"/>
        <v>452.8125</v>
      </c>
      <c r="W21" s="40">
        <f t="shared" si="8"/>
        <v>452.8125</v>
      </c>
      <c r="X21" s="40">
        <f t="shared" si="8"/>
        <v>452.8125</v>
      </c>
      <c r="Y21" s="40">
        <f t="shared" si="8"/>
        <v>452.8125</v>
      </c>
      <c r="Z21" s="40">
        <f t="shared" si="8"/>
        <v>452.8125</v>
      </c>
      <c r="AA21" s="40">
        <f t="shared" si="8"/>
        <v>452.8125</v>
      </c>
      <c r="AB21" s="40">
        <f t="shared" si="8"/>
        <v>452.8125</v>
      </c>
      <c r="AC21" s="40">
        <f t="shared" si="8"/>
        <v>452.8125</v>
      </c>
      <c r="AD21" s="40">
        <f t="shared" si="8"/>
        <v>452.8125</v>
      </c>
      <c r="AE21" s="40">
        <f t="shared" si="8"/>
        <v>452.8125</v>
      </c>
      <c r="AF21" s="40">
        <f t="shared" si="8"/>
        <v>452.8125</v>
      </c>
      <c r="AG21" s="40">
        <f t="shared" si="8"/>
        <v>452.8125</v>
      </c>
      <c r="AH21" s="40">
        <f t="shared" si="8"/>
        <v>452.8125</v>
      </c>
      <c r="AI21" s="40">
        <f t="shared" si="8"/>
        <v>452.8125</v>
      </c>
      <c r="AJ21" s="40">
        <f t="shared" si="8"/>
        <v>452.8125</v>
      </c>
      <c r="AK21" s="40">
        <f t="shared" si="8"/>
        <v>452.8125</v>
      </c>
      <c r="AL21" s="40">
        <f t="shared" si="8"/>
        <v>452.8125</v>
      </c>
      <c r="AM21" s="40">
        <f t="shared" si="8"/>
        <v>452.8125</v>
      </c>
      <c r="AN21" s="40">
        <f t="shared" si="8"/>
        <v>452.8125</v>
      </c>
      <c r="AO21" s="40">
        <f t="shared" si="8"/>
        <v>452.8125</v>
      </c>
      <c r="AP21" s="40">
        <f t="shared" si="8"/>
        <v>452.8125</v>
      </c>
      <c r="AQ21" s="40">
        <f t="shared" si="8"/>
        <v>452.8125</v>
      </c>
      <c r="AR21" s="40">
        <f t="shared" si="8"/>
        <v>452.8125</v>
      </c>
      <c r="AS21" s="40">
        <f t="shared" si="8"/>
        <v>452.8125</v>
      </c>
      <c r="AT21" s="40">
        <f t="shared" si="8"/>
        <v>452.8125</v>
      </c>
      <c r="AU21" s="40">
        <f t="shared" si="8"/>
        <v>452.8125</v>
      </c>
      <c r="AV21" s="40">
        <f t="shared" si="8"/>
        <v>452.8125</v>
      </c>
      <c r="AW21" s="40">
        <f t="shared" si="8"/>
        <v>452.8125</v>
      </c>
      <c r="AX21" s="40">
        <f t="shared" si="8"/>
        <v>452.8125</v>
      </c>
      <c r="AY21" s="40">
        <f t="shared" si="8"/>
        <v>452.8125</v>
      </c>
      <c r="AZ21" s="40">
        <f t="shared" si="8"/>
        <v>452.8125</v>
      </c>
      <c r="BA21" s="40">
        <f t="shared" si="8"/>
        <v>452.8125</v>
      </c>
      <c r="BB21" s="40">
        <f t="shared" si="8"/>
        <v>452.8125</v>
      </c>
      <c r="BC21" s="40">
        <f t="shared" si="8"/>
        <v>452.8125</v>
      </c>
      <c r="BD21" s="40">
        <f t="shared" si="8"/>
        <v>452.8125</v>
      </c>
      <c r="BE21" s="40">
        <f t="shared" si="8"/>
        <v>452.8125</v>
      </c>
      <c r="BF21" s="40">
        <f t="shared" si="8"/>
        <v>452.8125</v>
      </c>
      <c r="BG21" s="40">
        <f t="shared" si="8"/>
        <v>452.8125</v>
      </c>
      <c r="BH21" s="40">
        <f t="shared" si="8"/>
        <v>452.8125</v>
      </c>
      <c r="BI21" s="40">
        <f t="shared" si="8"/>
        <v>452.8125</v>
      </c>
      <c r="BJ21" s="40">
        <f t="shared" si="8"/>
        <v>452.8125</v>
      </c>
      <c r="BK21" s="40">
        <f t="shared" si="8"/>
        <v>452.8125</v>
      </c>
      <c r="BL21" s="40">
        <f t="shared" si="8"/>
        <v>452.8125</v>
      </c>
      <c r="BM21" s="40">
        <f t="shared" si="8"/>
        <v>452.8125</v>
      </c>
      <c r="BN21" s="40">
        <f t="shared" si="8"/>
        <v>452.8125</v>
      </c>
    </row>
    <row r="22" spans="1:66">
      <c r="A22" s="46" t="str">
        <v>MOTOR REPAIR</v>
      </c>
      <c r="B22" s="46">
        <v>0</v>
      </c>
      <c r="C22" s="40">
        <f t="shared" ref="C22:BN22" si="9">$B22/64</f>
        <v>0</v>
      </c>
      <c r="D22" s="40">
        <f t="shared" si="9"/>
        <v>0</v>
      </c>
      <c r="E22" s="40">
        <f t="shared" si="9"/>
        <v>0</v>
      </c>
      <c r="F22" s="40">
        <f t="shared" si="9"/>
        <v>0</v>
      </c>
      <c r="G22" s="40">
        <f t="shared" si="9"/>
        <v>0</v>
      </c>
      <c r="H22" s="40">
        <f t="shared" si="9"/>
        <v>0</v>
      </c>
      <c r="I22" s="40">
        <f t="shared" si="9"/>
        <v>0</v>
      </c>
      <c r="J22" s="40">
        <f t="shared" si="9"/>
        <v>0</v>
      </c>
      <c r="K22" s="40">
        <f t="shared" si="9"/>
        <v>0</v>
      </c>
      <c r="L22" s="40">
        <f t="shared" si="9"/>
        <v>0</v>
      </c>
      <c r="M22" s="40">
        <f t="shared" si="9"/>
        <v>0</v>
      </c>
      <c r="N22" s="40">
        <f t="shared" si="9"/>
        <v>0</v>
      </c>
      <c r="O22" s="40">
        <f t="shared" si="9"/>
        <v>0</v>
      </c>
      <c r="P22" s="40">
        <f t="shared" si="9"/>
        <v>0</v>
      </c>
      <c r="Q22" s="40">
        <f t="shared" si="9"/>
        <v>0</v>
      </c>
      <c r="R22" s="40">
        <f t="shared" si="9"/>
        <v>0</v>
      </c>
      <c r="S22" s="40">
        <f t="shared" si="9"/>
        <v>0</v>
      </c>
      <c r="T22" s="40">
        <f t="shared" si="9"/>
        <v>0</v>
      </c>
      <c r="U22" s="40">
        <f t="shared" si="9"/>
        <v>0</v>
      </c>
      <c r="V22" s="40">
        <f t="shared" si="9"/>
        <v>0</v>
      </c>
      <c r="W22" s="40">
        <f t="shared" si="9"/>
        <v>0</v>
      </c>
      <c r="X22" s="40">
        <f t="shared" si="9"/>
        <v>0</v>
      </c>
      <c r="Y22" s="40">
        <f t="shared" si="9"/>
        <v>0</v>
      </c>
      <c r="Z22" s="40">
        <f t="shared" si="9"/>
        <v>0</v>
      </c>
      <c r="AA22" s="40">
        <f t="shared" si="9"/>
        <v>0</v>
      </c>
      <c r="AB22" s="40">
        <f t="shared" si="9"/>
        <v>0</v>
      </c>
      <c r="AC22" s="40">
        <f t="shared" si="9"/>
        <v>0</v>
      </c>
      <c r="AD22" s="40">
        <f t="shared" si="9"/>
        <v>0</v>
      </c>
      <c r="AE22" s="40">
        <f t="shared" si="9"/>
        <v>0</v>
      </c>
      <c r="AF22" s="40">
        <f t="shared" si="9"/>
        <v>0</v>
      </c>
      <c r="AG22" s="40">
        <f t="shared" si="9"/>
        <v>0</v>
      </c>
      <c r="AH22" s="40">
        <f t="shared" si="9"/>
        <v>0</v>
      </c>
      <c r="AI22" s="40">
        <f t="shared" si="9"/>
        <v>0</v>
      </c>
      <c r="AJ22" s="40">
        <f t="shared" si="9"/>
        <v>0</v>
      </c>
      <c r="AK22" s="40">
        <f t="shared" si="9"/>
        <v>0</v>
      </c>
      <c r="AL22" s="40">
        <f t="shared" si="9"/>
        <v>0</v>
      </c>
      <c r="AM22" s="40">
        <f t="shared" si="9"/>
        <v>0</v>
      </c>
      <c r="AN22" s="40">
        <f t="shared" si="9"/>
        <v>0</v>
      </c>
      <c r="AO22" s="40">
        <f t="shared" si="9"/>
        <v>0</v>
      </c>
      <c r="AP22" s="40">
        <f t="shared" si="9"/>
        <v>0</v>
      </c>
      <c r="AQ22" s="40">
        <f t="shared" si="9"/>
        <v>0</v>
      </c>
      <c r="AR22" s="40">
        <f t="shared" si="9"/>
        <v>0</v>
      </c>
      <c r="AS22" s="40">
        <f t="shared" si="9"/>
        <v>0</v>
      </c>
      <c r="AT22" s="40">
        <f t="shared" si="9"/>
        <v>0</v>
      </c>
      <c r="AU22" s="40">
        <f t="shared" si="9"/>
        <v>0</v>
      </c>
      <c r="AV22" s="40">
        <f t="shared" si="9"/>
        <v>0</v>
      </c>
      <c r="AW22" s="40">
        <f t="shared" si="9"/>
        <v>0</v>
      </c>
      <c r="AX22" s="40">
        <f t="shared" si="9"/>
        <v>0</v>
      </c>
      <c r="AY22" s="40">
        <f t="shared" si="9"/>
        <v>0</v>
      </c>
      <c r="AZ22" s="40">
        <f t="shared" si="9"/>
        <v>0</v>
      </c>
      <c r="BA22" s="40">
        <f t="shared" si="9"/>
        <v>0</v>
      </c>
      <c r="BB22" s="40">
        <f t="shared" si="9"/>
        <v>0</v>
      </c>
      <c r="BC22" s="40">
        <f t="shared" si="9"/>
        <v>0</v>
      </c>
      <c r="BD22" s="40">
        <f t="shared" si="9"/>
        <v>0</v>
      </c>
      <c r="BE22" s="40">
        <f t="shared" si="9"/>
        <v>0</v>
      </c>
      <c r="BF22" s="40">
        <f t="shared" si="9"/>
        <v>0</v>
      </c>
      <c r="BG22" s="40">
        <f t="shared" si="9"/>
        <v>0</v>
      </c>
      <c r="BH22" s="40">
        <f t="shared" si="9"/>
        <v>0</v>
      </c>
      <c r="BI22" s="40">
        <f t="shared" si="9"/>
        <v>0</v>
      </c>
      <c r="BJ22" s="40">
        <f t="shared" si="9"/>
        <v>0</v>
      </c>
      <c r="BK22" s="40">
        <f t="shared" si="9"/>
        <v>0</v>
      </c>
      <c r="BL22" s="40">
        <f t="shared" si="9"/>
        <v>0</v>
      </c>
      <c r="BM22" s="40">
        <f t="shared" si="9"/>
        <v>0</v>
      </c>
      <c r="BN22" s="40">
        <f t="shared" si="9"/>
        <v>0</v>
      </c>
    </row>
    <row r="23" spans="1:66">
      <c r="A23" s="46" t="str">
        <v>PLUMBING MATERIAL</v>
      </c>
      <c r="B23" s="46">
        <v>0</v>
      </c>
      <c r="C23" s="40">
        <f t="shared" ref="C23:BN23" si="10">$B23/64</f>
        <v>0</v>
      </c>
      <c r="D23" s="40">
        <f t="shared" si="10"/>
        <v>0</v>
      </c>
      <c r="E23" s="40">
        <f t="shared" si="10"/>
        <v>0</v>
      </c>
      <c r="F23" s="40">
        <f t="shared" si="10"/>
        <v>0</v>
      </c>
      <c r="G23" s="40">
        <f t="shared" si="10"/>
        <v>0</v>
      </c>
      <c r="H23" s="40">
        <f t="shared" si="10"/>
        <v>0</v>
      </c>
      <c r="I23" s="40">
        <f t="shared" si="10"/>
        <v>0</v>
      </c>
      <c r="J23" s="40">
        <f t="shared" si="10"/>
        <v>0</v>
      </c>
      <c r="K23" s="40">
        <f t="shared" si="10"/>
        <v>0</v>
      </c>
      <c r="L23" s="40">
        <f t="shared" si="10"/>
        <v>0</v>
      </c>
      <c r="M23" s="40">
        <f t="shared" si="10"/>
        <v>0</v>
      </c>
      <c r="N23" s="40">
        <f t="shared" si="10"/>
        <v>0</v>
      </c>
      <c r="O23" s="40">
        <f t="shared" si="10"/>
        <v>0</v>
      </c>
      <c r="P23" s="40">
        <f t="shared" si="10"/>
        <v>0</v>
      </c>
      <c r="Q23" s="40">
        <f t="shared" si="10"/>
        <v>0</v>
      </c>
      <c r="R23" s="40">
        <f t="shared" si="10"/>
        <v>0</v>
      </c>
      <c r="S23" s="40">
        <f t="shared" si="10"/>
        <v>0</v>
      </c>
      <c r="T23" s="40">
        <f t="shared" si="10"/>
        <v>0</v>
      </c>
      <c r="U23" s="40">
        <f t="shared" si="10"/>
        <v>0</v>
      </c>
      <c r="V23" s="40">
        <f t="shared" si="10"/>
        <v>0</v>
      </c>
      <c r="W23" s="40">
        <f t="shared" si="10"/>
        <v>0</v>
      </c>
      <c r="X23" s="40">
        <f t="shared" si="10"/>
        <v>0</v>
      </c>
      <c r="Y23" s="40">
        <f t="shared" si="10"/>
        <v>0</v>
      </c>
      <c r="Z23" s="40">
        <f t="shared" si="10"/>
        <v>0</v>
      </c>
      <c r="AA23" s="40">
        <f t="shared" si="10"/>
        <v>0</v>
      </c>
      <c r="AB23" s="40">
        <f t="shared" si="10"/>
        <v>0</v>
      </c>
      <c r="AC23" s="40">
        <f t="shared" si="10"/>
        <v>0</v>
      </c>
      <c r="AD23" s="40">
        <f t="shared" si="10"/>
        <v>0</v>
      </c>
      <c r="AE23" s="40">
        <f t="shared" si="10"/>
        <v>0</v>
      </c>
      <c r="AF23" s="40">
        <f t="shared" si="10"/>
        <v>0</v>
      </c>
      <c r="AG23" s="40">
        <f t="shared" si="10"/>
        <v>0</v>
      </c>
      <c r="AH23" s="40">
        <f t="shared" si="10"/>
        <v>0</v>
      </c>
      <c r="AI23" s="40">
        <f t="shared" si="10"/>
        <v>0</v>
      </c>
      <c r="AJ23" s="40">
        <f t="shared" si="10"/>
        <v>0</v>
      </c>
      <c r="AK23" s="40">
        <f t="shared" si="10"/>
        <v>0</v>
      </c>
      <c r="AL23" s="40">
        <f t="shared" si="10"/>
        <v>0</v>
      </c>
      <c r="AM23" s="40">
        <f t="shared" si="10"/>
        <v>0</v>
      </c>
      <c r="AN23" s="40">
        <f t="shared" si="10"/>
        <v>0</v>
      </c>
      <c r="AO23" s="40">
        <f t="shared" si="10"/>
        <v>0</v>
      </c>
      <c r="AP23" s="40">
        <f t="shared" si="10"/>
        <v>0</v>
      </c>
      <c r="AQ23" s="40">
        <f t="shared" si="10"/>
        <v>0</v>
      </c>
      <c r="AR23" s="40">
        <f t="shared" si="10"/>
        <v>0</v>
      </c>
      <c r="AS23" s="40">
        <f t="shared" si="10"/>
        <v>0</v>
      </c>
      <c r="AT23" s="40">
        <f t="shared" si="10"/>
        <v>0</v>
      </c>
      <c r="AU23" s="40">
        <f t="shared" si="10"/>
        <v>0</v>
      </c>
      <c r="AV23" s="40">
        <f t="shared" si="10"/>
        <v>0</v>
      </c>
      <c r="AW23" s="40">
        <f t="shared" si="10"/>
        <v>0</v>
      </c>
      <c r="AX23" s="40">
        <f t="shared" si="10"/>
        <v>0</v>
      </c>
      <c r="AY23" s="40">
        <f t="shared" si="10"/>
        <v>0</v>
      </c>
      <c r="AZ23" s="40">
        <f t="shared" si="10"/>
        <v>0</v>
      </c>
      <c r="BA23" s="40">
        <f t="shared" si="10"/>
        <v>0</v>
      </c>
      <c r="BB23" s="40">
        <f t="shared" si="10"/>
        <v>0</v>
      </c>
      <c r="BC23" s="40">
        <f t="shared" si="10"/>
        <v>0</v>
      </c>
      <c r="BD23" s="40">
        <f t="shared" si="10"/>
        <v>0</v>
      </c>
      <c r="BE23" s="40">
        <f t="shared" si="10"/>
        <v>0</v>
      </c>
      <c r="BF23" s="40">
        <f t="shared" si="10"/>
        <v>0</v>
      </c>
      <c r="BG23" s="40">
        <f t="shared" si="10"/>
        <v>0</v>
      </c>
      <c r="BH23" s="40">
        <f t="shared" si="10"/>
        <v>0</v>
      </c>
      <c r="BI23" s="40">
        <f t="shared" si="10"/>
        <v>0</v>
      </c>
      <c r="BJ23" s="40">
        <f t="shared" si="10"/>
        <v>0</v>
      </c>
      <c r="BK23" s="40">
        <f t="shared" si="10"/>
        <v>0</v>
      </c>
      <c r="BL23" s="40">
        <f t="shared" si="10"/>
        <v>0</v>
      </c>
      <c r="BM23" s="40">
        <f t="shared" si="10"/>
        <v>0</v>
      </c>
      <c r="BN23" s="40">
        <f t="shared" si="10"/>
        <v>0</v>
      </c>
    </row>
    <row r="24" spans="1:66">
      <c r="A24" s="46" t="str">
        <v>ELECTRICITY MATERIAL</v>
      </c>
      <c r="B24" s="46">
        <v>0</v>
      </c>
      <c r="C24" s="40">
        <f t="shared" ref="C24:BN24" si="11">$B24/64</f>
        <v>0</v>
      </c>
      <c r="D24" s="40">
        <f t="shared" si="11"/>
        <v>0</v>
      </c>
      <c r="E24" s="40">
        <f t="shared" si="11"/>
        <v>0</v>
      </c>
      <c r="F24" s="40">
        <f t="shared" si="11"/>
        <v>0</v>
      </c>
      <c r="G24" s="40">
        <f t="shared" si="11"/>
        <v>0</v>
      </c>
      <c r="H24" s="40">
        <f t="shared" si="11"/>
        <v>0</v>
      </c>
      <c r="I24" s="40">
        <f t="shared" si="11"/>
        <v>0</v>
      </c>
      <c r="J24" s="40">
        <f t="shared" si="11"/>
        <v>0</v>
      </c>
      <c r="K24" s="40">
        <f t="shared" si="11"/>
        <v>0</v>
      </c>
      <c r="L24" s="40">
        <f t="shared" si="11"/>
        <v>0</v>
      </c>
      <c r="M24" s="40">
        <f t="shared" si="11"/>
        <v>0</v>
      </c>
      <c r="N24" s="40">
        <f t="shared" si="11"/>
        <v>0</v>
      </c>
      <c r="O24" s="40">
        <f t="shared" si="11"/>
        <v>0</v>
      </c>
      <c r="P24" s="40">
        <f t="shared" si="11"/>
        <v>0</v>
      </c>
      <c r="Q24" s="40">
        <f t="shared" si="11"/>
        <v>0</v>
      </c>
      <c r="R24" s="40">
        <f t="shared" si="11"/>
        <v>0</v>
      </c>
      <c r="S24" s="40">
        <f t="shared" si="11"/>
        <v>0</v>
      </c>
      <c r="T24" s="40">
        <f t="shared" si="11"/>
        <v>0</v>
      </c>
      <c r="U24" s="40">
        <f t="shared" si="11"/>
        <v>0</v>
      </c>
      <c r="V24" s="40">
        <f t="shared" si="11"/>
        <v>0</v>
      </c>
      <c r="W24" s="40">
        <f t="shared" si="11"/>
        <v>0</v>
      </c>
      <c r="X24" s="40">
        <f t="shared" si="11"/>
        <v>0</v>
      </c>
      <c r="Y24" s="40">
        <f t="shared" si="11"/>
        <v>0</v>
      </c>
      <c r="Z24" s="40">
        <f t="shared" si="11"/>
        <v>0</v>
      </c>
      <c r="AA24" s="40">
        <f t="shared" si="11"/>
        <v>0</v>
      </c>
      <c r="AB24" s="40">
        <f t="shared" si="11"/>
        <v>0</v>
      </c>
      <c r="AC24" s="40">
        <f t="shared" si="11"/>
        <v>0</v>
      </c>
      <c r="AD24" s="40">
        <f t="shared" si="11"/>
        <v>0</v>
      </c>
      <c r="AE24" s="40">
        <f t="shared" si="11"/>
        <v>0</v>
      </c>
      <c r="AF24" s="40">
        <f t="shared" si="11"/>
        <v>0</v>
      </c>
      <c r="AG24" s="40">
        <f t="shared" si="11"/>
        <v>0</v>
      </c>
      <c r="AH24" s="40">
        <f t="shared" si="11"/>
        <v>0</v>
      </c>
      <c r="AI24" s="40">
        <f t="shared" si="11"/>
        <v>0</v>
      </c>
      <c r="AJ24" s="40">
        <f t="shared" si="11"/>
        <v>0</v>
      </c>
      <c r="AK24" s="40">
        <f t="shared" si="11"/>
        <v>0</v>
      </c>
      <c r="AL24" s="40">
        <f t="shared" si="11"/>
        <v>0</v>
      </c>
      <c r="AM24" s="40">
        <f t="shared" si="11"/>
        <v>0</v>
      </c>
      <c r="AN24" s="40">
        <f t="shared" si="11"/>
        <v>0</v>
      </c>
      <c r="AO24" s="40">
        <f t="shared" si="11"/>
        <v>0</v>
      </c>
      <c r="AP24" s="40">
        <f t="shared" si="11"/>
        <v>0</v>
      </c>
      <c r="AQ24" s="40">
        <f t="shared" si="11"/>
        <v>0</v>
      </c>
      <c r="AR24" s="40">
        <f t="shared" si="11"/>
        <v>0</v>
      </c>
      <c r="AS24" s="40">
        <f t="shared" si="11"/>
        <v>0</v>
      </c>
      <c r="AT24" s="40">
        <f t="shared" si="11"/>
        <v>0</v>
      </c>
      <c r="AU24" s="40">
        <f t="shared" si="11"/>
        <v>0</v>
      </c>
      <c r="AV24" s="40">
        <f t="shared" si="11"/>
        <v>0</v>
      </c>
      <c r="AW24" s="40">
        <f t="shared" si="11"/>
        <v>0</v>
      </c>
      <c r="AX24" s="40">
        <f t="shared" si="11"/>
        <v>0</v>
      </c>
      <c r="AY24" s="40">
        <f t="shared" si="11"/>
        <v>0</v>
      </c>
      <c r="AZ24" s="40">
        <f t="shared" si="11"/>
        <v>0</v>
      </c>
      <c r="BA24" s="40">
        <f t="shared" si="11"/>
        <v>0</v>
      </c>
      <c r="BB24" s="40">
        <f t="shared" si="11"/>
        <v>0</v>
      </c>
      <c r="BC24" s="40">
        <f t="shared" si="11"/>
        <v>0</v>
      </c>
      <c r="BD24" s="40">
        <f t="shared" si="11"/>
        <v>0</v>
      </c>
      <c r="BE24" s="40">
        <f t="shared" si="11"/>
        <v>0</v>
      </c>
      <c r="BF24" s="40">
        <f t="shared" si="11"/>
        <v>0</v>
      </c>
      <c r="BG24" s="40">
        <f t="shared" si="11"/>
        <v>0</v>
      </c>
      <c r="BH24" s="40">
        <f t="shared" si="11"/>
        <v>0</v>
      </c>
      <c r="BI24" s="40">
        <f t="shared" si="11"/>
        <v>0</v>
      </c>
      <c r="BJ24" s="40">
        <f t="shared" si="11"/>
        <v>0</v>
      </c>
      <c r="BK24" s="40">
        <f t="shared" si="11"/>
        <v>0</v>
      </c>
      <c r="BL24" s="40">
        <f t="shared" si="11"/>
        <v>0</v>
      </c>
      <c r="BM24" s="40">
        <f t="shared" si="11"/>
        <v>0</v>
      </c>
      <c r="BN24" s="40">
        <f t="shared" si="11"/>
        <v>0</v>
      </c>
    </row>
    <row r="25" spans="1:66">
      <c r="A25" s="46" t="str">
        <v>ELECTRICITY MATERIAL</v>
      </c>
      <c r="B25" s="46">
        <v>0</v>
      </c>
      <c r="C25" s="40">
        <f t="shared" ref="C25:BN25" si="12">$B25/64</f>
        <v>0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0</v>
      </c>
      <c r="AM25" s="40">
        <f t="shared" si="12"/>
        <v>0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0</v>
      </c>
      <c r="AX25" s="40">
        <f t="shared" si="12"/>
        <v>0</v>
      </c>
      <c r="AY25" s="40">
        <f t="shared" si="12"/>
        <v>0</v>
      </c>
      <c r="AZ25" s="40">
        <f t="shared" si="12"/>
        <v>0</v>
      </c>
      <c r="BA25" s="40">
        <f t="shared" si="12"/>
        <v>0</v>
      </c>
      <c r="BB25" s="40">
        <f t="shared" si="12"/>
        <v>0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0</v>
      </c>
    </row>
    <row r="26" spans="1:66">
      <c r="A26" s="46" t="str">
        <v>TRANSFORMER REPAIR</v>
      </c>
      <c r="B26" s="46">
        <v>0</v>
      </c>
      <c r="C26" s="40">
        <f t="shared" ref="C26:BN26" si="13">$B26/64</f>
        <v>0</v>
      </c>
      <c r="D26" s="40">
        <f t="shared" si="13"/>
        <v>0</v>
      </c>
      <c r="E26" s="40">
        <f t="shared" si="13"/>
        <v>0</v>
      </c>
      <c r="F26" s="40">
        <f t="shared" si="13"/>
        <v>0</v>
      </c>
      <c r="G26" s="40">
        <f t="shared" si="13"/>
        <v>0</v>
      </c>
      <c r="H26" s="40">
        <f t="shared" si="13"/>
        <v>0</v>
      </c>
      <c r="I26" s="40">
        <f t="shared" si="13"/>
        <v>0</v>
      </c>
      <c r="J26" s="40">
        <f t="shared" si="13"/>
        <v>0</v>
      </c>
      <c r="K26" s="40">
        <f t="shared" si="13"/>
        <v>0</v>
      </c>
      <c r="L26" s="40">
        <f t="shared" si="13"/>
        <v>0</v>
      </c>
      <c r="M26" s="40">
        <f t="shared" si="13"/>
        <v>0</v>
      </c>
      <c r="N26" s="40">
        <f t="shared" si="13"/>
        <v>0</v>
      </c>
      <c r="O26" s="40">
        <f t="shared" si="13"/>
        <v>0</v>
      </c>
      <c r="P26" s="40">
        <f t="shared" si="13"/>
        <v>0</v>
      </c>
      <c r="Q26" s="40">
        <f t="shared" si="13"/>
        <v>0</v>
      </c>
      <c r="R26" s="40">
        <f t="shared" si="13"/>
        <v>0</v>
      </c>
      <c r="S26" s="40">
        <f t="shared" si="13"/>
        <v>0</v>
      </c>
      <c r="T26" s="40">
        <f t="shared" si="13"/>
        <v>0</v>
      </c>
      <c r="U26" s="40">
        <f t="shared" si="13"/>
        <v>0</v>
      </c>
      <c r="V26" s="40">
        <f t="shared" si="13"/>
        <v>0</v>
      </c>
      <c r="W26" s="40">
        <f t="shared" si="13"/>
        <v>0</v>
      </c>
      <c r="X26" s="40">
        <f t="shared" si="13"/>
        <v>0</v>
      </c>
      <c r="Y26" s="40">
        <f t="shared" si="13"/>
        <v>0</v>
      </c>
      <c r="Z26" s="40">
        <f t="shared" si="13"/>
        <v>0</v>
      </c>
      <c r="AA26" s="40">
        <f t="shared" si="13"/>
        <v>0</v>
      </c>
      <c r="AB26" s="40">
        <f t="shared" si="13"/>
        <v>0</v>
      </c>
      <c r="AC26" s="40">
        <f t="shared" si="13"/>
        <v>0</v>
      </c>
      <c r="AD26" s="40">
        <f t="shared" si="13"/>
        <v>0</v>
      </c>
      <c r="AE26" s="40">
        <f t="shared" si="13"/>
        <v>0</v>
      </c>
      <c r="AF26" s="40">
        <f t="shared" si="13"/>
        <v>0</v>
      </c>
      <c r="AG26" s="40">
        <f t="shared" si="13"/>
        <v>0</v>
      </c>
      <c r="AH26" s="40">
        <f t="shared" si="13"/>
        <v>0</v>
      </c>
      <c r="AI26" s="40">
        <f t="shared" si="13"/>
        <v>0</v>
      </c>
      <c r="AJ26" s="40">
        <f t="shared" si="13"/>
        <v>0</v>
      </c>
      <c r="AK26" s="40">
        <f t="shared" si="13"/>
        <v>0</v>
      </c>
      <c r="AL26" s="40">
        <f t="shared" si="13"/>
        <v>0</v>
      </c>
      <c r="AM26" s="40">
        <f t="shared" si="13"/>
        <v>0</v>
      </c>
      <c r="AN26" s="40">
        <f t="shared" si="13"/>
        <v>0</v>
      </c>
      <c r="AO26" s="40">
        <f t="shared" si="13"/>
        <v>0</v>
      </c>
      <c r="AP26" s="40">
        <f t="shared" si="13"/>
        <v>0</v>
      </c>
      <c r="AQ26" s="40">
        <f t="shared" si="13"/>
        <v>0</v>
      </c>
      <c r="AR26" s="40">
        <f t="shared" si="13"/>
        <v>0</v>
      </c>
      <c r="AS26" s="40">
        <f t="shared" si="13"/>
        <v>0</v>
      </c>
      <c r="AT26" s="40">
        <f t="shared" si="13"/>
        <v>0</v>
      </c>
      <c r="AU26" s="40">
        <f t="shared" si="13"/>
        <v>0</v>
      </c>
      <c r="AV26" s="40">
        <f t="shared" si="13"/>
        <v>0</v>
      </c>
      <c r="AW26" s="40">
        <f t="shared" si="13"/>
        <v>0</v>
      </c>
      <c r="AX26" s="40">
        <f t="shared" si="13"/>
        <v>0</v>
      </c>
      <c r="AY26" s="40">
        <f t="shared" si="13"/>
        <v>0</v>
      </c>
      <c r="AZ26" s="40">
        <f t="shared" si="13"/>
        <v>0</v>
      </c>
      <c r="BA26" s="40">
        <f t="shared" si="13"/>
        <v>0</v>
      </c>
      <c r="BB26" s="40">
        <f t="shared" si="13"/>
        <v>0</v>
      </c>
      <c r="BC26" s="40">
        <f t="shared" si="13"/>
        <v>0</v>
      </c>
      <c r="BD26" s="40">
        <f t="shared" si="13"/>
        <v>0</v>
      </c>
      <c r="BE26" s="40">
        <f t="shared" si="13"/>
        <v>0</v>
      </c>
      <c r="BF26" s="40">
        <f t="shared" si="13"/>
        <v>0</v>
      </c>
      <c r="BG26" s="40">
        <f t="shared" si="13"/>
        <v>0</v>
      </c>
      <c r="BH26" s="40">
        <f t="shared" si="13"/>
        <v>0</v>
      </c>
      <c r="BI26" s="40">
        <f t="shared" si="13"/>
        <v>0</v>
      </c>
      <c r="BJ26" s="40">
        <f t="shared" si="13"/>
        <v>0</v>
      </c>
      <c r="BK26" s="40">
        <f t="shared" si="13"/>
        <v>0</v>
      </c>
      <c r="BL26" s="40">
        <f t="shared" si="13"/>
        <v>0</v>
      </c>
      <c r="BM26" s="40">
        <f t="shared" si="13"/>
        <v>0</v>
      </c>
      <c r="BN26" s="40">
        <f t="shared" si="13"/>
        <v>0</v>
      </c>
    </row>
    <row r="27" spans="1:66">
      <c r="A27" s="46" t="str">
        <v>GENERATOR MAINTENANCE
EPITOME</v>
      </c>
      <c r="B27" s="46">
        <v>0</v>
      </c>
      <c r="C27" s="40">
        <f t="shared" ref="C27:BN27" si="14">$B27/64</f>
        <v>0</v>
      </c>
      <c r="D27" s="40">
        <f t="shared" si="14"/>
        <v>0</v>
      </c>
      <c r="E27" s="40">
        <f t="shared" si="14"/>
        <v>0</v>
      </c>
      <c r="F27" s="40">
        <f t="shared" si="14"/>
        <v>0</v>
      </c>
      <c r="G27" s="40">
        <f t="shared" si="14"/>
        <v>0</v>
      </c>
      <c r="H27" s="40">
        <f t="shared" si="14"/>
        <v>0</v>
      </c>
      <c r="I27" s="40">
        <f t="shared" si="14"/>
        <v>0</v>
      </c>
      <c r="J27" s="40">
        <f t="shared" si="14"/>
        <v>0</v>
      </c>
      <c r="K27" s="40">
        <f t="shared" si="14"/>
        <v>0</v>
      </c>
      <c r="L27" s="40">
        <f t="shared" si="14"/>
        <v>0</v>
      </c>
      <c r="M27" s="40">
        <f t="shared" si="14"/>
        <v>0</v>
      </c>
      <c r="N27" s="40">
        <f t="shared" si="14"/>
        <v>0</v>
      </c>
      <c r="O27" s="40">
        <f t="shared" si="14"/>
        <v>0</v>
      </c>
      <c r="P27" s="40">
        <f t="shared" si="14"/>
        <v>0</v>
      </c>
      <c r="Q27" s="40">
        <f t="shared" si="14"/>
        <v>0</v>
      </c>
      <c r="R27" s="40">
        <f t="shared" si="14"/>
        <v>0</v>
      </c>
      <c r="S27" s="40">
        <f t="shared" si="14"/>
        <v>0</v>
      </c>
      <c r="T27" s="40">
        <f t="shared" si="14"/>
        <v>0</v>
      </c>
      <c r="U27" s="40">
        <f t="shared" si="14"/>
        <v>0</v>
      </c>
      <c r="V27" s="40">
        <f t="shared" si="14"/>
        <v>0</v>
      </c>
      <c r="W27" s="40">
        <f t="shared" si="14"/>
        <v>0</v>
      </c>
      <c r="X27" s="40">
        <f t="shared" si="14"/>
        <v>0</v>
      </c>
      <c r="Y27" s="40">
        <f t="shared" si="14"/>
        <v>0</v>
      </c>
      <c r="Z27" s="40">
        <f t="shared" si="14"/>
        <v>0</v>
      </c>
      <c r="AA27" s="40">
        <f t="shared" si="14"/>
        <v>0</v>
      </c>
      <c r="AB27" s="40">
        <f t="shared" si="14"/>
        <v>0</v>
      </c>
      <c r="AC27" s="40">
        <f t="shared" si="14"/>
        <v>0</v>
      </c>
      <c r="AD27" s="40">
        <f t="shared" si="14"/>
        <v>0</v>
      </c>
      <c r="AE27" s="40">
        <f t="shared" si="14"/>
        <v>0</v>
      </c>
      <c r="AF27" s="40">
        <f t="shared" si="14"/>
        <v>0</v>
      </c>
      <c r="AG27" s="40">
        <f t="shared" si="14"/>
        <v>0</v>
      </c>
      <c r="AH27" s="40">
        <f t="shared" si="14"/>
        <v>0</v>
      </c>
      <c r="AI27" s="40">
        <f t="shared" si="14"/>
        <v>0</v>
      </c>
      <c r="AJ27" s="40">
        <f t="shared" si="14"/>
        <v>0</v>
      </c>
      <c r="AK27" s="40">
        <f t="shared" si="14"/>
        <v>0</v>
      </c>
      <c r="AL27" s="40">
        <f t="shared" si="14"/>
        <v>0</v>
      </c>
      <c r="AM27" s="40">
        <f t="shared" si="14"/>
        <v>0</v>
      </c>
      <c r="AN27" s="40">
        <f t="shared" si="14"/>
        <v>0</v>
      </c>
      <c r="AO27" s="40">
        <f t="shared" si="14"/>
        <v>0</v>
      </c>
      <c r="AP27" s="40">
        <f t="shared" si="14"/>
        <v>0</v>
      </c>
      <c r="AQ27" s="40">
        <f t="shared" si="14"/>
        <v>0</v>
      </c>
      <c r="AR27" s="40">
        <f t="shared" si="14"/>
        <v>0</v>
      </c>
      <c r="AS27" s="40">
        <f t="shared" si="14"/>
        <v>0</v>
      </c>
      <c r="AT27" s="40">
        <f t="shared" si="14"/>
        <v>0</v>
      </c>
      <c r="AU27" s="40">
        <f t="shared" si="14"/>
        <v>0</v>
      </c>
      <c r="AV27" s="40">
        <f t="shared" si="14"/>
        <v>0</v>
      </c>
      <c r="AW27" s="40">
        <f t="shared" si="14"/>
        <v>0</v>
      </c>
      <c r="AX27" s="40">
        <f t="shared" si="14"/>
        <v>0</v>
      </c>
      <c r="AY27" s="40">
        <f t="shared" si="14"/>
        <v>0</v>
      </c>
      <c r="AZ27" s="40">
        <f t="shared" si="14"/>
        <v>0</v>
      </c>
      <c r="BA27" s="40">
        <f t="shared" si="14"/>
        <v>0</v>
      </c>
      <c r="BB27" s="40">
        <f t="shared" si="14"/>
        <v>0</v>
      </c>
      <c r="BC27" s="40">
        <f t="shared" si="14"/>
        <v>0</v>
      </c>
      <c r="BD27" s="40">
        <f t="shared" si="14"/>
        <v>0</v>
      </c>
      <c r="BE27" s="40">
        <f t="shared" si="14"/>
        <v>0</v>
      </c>
      <c r="BF27" s="40">
        <f t="shared" si="14"/>
        <v>0</v>
      </c>
      <c r="BG27" s="40">
        <f t="shared" si="14"/>
        <v>0</v>
      </c>
      <c r="BH27" s="40">
        <f t="shared" si="14"/>
        <v>0</v>
      </c>
      <c r="BI27" s="40">
        <f t="shared" si="14"/>
        <v>0</v>
      </c>
      <c r="BJ27" s="40">
        <f t="shared" si="14"/>
        <v>0</v>
      </c>
      <c r="BK27" s="40">
        <f t="shared" si="14"/>
        <v>0</v>
      </c>
      <c r="BL27" s="40">
        <f t="shared" si="14"/>
        <v>0</v>
      </c>
      <c r="BM27" s="40">
        <f t="shared" si="14"/>
        <v>0</v>
      </c>
      <c r="BN27" s="40">
        <f t="shared" si="14"/>
        <v>0</v>
      </c>
    </row>
    <row r="28" spans="1:66">
      <c r="A28" s="46" t="str">
        <v>GARDENING</v>
      </c>
      <c r="B28" s="46">
        <v>3000</v>
      </c>
      <c r="C28" s="40">
        <f t="shared" ref="C28:BN28" si="15">$B28/64</f>
        <v>46.875</v>
      </c>
      <c r="D28" s="40">
        <f t="shared" si="15"/>
        <v>46.875</v>
      </c>
      <c r="E28" s="40">
        <f t="shared" si="15"/>
        <v>46.875</v>
      </c>
      <c r="F28" s="40">
        <f t="shared" si="15"/>
        <v>46.875</v>
      </c>
      <c r="G28" s="40">
        <f t="shared" si="15"/>
        <v>46.875</v>
      </c>
      <c r="H28" s="40">
        <f t="shared" si="15"/>
        <v>46.875</v>
      </c>
      <c r="I28" s="40">
        <f t="shared" si="15"/>
        <v>46.875</v>
      </c>
      <c r="J28" s="40">
        <f t="shared" si="15"/>
        <v>46.875</v>
      </c>
      <c r="K28" s="40">
        <f t="shared" si="15"/>
        <v>46.875</v>
      </c>
      <c r="L28" s="40">
        <f t="shared" si="15"/>
        <v>46.875</v>
      </c>
      <c r="M28" s="40">
        <f t="shared" si="15"/>
        <v>46.875</v>
      </c>
      <c r="N28" s="40">
        <f t="shared" si="15"/>
        <v>46.875</v>
      </c>
      <c r="O28" s="40">
        <f t="shared" si="15"/>
        <v>46.875</v>
      </c>
      <c r="P28" s="40">
        <f t="shared" si="15"/>
        <v>46.875</v>
      </c>
      <c r="Q28" s="40">
        <f t="shared" si="15"/>
        <v>46.875</v>
      </c>
      <c r="R28" s="40">
        <f t="shared" si="15"/>
        <v>46.875</v>
      </c>
      <c r="S28" s="40">
        <f t="shared" si="15"/>
        <v>46.875</v>
      </c>
      <c r="T28" s="40">
        <f t="shared" si="15"/>
        <v>46.875</v>
      </c>
      <c r="U28" s="40">
        <f t="shared" si="15"/>
        <v>46.875</v>
      </c>
      <c r="V28" s="40">
        <f t="shared" si="15"/>
        <v>46.875</v>
      </c>
      <c r="W28" s="40">
        <f t="shared" si="15"/>
        <v>46.875</v>
      </c>
      <c r="X28" s="40">
        <f t="shared" si="15"/>
        <v>46.875</v>
      </c>
      <c r="Y28" s="40">
        <f t="shared" si="15"/>
        <v>46.875</v>
      </c>
      <c r="Z28" s="40">
        <f t="shared" si="15"/>
        <v>46.875</v>
      </c>
      <c r="AA28" s="40">
        <f t="shared" si="15"/>
        <v>46.875</v>
      </c>
      <c r="AB28" s="40">
        <f t="shared" si="15"/>
        <v>46.875</v>
      </c>
      <c r="AC28" s="40">
        <f t="shared" si="15"/>
        <v>46.875</v>
      </c>
      <c r="AD28" s="40">
        <f t="shared" si="15"/>
        <v>46.875</v>
      </c>
      <c r="AE28" s="40">
        <f t="shared" si="15"/>
        <v>46.875</v>
      </c>
      <c r="AF28" s="40">
        <f t="shared" si="15"/>
        <v>46.875</v>
      </c>
      <c r="AG28" s="40">
        <f t="shared" si="15"/>
        <v>46.875</v>
      </c>
      <c r="AH28" s="40">
        <f t="shared" si="15"/>
        <v>46.875</v>
      </c>
      <c r="AI28" s="40">
        <f t="shared" si="15"/>
        <v>46.875</v>
      </c>
      <c r="AJ28" s="40">
        <f t="shared" si="15"/>
        <v>46.875</v>
      </c>
      <c r="AK28" s="40">
        <f t="shared" si="15"/>
        <v>46.875</v>
      </c>
      <c r="AL28" s="40">
        <f t="shared" si="15"/>
        <v>46.875</v>
      </c>
      <c r="AM28" s="40">
        <f t="shared" si="15"/>
        <v>46.875</v>
      </c>
      <c r="AN28" s="40">
        <f t="shared" si="15"/>
        <v>46.875</v>
      </c>
      <c r="AO28" s="40">
        <f t="shared" si="15"/>
        <v>46.875</v>
      </c>
      <c r="AP28" s="40">
        <f t="shared" si="15"/>
        <v>46.875</v>
      </c>
      <c r="AQ28" s="40">
        <f t="shared" si="15"/>
        <v>46.875</v>
      </c>
      <c r="AR28" s="40">
        <f t="shared" si="15"/>
        <v>46.875</v>
      </c>
      <c r="AS28" s="40">
        <f t="shared" si="15"/>
        <v>46.875</v>
      </c>
      <c r="AT28" s="40">
        <f t="shared" si="15"/>
        <v>46.875</v>
      </c>
      <c r="AU28" s="40">
        <f t="shared" si="15"/>
        <v>46.875</v>
      </c>
      <c r="AV28" s="40">
        <f t="shared" si="15"/>
        <v>46.875</v>
      </c>
      <c r="AW28" s="40">
        <f t="shared" si="15"/>
        <v>46.875</v>
      </c>
      <c r="AX28" s="40">
        <f t="shared" si="15"/>
        <v>46.875</v>
      </c>
      <c r="AY28" s="40">
        <f t="shared" si="15"/>
        <v>46.875</v>
      </c>
      <c r="AZ28" s="40">
        <f t="shared" si="15"/>
        <v>46.875</v>
      </c>
      <c r="BA28" s="40">
        <f t="shared" si="15"/>
        <v>46.875</v>
      </c>
      <c r="BB28" s="40">
        <f t="shared" si="15"/>
        <v>46.875</v>
      </c>
      <c r="BC28" s="40">
        <f t="shared" si="15"/>
        <v>46.875</v>
      </c>
      <c r="BD28" s="40">
        <f t="shared" si="15"/>
        <v>46.875</v>
      </c>
      <c r="BE28" s="40">
        <f t="shared" si="15"/>
        <v>46.875</v>
      </c>
      <c r="BF28" s="40">
        <f t="shared" si="15"/>
        <v>46.875</v>
      </c>
      <c r="BG28" s="40">
        <f t="shared" si="15"/>
        <v>46.875</v>
      </c>
      <c r="BH28" s="40">
        <f t="shared" si="15"/>
        <v>46.875</v>
      </c>
      <c r="BI28" s="40">
        <f t="shared" si="15"/>
        <v>46.875</v>
      </c>
      <c r="BJ28" s="40">
        <f t="shared" si="15"/>
        <v>46.875</v>
      </c>
      <c r="BK28" s="40">
        <f t="shared" si="15"/>
        <v>46.875</v>
      </c>
      <c r="BL28" s="40">
        <f t="shared" si="15"/>
        <v>46.875</v>
      </c>
      <c r="BM28" s="40">
        <f t="shared" si="15"/>
        <v>46.875</v>
      </c>
      <c r="BN28" s="40">
        <f t="shared" si="15"/>
        <v>46.875</v>
      </c>
    </row>
    <row r="29" spans="1:66">
      <c r="A29" s="46" t="str">
        <v>PLUMBER WAGE</v>
      </c>
      <c r="B29" s="46">
        <v>7000</v>
      </c>
      <c r="C29" s="40">
        <f t="shared" ref="C29:BN29" si="16">$B29/64</f>
        <v>109.375</v>
      </c>
      <c r="D29" s="40">
        <f t="shared" si="16"/>
        <v>109.375</v>
      </c>
      <c r="E29" s="40">
        <f t="shared" si="16"/>
        <v>109.375</v>
      </c>
      <c r="F29" s="40">
        <f t="shared" si="16"/>
        <v>109.375</v>
      </c>
      <c r="G29" s="40">
        <f t="shared" si="16"/>
        <v>109.375</v>
      </c>
      <c r="H29" s="40">
        <f t="shared" si="16"/>
        <v>109.375</v>
      </c>
      <c r="I29" s="40">
        <f t="shared" si="16"/>
        <v>109.375</v>
      </c>
      <c r="J29" s="40">
        <f t="shared" si="16"/>
        <v>109.375</v>
      </c>
      <c r="K29" s="40">
        <f t="shared" si="16"/>
        <v>109.375</v>
      </c>
      <c r="L29" s="40">
        <f t="shared" si="16"/>
        <v>109.375</v>
      </c>
      <c r="M29" s="40">
        <f t="shared" si="16"/>
        <v>109.375</v>
      </c>
      <c r="N29" s="40">
        <f t="shared" si="16"/>
        <v>109.375</v>
      </c>
      <c r="O29" s="40">
        <f t="shared" si="16"/>
        <v>109.375</v>
      </c>
      <c r="P29" s="40">
        <f t="shared" si="16"/>
        <v>109.375</v>
      </c>
      <c r="Q29" s="40">
        <f t="shared" si="16"/>
        <v>109.375</v>
      </c>
      <c r="R29" s="40">
        <f t="shared" si="16"/>
        <v>109.375</v>
      </c>
      <c r="S29" s="40">
        <f t="shared" si="16"/>
        <v>109.375</v>
      </c>
      <c r="T29" s="40">
        <f t="shared" si="16"/>
        <v>109.375</v>
      </c>
      <c r="U29" s="40">
        <f t="shared" si="16"/>
        <v>109.375</v>
      </c>
      <c r="V29" s="40">
        <f t="shared" si="16"/>
        <v>109.375</v>
      </c>
      <c r="W29" s="40">
        <f t="shared" si="16"/>
        <v>109.375</v>
      </c>
      <c r="X29" s="40">
        <f t="shared" si="16"/>
        <v>109.375</v>
      </c>
      <c r="Y29" s="40">
        <f t="shared" si="16"/>
        <v>109.375</v>
      </c>
      <c r="Z29" s="40">
        <f t="shared" si="16"/>
        <v>109.375</v>
      </c>
      <c r="AA29" s="40">
        <f t="shared" si="16"/>
        <v>109.375</v>
      </c>
      <c r="AB29" s="40">
        <f t="shared" si="16"/>
        <v>109.375</v>
      </c>
      <c r="AC29" s="40">
        <f t="shared" si="16"/>
        <v>109.375</v>
      </c>
      <c r="AD29" s="40">
        <f t="shared" si="16"/>
        <v>109.375</v>
      </c>
      <c r="AE29" s="40">
        <f t="shared" si="16"/>
        <v>109.375</v>
      </c>
      <c r="AF29" s="40">
        <f t="shared" si="16"/>
        <v>109.375</v>
      </c>
      <c r="AG29" s="40">
        <f t="shared" si="16"/>
        <v>109.375</v>
      </c>
      <c r="AH29" s="40">
        <f t="shared" si="16"/>
        <v>109.375</v>
      </c>
      <c r="AI29" s="40">
        <f t="shared" si="16"/>
        <v>109.375</v>
      </c>
      <c r="AJ29" s="40">
        <f t="shared" si="16"/>
        <v>109.375</v>
      </c>
      <c r="AK29" s="40">
        <f t="shared" si="16"/>
        <v>109.375</v>
      </c>
      <c r="AL29" s="40">
        <f t="shared" si="16"/>
        <v>109.375</v>
      </c>
      <c r="AM29" s="40">
        <f t="shared" si="16"/>
        <v>109.375</v>
      </c>
      <c r="AN29" s="40">
        <f t="shared" si="16"/>
        <v>109.375</v>
      </c>
      <c r="AO29" s="40">
        <f t="shared" si="16"/>
        <v>109.375</v>
      </c>
      <c r="AP29" s="40">
        <f t="shared" si="16"/>
        <v>109.375</v>
      </c>
      <c r="AQ29" s="40">
        <f t="shared" si="16"/>
        <v>109.375</v>
      </c>
      <c r="AR29" s="40">
        <f t="shared" si="16"/>
        <v>109.375</v>
      </c>
      <c r="AS29" s="40">
        <f t="shared" si="16"/>
        <v>109.375</v>
      </c>
      <c r="AT29" s="40">
        <f t="shared" si="16"/>
        <v>109.375</v>
      </c>
      <c r="AU29" s="40">
        <f t="shared" si="16"/>
        <v>109.375</v>
      </c>
      <c r="AV29" s="40">
        <f t="shared" si="16"/>
        <v>109.375</v>
      </c>
      <c r="AW29" s="40">
        <f t="shared" si="16"/>
        <v>109.375</v>
      </c>
      <c r="AX29" s="40">
        <f t="shared" si="16"/>
        <v>109.375</v>
      </c>
      <c r="AY29" s="40">
        <f t="shared" si="16"/>
        <v>109.375</v>
      </c>
      <c r="AZ29" s="40">
        <f t="shared" si="16"/>
        <v>109.375</v>
      </c>
      <c r="BA29" s="40">
        <f t="shared" si="16"/>
        <v>109.375</v>
      </c>
      <c r="BB29" s="40">
        <f t="shared" si="16"/>
        <v>109.375</v>
      </c>
      <c r="BC29" s="40">
        <f t="shared" si="16"/>
        <v>109.375</v>
      </c>
      <c r="BD29" s="40">
        <f t="shared" si="16"/>
        <v>109.375</v>
      </c>
      <c r="BE29" s="40">
        <f t="shared" si="16"/>
        <v>109.375</v>
      </c>
      <c r="BF29" s="40">
        <f t="shared" si="16"/>
        <v>109.375</v>
      </c>
      <c r="BG29" s="40">
        <f t="shared" si="16"/>
        <v>109.375</v>
      </c>
      <c r="BH29" s="40">
        <f t="shared" si="16"/>
        <v>109.375</v>
      </c>
      <c r="BI29" s="40">
        <f t="shared" si="16"/>
        <v>109.375</v>
      </c>
      <c r="BJ29" s="40">
        <f t="shared" si="16"/>
        <v>109.375</v>
      </c>
      <c r="BK29" s="40">
        <f t="shared" si="16"/>
        <v>109.375</v>
      </c>
      <c r="BL29" s="40">
        <f t="shared" si="16"/>
        <v>109.375</v>
      </c>
      <c r="BM29" s="40">
        <f t="shared" si="16"/>
        <v>109.375</v>
      </c>
      <c r="BN29" s="40">
        <f t="shared" si="16"/>
        <v>109.375</v>
      </c>
    </row>
    <row r="30" spans="1:66">
      <c r="A30" s="46" t="str">
        <v>ELECTRICIAN WAGE</v>
      </c>
      <c r="B30" s="46">
        <v>6000</v>
      </c>
      <c r="C30" s="40">
        <f t="shared" ref="C30:BN30" si="17">$B30/64</f>
        <v>93.75</v>
      </c>
      <c r="D30" s="40">
        <f t="shared" si="17"/>
        <v>93.75</v>
      </c>
      <c r="E30" s="40">
        <f t="shared" si="17"/>
        <v>93.75</v>
      </c>
      <c r="F30" s="40">
        <f t="shared" si="17"/>
        <v>93.75</v>
      </c>
      <c r="G30" s="40">
        <f t="shared" si="17"/>
        <v>93.75</v>
      </c>
      <c r="H30" s="40">
        <f t="shared" si="17"/>
        <v>93.75</v>
      </c>
      <c r="I30" s="40">
        <f t="shared" si="17"/>
        <v>93.75</v>
      </c>
      <c r="J30" s="40">
        <f t="shared" si="17"/>
        <v>93.75</v>
      </c>
      <c r="K30" s="40">
        <f t="shared" si="17"/>
        <v>93.75</v>
      </c>
      <c r="L30" s="40">
        <f t="shared" si="17"/>
        <v>93.75</v>
      </c>
      <c r="M30" s="40">
        <f t="shared" si="17"/>
        <v>93.75</v>
      </c>
      <c r="N30" s="40">
        <f t="shared" si="17"/>
        <v>93.75</v>
      </c>
      <c r="O30" s="40">
        <f t="shared" si="17"/>
        <v>93.75</v>
      </c>
      <c r="P30" s="40">
        <f t="shared" si="17"/>
        <v>93.75</v>
      </c>
      <c r="Q30" s="40">
        <f t="shared" si="17"/>
        <v>93.75</v>
      </c>
      <c r="R30" s="40">
        <f t="shared" si="17"/>
        <v>93.75</v>
      </c>
      <c r="S30" s="40">
        <f t="shared" si="17"/>
        <v>93.75</v>
      </c>
      <c r="T30" s="40">
        <f t="shared" si="17"/>
        <v>93.75</v>
      </c>
      <c r="U30" s="40">
        <f t="shared" si="17"/>
        <v>93.75</v>
      </c>
      <c r="V30" s="40">
        <f t="shared" si="17"/>
        <v>93.75</v>
      </c>
      <c r="W30" s="40">
        <f t="shared" si="17"/>
        <v>93.75</v>
      </c>
      <c r="X30" s="40">
        <f t="shared" si="17"/>
        <v>93.75</v>
      </c>
      <c r="Y30" s="40">
        <f t="shared" si="17"/>
        <v>93.75</v>
      </c>
      <c r="Z30" s="40">
        <f t="shared" si="17"/>
        <v>93.75</v>
      </c>
      <c r="AA30" s="40">
        <f t="shared" si="17"/>
        <v>93.75</v>
      </c>
      <c r="AB30" s="40">
        <f t="shared" si="17"/>
        <v>93.75</v>
      </c>
      <c r="AC30" s="40">
        <f t="shared" si="17"/>
        <v>93.75</v>
      </c>
      <c r="AD30" s="40">
        <f t="shared" si="17"/>
        <v>93.75</v>
      </c>
      <c r="AE30" s="40">
        <f t="shared" si="17"/>
        <v>93.75</v>
      </c>
      <c r="AF30" s="40">
        <f t="shared" si="17"/>
        <v>93.75</v>
      </c>
      <c r="AG30" s="40">
        <f t="shared" si="17"/>
        <v>93.75</v>
      </c>
      <c r="AH30" s="40">
        <f t="shared" si="17"/>
        <v>93.75</v>
      </c>
      <c r="AI30" s="40">
        <f t="shared" si="17"/>
        <v>93.75</v>
      </c>
      <c r="AJ30" s="40">
        <f t="shared" si="17"/>
        <v>93.75</v>
      </c>
      <c r="AK30" s="40">
        <f t="shared" si="17"/>
        <v>93.75</v>
      </c>
      <c r="AL30" s="40">
        <f t="shared" si="17"/>
        <v>93.75</v>
      </c>
      <c r="AM30" s="40">
        <f t="shared" si="17"/>
        <v>93.75</v>
      </c>
      <c r="AN30" s="40">
        <f t="shared" si="17"/>
        <v>93.75</v>
      </c>
      <c r="AO30" s="40">
        <f t="shared" si="17"/>
        <v>93.75</v>
      </c>
      <c r="AP30" s="40">
        <f t="shared" si="17"/>
        <v>93.75</v>
      </c>
      <c r="AQ30" s="40">
        <f t="shared" si="17"/>
        <v>93.75</v>
      </c>
      <c r="AR30" s="40">
        <f t="shared" si="17"/>
        <v>93.75</v>
      </c>
      <c r="AS30" s="40">
        <f t="shared" si="17"/>
        <v>93.75</v>
      </c>
      <c r="AT30" s="40">
        <f t="shared" si="17"/>
        <v>93.75</v>
      </c>
      <c r="AU30" s="40">
        <f t="shared" si="17"/>
        <v>93.75</v>
      </c>
      <c r="AV30" s="40">
        <f t="shared" si="17"/>
        <v>93.75</v>
      </c>
      <c r="AW30" s="40">
        <f t="shared" si="17"/>
        <v>93.75</v>
      </c>
      <c r="AX30" s="40">
        <f t="shared" si="17"/>
        <v>93.75</v>
      </c>
      <c r="AY30" s="40">
        <f t="shared" si="17"/>
        <v>93.75</v>
      </c>
      <c r="AZ30" s="40">
        <f t="shared" si="17"/>
        <v>93.75</v>
      </c>
      <c r="BA30" s="40">
        <f t="shared" si="17"/>
        <v>93.75</v>
      </c>
      <c r="BB30" s="40">
        <f t="shared" si="17"/>
        <v>93.75</v>
      </c>
      <c r="BC30" s="40">
        <f t="shared" si="17"/>
        <v>93.75</v>
      </c>
      <c r="BD30" s="40">
        <f t="shared" si="17"/>
        <v>93.75</v>
      </c>
      <c r="BE30" s="40">
        <f t="shared" si="17"/>
        <v>93.75</v>
      </c>
      <c r="BF30" s="40">
        <f t="shared" si="17"/>
        <v>93.75</v>
      </c>
      <c r="BG30" s="40">
        <f t="shared" si="17"/>
        <v>93.75</v>
      </c>
      <c r="BH30" s="40">
        <f t="shared" si="17"/>
        <v>93.75</v>
      </c>
      <c r="BI30" s="40">
        <f t="shared" si="17"/>
        <v>93.75</v>
      </c>
      <c r="BJ30" s="40">
        <f t="shared" si="17"/>
        <v>93.75</v>
      </c>
      <c r="BK30" s="40">
        <f t="shared" si="17"/>
        <v>93.75</v>
      </c>
      <c r="BL30" s="40">
        <f t="shared" si="17"/>
        <v>93.75</v>
      </c>
      <c r="BM30" s="40">
        <f t="shared" si="17"/>
        <v>93.75</v>
      </c>
      <c r="BN30" s="40">
        <f t="shared" si="17"/>
        <v>93.75</v>
      </c>
    </row>
    <row r="31" spans="1:66">
      <c r="A31" s="46" t="str">
        <v>MANAGER WAGE</v>
      </c>
      <c r="B31" s="46">
        <v>9000</v>
      </c>
      <c r="C31" s="40">
        <f t="shared" ref="C31:BN31" si="18">$B31/64</f>
        <v>140.625</v>
      </c>
      <c r="D31" s="40">
        <f t="shared" si="18"/>
        <v>140.625</v>
      </c>
      <c r="E31" s="40">
        <f t="shared" si="18"/>
        <v>140.625</v>
      </c>
      <c r="F31" s="40">
        <f t="shared" si="18"/>
        <v>140.625</v>
      </c>
      <c r="G31" s="40">
        <f t="shared" si="18"/>
        <v>140.625</v>
      </c>
      <c r="H31" s="40">
        <f t="shared" si="18"/>
        <v>140.625</v>
      </c>
      <c r="I31" s="40">
        <f t="shared" si="18"/>
        <v>140.625</v>
      </c>
      <c r="J31" s="40">
        <f t="shared" si="18"/>
        <v>140.625</v>
      </c>
      <c r="K31" s="40">
        <f t="shared" si="18"/>
        <v>140.625</v>
      </c>
      <c r="L31" s="40">
        <f t="shared" si="18"/>
        <v>140.625</v>
      </c>
      <c r="M31" s="40">
        <f t="shared" si="18"/>
        <v>140.625</v>
      </c>
      <c r="N31" s="40">
        <f t="shared" si="18"/>
        <v>140.625</v>
      </c>
      <c r="O31" s="40">
        <f t="shared" si="18"/>
        <v>140.625</v>
      </c>
      <c r="P31" s="40">
        <f t="shared" si="18"/>
        <v>140.625</v>
      </c>
      <c r="Q31" s="40">
        <f t="shared" si="18"/>
        <v>140.625</v>
      </c>
      <c r="R31" s="40">
        <f t="shared" si="18"/>
        <v>140.625</v>
      </c>
      <c r="S31" s="40">
        <f t="shared" si="18"/>
        <v>140.625</v>
      </c>
      <c r="T31" s="40">
        <f t="shared" si="18"/>
        <v>140.625</v>
      </c>
      <c r="U31" s="40">
        <f t="shared" si="18"/>
        <v>140.625</v>
      </c>
      <c r="V31" s="40">
        <f t="shared" si="18"/>
        <v>140.625</v>
      </c>
      <c r="W31" s="40">
        <f t="shared" si="18"/>
        <v>140.625</v>
      </c>
      <c r="X31" s="40">
        <f t="shared" si="18"/>
        <v>140.625</v>
      </c>
      <c r="Y31" s="40">
        <f t="shared" si="18"/>
        <v>140.625</v>
      </c>
      <c r="Z31" s="40">
        <f t="shared" si="18"/>
        <v>140.625</v>
      </c>
      <c r="AA31" s="40">
        <f t="shared" si="18"/>
        <v>140.625</v>
      </c>
      <c r="AB31" s="40">
        <f t="shared" si="18"/>
        <v>140.625</v>
      </c>
      <c r="AC31" s="40">
        <f t="shared" si="18"/>
        <v>140.625</v>
      </c>
      <c r="AD31" s="40">
        <f t="shared" si="18"/>
        <v>140.625</v>
      </c>
      <c r="AE31" s="40">
        <f t="shared" si="18"/>
        <v>140.625</v>
      </c>
      <c r="AF31" s="40">
        <f t="shared" si="18"/>
        <v>140.625</v>
      </c>
      <c r="AG31" s="40">
        <f t="shared" si="18"/>
        <v>140.625</v>
      </c>
      <c r="AH31" s="40">
        <f t="shared" si="18"/>
        <v>140.625</v>
      </c>
      <c r="AI31" s="40">
        <f t="shared" si="18"/>
        <v>140.625</v>
      </c>
      <c r="AJ31" s="40">
        <f t="shared" si="18"/>
        <v>140.625</v>
      </c>
      <c r="AK31" s="40">
        <f t="shared" si="18"/>
        <v>140.625</v>
      </c>
      <c r="AL31" s="40">
        <f t="shared" si="18"/>
        <v>140.625</v>
      </c>
      <c r="AM31" s="40">
        <f t="shared" si="18"/>
        <v>140.625</v>
      </c>
      <c r="AN31" s="40">
        <f t="shared" si="18"/>
        <v>140.625</v>
      </c>
      <c r="AO31" s="40">
        <f t="shared" si="18"/>
        <v>140.625</v>
      </c>
      <c r="AP31" s="40">
        <f t="shared" si="18"/>
        <v>140.625</v>
      </c>
      <c r="AQ31" s="40">
        <f t="shared" si="18"/>
        <v>140.625</v>
      </c>
      <c r="AR31" s="40">
        <f t="shared" si="18"/>
        <v>140.625</v>
      </c>
      <c r="AS31" s="40">
        <f t="shared" si="18"/>
        <v>140.625</v>
      </c>
      <c r="AT31" s="40">
        <f t="shared" si="18"/>
        <v>140.625</v>
      </c>
      <c r="AU31" s="40">
        <f t="shared" si="18"/>
        <v>140.625</v>
      </c>
      <c r="AV31" s="40">
        <f t="shared" si="18"/>
        <v>140.625</v>
      </c>
      <c r="AW31" s="40">
        <f t="shared" si="18"/>
        <v>140.625</v>
      </c>
      <c r="AX31" s="40">
        <f t="shared" si="18"/>
        <v>140.625</v>
      </c>
      <c r="AY31" s="40">
        <f t="shared" si="18"/>
        <v>140.625</v>
      </c>
      <c r="AZ31" s="40">
        <f t="shared" si="18"/>
        <v>140.625</v>
      </c>
      <c r="BA31" s="40">
        <f t="shared" si="18"/>
        <v>140.625</v>
      </c>
      <c r="BB31" s="40">
        <f t="shared" si="18"/>
        <v>140.625</v>
      </c>
      <c r="BC31" s="40">
        <f t="shared" si="18"/>
        <v>140.625</v>
      </c>
      <c r="BD31" s="40">
        <f t="shared" si="18"/>
        <v>140.625</v>
      </c>
      <c r="BE31" s="40">
        <f t="shared" si="18"/>
        <v>140.625</v>
      </c>
      <c r="BF31" s="40">
        <f t="shared" si="18"/>
        <v>140.625</v>
      </c>
      <c r="BG31" s="40">
        <f t="shared" si="18"/>
        <v>140.625</v>
      </c>
      <c r="BH31" s="40">
        <f t="shared" si="18"/>
        <v>140.625</v>
      </c>
      <c r="BI31" s="40">
        <f t="shared" si="18"/>
        <v>140.625</v>
      </c>
      <c r="BJ31" s="40">
        <f t="shared" si="18"/>
        <v>140.625</v>
      </c>
      <c r="BK31" s="40">
        <f t="shared" si="18"/>
        <v>140.625</v>
      </c>
      <c r="BL31" s="40">
        <f t="shared" si="18"/>
        <v>140.625</v>
      </c>
      <c r="BM31" s="40">
        <f t="shared" si="18"/>
        <v>140.625</v>
      </c>
      <c r="BN31" s="40">
        <f t="shared" si="18"/>
        <v>140.625</v>
      </c>
    </row>
    <row r="32" spans="1:66">
      <c r="A32" s="46" t="str">
        <v>TANK AND SUMP CLEANING</v>
      </c>
      <c r="B32" s="46">
        <v>0</v>
      </c>
      <c r="C32" s="40">
        <f t="shared" ref="C32:BN32" si="19">$B32/64</f>
        <v>0</v>
      </c>
      <c r="D32" s="40">
        <f t="shared" si="19"/>
        <v>0</v>
      </c>
      <c r="E32" s="40">
        <f t="shared" si="19"/>
        <v>0</v>
      </c>
      <c r="F32" s="40">
        <f t="shared" si="19"/>
        <v>0</v>
      </c>
      <c r="G32" s="40">
        <f t="shared" si="19"/>
        <v>0</v>
      </c>
      <c r="H32" s="40">
        <f t="shared" si="19"/>
        <v>0</v>
      </c>
      <c r="I32" s="40">
        <f t="shared" si="19"/>
        <v>0</v>
      </c>
      <c r="J32" s="40">
        <f t="shared" si="19"/>
        <v>0</v>
      </c>
      <c r="K32" s="40">
        <f t="shared" si="19"/>
        <v>0</v>
      </c>
      <c r="L32" s="40">
        <f t="shared" si="19"/>
        <v>0</v>
      </c>
      <c r="M32" s="40">
        <f t="shared" si="19"/>
        <v>0</v>
      </c>
      <c r="N32" s="40">
        <f t="shared" si="19"/>
        <v>0</v>
      </c>
      <c r="O32" s="40">
        <f t="shared" si="19"/>
        <v>0</v>
      </c>
      <c r="P32" s="40">
        <f t="shared" si="19"/>
        <v>0</v>
      </c>
      <c r="Q32" s="40">
        <f t="shared" si="19"/>
        <v>0</v>
      </c>
      <c r="R32" s="40">
        <f t="shared" si="19"/>
        <v>0</v>
      </c>
      <c r="S32" s="40">
        <f t="shared" si="19"/>
        <v>0</v>
      </c>
      <c r="T32" s="40">
        <f t="shared" si="19"/>
        <v>0</v>
      </c>
      <c r="U32" s="40">
        <f t="shared" si="19"/>
        <v>0</v>
      </c>
      <c r="V32" s="40">
        <f t="shared" si="19"/>
        <v>0</v>
      </c>
      <c r="W32" s="40">
        <f t="shared" si="19"/>
        <v>0</v>
      </c>
      <c r="X32" s="40">
        <f t="shared" si="19"/>
        <v>0</v>
      </c>
      <c r="Y32" s="40">
        <f t="shared" si="19"/>
        <v>0</v>
      </c>
      <c r="Z32" s="40">
        <f t="shared" si="19"/>
        <v>0</v>
      </c>
      <c r="AA32" s="40">
        <f t="shared" si="19"/>
        <v>0</v>
      </c>
      <c r="AB32" s="40">
        <f t="shared" si="19"/>
        <v>0</v>
      </c>
      <c r="AC32" s="40">
        <f t="shared" si="19"/>
        <v>0</v>
      </c>
      <c r="AD32" s="40">
        <f t="shared" si="19"/>
        <v>0</v>
      </c>
      <c r="AE32" s="40">
        <f t="shared" si="19"/>
        <v>0</v>
      </c>
      <c r="AF32" s="40">
        <f t="shared" si="19"/>
        <v>0</v>
      </c>
      <c r="AG32" s="40">
        <f t="shared" si="19"/>
        <v>0</v>
      </c>
      <c r="AH32" s="40">
        <f t="shared" si="19"/>
        <v>0</v>
      </c>
      <c r="AI32" s="40">
        <f t="shared" si="19"/>
        <v>0</v>
      </c>
      <c r="AJ32" s="40">
        <f t="shared" si="19"/>
        <v>0</v>
      </c>
      <c r="AK32" s="40">
        <f t="shared" si="19"/>
        <v>0</v>
      </c>
      <c r="AL32" s="40">
        <f t="shared" si="19"/>
        <v>0</v>
      </c>
      <c r="AM32" s="40">
        <f t="shared" si="19"/>
        <v>0</v>
      </c>
      <c r="AN32" s="40">
        <f t="shared" si="19"/>
        <v>0</v>
      </c>
      <c r="AO32" s="40">
        <f t="shared" si="19"/>
        <v>0</v>
      </c>
      <c r="AP32" s="40">
        <f t="shared" si="19"/>
        <v>0</v>
      </c>
      <c r="AQ32" s="40">
        <f t="shared" si="19"/>
        <v>0</v>
      </c>
      <c r="AR32" s="40">
        <f t="shared" si="19"/>
        <v>0</v>
      </c>
      <c r="AS32" s="40">
        <f t="shared" si="19"/>
        <v>0</v>
      </c>
      <c r="AT32" s="40">
        <f t="shared" si="19"/>
        <v>0</v>
      </c>
      <c r="AU32" s="40">
        <f t="shared" si="19"/>
        <v>0</v>
      </c>
      <c r="AV32" s="40">
        <f t="shared" si="19"/>
        <v>0</v>
      </c>
      <c r="AW32" s="40">
        <f t="shared" si="19"/>
        <v>0</v>
      </c>
      <c r="AX32" s="40">
        <f t="shared" si="19"/>
        <v>0</v>
      </c>
      <c r="AY32" s="40">
        <f t="shared" si="19"/>
        <v>0</v>
      </c>
      <c r="AZ32" s="40">
        <f t="shared" si="19"/>
        <v>0</v>
      </c>
      <c r="BA32" s="40">
        <f t="shared" si="19"/>
        <v>0</v>
      </c>
      <c r="BB32" s="40">
        <f t="shared" si="19"/>
        <v>0</v>
      </c>
      <c r="BC32" s="40">
        <f t="shared" si="19"/>
        <v>0</v>
      </c>
      <c r="BD32" s="40">
        <f t="shared" si="19"/>
        <v>0</v>
      </c>
      <c r="BE32" s="40">
        <f t="shared" si="19"/>
        <v>0</v>
      </c>
      <c r="BF32" s="40">
        <f t="shared" si="19"/>
        <v>0</v>
      </c>
      <c r="BG32" s="40">
        <f t="shared" si="19"/>
        <v>0</v>
      </c>
      <c r="BH32" s="40">
        <f t="shared" si="19"/>
        <v>0</v>
      </c>
      <c r="BI32" s="40">
        <f t="shared" si="19"/>
        <v>0</v>
      </c>
      <c r="BJ32" s="40">
        <f t="shared" si="19"/>
        <v>0</v>
      </c>
      <c r="BK32" s="40">
        <f t="shared" si="19"/>
        <v>0</v>
      </c>
      <c r="BL32" s="40">
        <f t="shared" si="19"/>
        <v>0</v>
      </c>
      <c r="BM32" s="40">
        <f t="shared" si="19"/>
        <v>0</v>
      </c>
      <c r="BN32" s="40">
        <f t="shared" si="19"/>
        <v>0</v>
      </c>
    </row>
    <row r="33" spans="1:66">
      <c r="A33" s="46" t="str">
        <v>SECURITY WATER EXPENSES GREENMART</v>
      </c>
      <c r="B33" s="46">
        <v>0</v>
      </c>
      <c r="C33" s="40">
        <f t="shared" ref="C33:BN33" si="20">$B33/64</f>
        <v>0</v>
      </c>
      <c r="D33" s="40">
        <f t="shared" si="20"/>
        <v>0</v>
      </c>
      <c r="E33" s="40">
        <f t="shared" si="20"/>
        <v>0</v>
      </c>
      <c r="F33" s="40">
        <f t="shared" si="20"/>
        <v>0</v>
      </c>
      <c r="G33" s="40">
        <f t="shared" si="20"/>
        <v>0</v>
      </c>
      <c r="H33" s="40">
        <f t="shared" si="20"/>
        <v>0</v>
      </c>
      <c r="I33" s="40">
        <f t="shared" si="20"/>
        <v>0</v>
      </c>
      <c r="J33" s="40">
        <f t="shared" si="20"/>
        <v>0</v>
      </c>
      <c r="K33" s="40">
        <f t="shared" si="20"/>
        <v>0</v>
      </c>
      <c r="L33" s="40">
        <f t="shared" si="20"/>
        <v>0</v>
      </c>
      <c r="M33" s="40">
        <f t="shared" si="20"/>
        <v>0</v>
      </c>
      <c r="N33" s="40">
        <f t="shared" si="20"/>
        <v>0</v>
      </c>
      <c r="O33" s="40">
        <f t="shared" si="20"/>
        <v>0</v>
      </c>
      <c r="P33" s="40">
        <f t="shared" si="20"/>
        <v>0</v>
      </c>
      <c r="Q33" s="40">
        <f t="shared" si="20"/>
        <v>0</v>
      </c>
      <c r="R33" s="40">
        <f t="shared" si="20"/>
        <v>0</v>
      </c>
      <c r="S33" s="40">
        <f t="shared" si="20"/>
        <v>0</v>
      </c>
      <c r="T33" s="40">
        <f t="shared" si="20"/>
        <v>0</v>
      </c>
      <c r="U33" s="40">
        <f t="shared" si="20"/>
        <v>0</v>
      </c>
      <c r="V33" s="40">
        <f t="shared" si="20"/>
        <v>0</v>
      </c>
      <c r="W33" s="40">
        <f t="shared" si="20"/>
        <v>0</v>
      </c>
      <c r="X33" s="40">
        <f t="shared" si="20"/>
        <v>0</v>
      </c>
      <c r="Y33" s="40">
        <f t="shared" si="20"/>
        <v>0</v>
      </c>
      <c r="Z33" s="40">
        <f t="shared" si="20"/>
        <v>0</v>
      </c>
      <c r="AA33" s="40">
        <f t="shared" si="20"/>
        <v>0</v>
      </c>
      <c r="AB33" s="40">
        <f t="shared" si="20"/>
        <v>0</v>
      </c>
      <c r="AC33" s="40">
        <f t="shared" si="20"/>
        <v>0</v>
      </c>
      <c r="AD33" s="40">
        <f t="shared" si="20"/>
        <v>0</v>
      </c>
      <c r="AE33" s="40">
        <f t="shared" si="20"/>
        <v>0</v>
      </c>
      <c r="AF33" s="40">
        <f t="shared" si="20"/>
        <v>0</v>
      </c>
      <c r="AG33" s="40">
        <f t="shared" si="20"/>
        <v>0</v>
      </c>
      <c r="AH33" s="40">
        <f t="shared" si="20"/>
        <v>0</v>
      </c>
      <c r="AI33" s="40">
        <f t="shared" si="20"/>
        <v>0</v>
      </c>
      <c r="AJ33" s="40">
        <f t="shared" si="20"/>
        <v>0</v>
      </c>
      <c r="AK33" s="40">
        <f t="shared" si="20"/>
        <v>0</v>
      </c>
      <c r="AL33" s="40">
        <f t="shared" si="20"/>
        <v>0</v>
      </c>
      <c r="AM33" s="40">
        <f t="shared" si="20"/>
        <v>0</v>
      </c>
      <c r="AN33" s="40">
        <f t="shared" si="20"/>
        <v>0</v>
      </c>
      <c r="AO33" s="40">
        <f t="shared" si="20"/>
        <v>0</v>
      </c>
      <c r="AP33" s="40">
        <f t="shared" si="20"/>
        <v>0</v>
      </c>
      <c r="AQ33" s="40">
        <f t="shared" si="20"/>
        <v>0</v>
      </c>
      <c r="AR33" s="40">
        <f t="shared" si="20"/>
        <v>0</v>
      </c>
      <c r="AS33" s="40">
        <f t="shared" si="20"/>
        <v>0</v>
      </c>
      <c r="AT33" s="40">
        <f t="shared" si="20"/>
        <v>0</v>
      </c>
      <c r="AU33" s="40">
        <f t="shared" si="20"/>
        <v>0</v>
      </c>
      <c r="AV33" s="40">
        <f t="shared" si="20"/>
        <v>0</v>
      </c>
      <c r="AW33" s="40">
        <f t="shared" si="20"/>
        <v>0</v>
      </c>
      <c r="AX33" s="40">
        <f t="shared" si="20"/>
        <v>0</v>
      </c>
      <c r="AY33" s="40">
        <f t="shared" si="20"/>
        <v>0</v>
      </c>
      <c r="AZ33" s="40">
        <f t="shared" si="20"/>
        <v>0</v>
      </c>
      <c r="BA33" s="40">
        <f t="shared" si="20"/>
        <v>0</v>
      </c>
      <c r="BB33" s="40">
        <f t="shared" si="20"/>
        <v>0</v>
      </c>
      <c r="BC33" s="40">
        <f t="shared" si="20"/>
        <v>0</v>
      </c>
      <c r="BD33" s="40">
        <f t="shared" si="20"/>
        <v>0</v>
      </c>
      <c r="BE33" s="40">
        <f t="shared" si="20"/>
        <v>0</v>
      </c>
      <c r="BF33" s="40">
        <f t="shared" si="20"/>
        <v>0</v>
      </c>
      <c r="BG33" s="40">
        <f t="shared" si="20"/>
        <v>0</v>
      </c>
      <c r="BH33" s="40">
        <f t="shared" si="20"/>
        <v>0</v>
      </c>
      <c r="BI33" s="40">
        <f t="shared" si="20"/>
        <v>0</v>
      </c>
      <c r="BJ33" s="40">
        <f t="shared" si="20"/>
        <v>0</v>
      </c>
      <c r="BK33" s="40">
        <f t="shared" si="20"/>
        <v>0</v>
      </c>
      <c r="BL33" s="40">
        <f t="shared" si="20"/>
        <v>0</v>
      </c>
      <c r="BM33" s="40">
        <f t="shared" si="20"/>
        <v>0</v>
      </c>
      <c r="BN33" s="40">
        <f t="shared" si="20"/>
        <v>0</v>
      </c>
    </row>
    <row r="34" spans="1:66">
      <c r="A34" s="46" t="str">
        <v>SWIMMING POOL MOTOR REPAIR</v>
      </c>
      <c r="B34" s="46">
        <v>0</v>
      </c>
      <c r="C34" s="40">
        <f t="shared" ref="C34:BN34" si="21">$B34/64</f>
        <v>0</v>
      </c>
      <c r="D34" s="40">
        <f t="shared" si="21"/>
        <v>0</v>
      </c>
      <c r="E34" s="40">
        <f t="shared" si="21"/>
        <v>0</v>
      </c>
      <c r="F34" s="40">
        <f t="shared" si="21"/>
        <v>0</v>
      </c>
      <c r="G34" s="40">
        <f t="shared" si="21"/>
        <v>0</v>
      </c>
      <c r="H34" s="40">
        <f t="shared" si="21"/>
        <v>0</v>
      </c>
      <c r="I34" s="40">
        <f t="shared" si="21"/>
        <v>0</v>
      </c>
      <c r="J34" s="40">
        <f t="shared" si="21"/>
        <v>0</v>
      </c>
      <c r="K34" s="40">
        <f t="shared" si="21"/>
        <v>0</v>
      </c>
      <c r="L34" s="40">
        <f t="shared" si="21"/>
        <v>0</v>
      </c>
      <c r="M34" s="40">
        <f t="shared" si="21"/>
        <v>0</v>
      </c>
      <c r="N34" s="40">
        <f t="shared" si="21"/>
        <v>0</v>
      </c>
      <c r="O34" s="40">
        <f t="shared" si="21"/>
        <v>0</v>
      </c>
      <c r="P34" s="40">
        <f t="shared" si="21"/>
        <v>0</v>
      </c>
      <c r="Q34" s="40">
        <f t="shared" si="21"/>
        <v>0</v>
      </c>
      <c r="R34" s="40">
        <f t="shared" si="21"/>
        <v>0</v>
      </c>
      <c r="S34" s="40">
        <f t="shared" si="21"/>
        <v>0</v>
      </c>
      <c r="T34" s="40">
        <f t="shared" si="21"/>
        <v>0</v>
      </c>
      <c r="U34" s="40">
        <f t="shared" si="21"/>
        <v>0</v>
      </c>
      <c r="V34" s="40">
        <f t="shared" si="21"/>
        <v>0</v>
      </c>
      <c r="W34" s="40">
        <f t="shared" si="21"/>
        <v>0</v>
      </c>
      <c r="X34" s="40">
        <f t="shared" si="21"/>
        <v>0</v>
      </c>
      <c r="Y34" s="40">
        <f t="shared" si="21"/>
        <v>0</v>
      </c>
      <c r="Z34" s="40">
        <f t="shared" si="21"/>
        <v>0</v>
      </c>
      <c r="AA34" s="40">
        <f t="shared" si="21"/>
        <v>0</v>
      </c>
      <c r="AB34" s="40">
        <f t="shared" si="21"/>
        <v>0</v>
      </c>
      <c r="AC34" s="40">
        <f t="shared" si="21"/>
        <v>0</v>
      </c>
      <c r="AD34" s="40">
        <f t="shared" si="21"/>
        <v>0</v>
      </c>
      <c r="AE34" s="40">
        <f t="shared" si="21"/>
        <v>0</v>
      </c>
      <c r="AF34" s="40">
        <f t="shared" si="21"/>
        <v>0</v>
      </c>
      <c r="AG34" s="40">
        <f t="shared" si="21"/>
        <v>0</v>
      </c>
      <c r="AH34" s="40">
        <f t="shared" si="21"/>
        <v>0</v>
      </c>
      <c r="AI34" s="40">
        <f t="shared" si="21"/>
        <v>0</v>
      </c>
      <c r="AJ34" s="40">
        <f t="shared" si="21"/>
        <v>0</v>
      </c>
      <c r="AK34" s="40">
        <f t="shared" si="21"/>
        <v>0</v>
      </c>
      <c r="AL34" s="40">
        <f t="shared" si="21"/>
        <v>0</v>
      </c>
      <c r="AM34" s="40">
        <f t="shared" si="21"/>
        <v>0</v>
      </c>
      <c r="AN34" s="40">
        <f t="shared" si="21"/>
        <v>0</v>
      </c>
      <c r="AO34" s="40">
        <f t="shared" si="21"/>
        <v>0</v>
      </c>
      <c r="AP34" s="40">
        <f t="shared" si="21"/>
        <v>0</v>
      </c>
      <c r="AQ34" s="40">
        <f t="shared" si="21"/>
        <v>0</v>
      </c>
      <c r="AR34" s="40">
        <f t="shared" si="21"/>
        <v>0</v>
      </c>
      <c r="AS34" s="40">
        <f t="shared" si="21"/>
        <v>0</v>
      </c>
      <c r="AT34" s="40">
        <f t="shared" si="21"/>
        <v>0</v>
      </c>
      <c r="AU34" s="40">
        <f t="shared" si="21"/>
        <v>0</v>
      </c>
      <c r="AV34" s="40">
        <f t="shared" si="21"/>
        <v>0</v>
      </c>
      <c r="AW34" s="40">
        <f t="shared" si="21"/>
        <v>0</v>
      </c>
      <c r="AX34" s="40">
        <f t="shared" si="21"/>
        <v>0</v>
      </c>
      <c r="AY34" s="40">
        <f t="shared" si="21"/>
        <v>0</v>
      </c>
      <c r="AZ34" s="40">
        <f t="shared" si="21"/>
        <v>0</v>
      </c>
      <c r="BA34" s="40">
        <f t="shared" si="21"/>
        <v>0</v>
      </c>
      <c r="BB34" s="40">
        <f t="shared" si="21"/>
        <v>0</v>
      </c>
      <c r="BC34" s="40">
        <f t="shared" si="21"/>
        <v>0</v>
      </c>
      <c r="BD34" s="40">
        <f t="shared" si="21"/>
        <v>0</v>
      </c>
      <c r="BE34" s="40">
        <f t="shared" si="21"/>
        <v>0</v>
      </c>
      <c r="BF34" s="40">
        <f t="shared" si="21"/>
        <v>0</v>
      </c>
      <c r="BG34" s="40">
        <f t="shared" si="21"/>
        <v>0</v>
      </c>
      <c r="BH34" s="40">
        <f t="shared" si="21"/>
        <v>0</v>
      </c>
      <c r="BI34" s="40">
        <f t="shared" si="21"/>
        <v>0</v>
      </c>
      <c r="BJ34" s="40">
        <f t="shared" si="21"/>
        <v>0</v>
      </c>
      <c r="BK34" s="40">
        <f t="shared" si="21"/>
        <v>0</v>
      </c>
      <c r="BL34" s="40">
        <f t="shared" si="21"/>
        <v>0</v>
      </c>
      <c r="BM34" s="40">
        <f t="shared" si="21"/>
        <v>0</v>
      </c>
      <c r="BN34" s="40">
        <f t="shared" si="21"/>
        <v>0</v>
      </c>
    </row>
    <row r="35" spans="1:66">
      <c r="A35" s="46" t="str">
        <v>CCTV REPAIR</v>
      </c>
      <c r="B35" s="46">
        <v>0</v>
      </c>
      <c r="C35" s="40">
        <f t="shared" ref="C35:BN35" si="22">$B35/64</f>
        <v>0</v>
      </c>
      <c r="D35" s="40">
        <f t="shared" si="22"/>
        <v>0</v>
      </c>
      <c r="E35" s="40">
        <f t="shared" si="22"/>
        <v>0</v>
      </c>
      <c r="F35" s="40">
        <f t="shared" si="22"/>
        <v>0</v>
      </c>
      <c r="G35" s="40">
        <f t="shared" si="22"/>
        <v>0</v>
      </c>
      <c r="H35" s="40">
        <f t="shared" si="22"/>
        <v>0</v>
      </c>
      <c r="I35" s="40">
        <f t="shared" si="22"/>
        <v>0</v>
      </c>
      <c r="J35" s="40">
        <f t="shared" si="22"/>
        <v>0</v>
      </c>
      <c r="K35" s="40">
        <f t="shared" si="22"/>
        <v>0</v>
      </c>
      <c r="L35" s="40">
        <f t="shared" si="22"/>
        <v>0</v>
      </c>
      <c r="M35" s="40">
        <f t="shared" si="22"/>
        <v>0</v>
      </c>
      <c r="N35" s="40">
        <f t="shared" si="22"/>
        <v>0</v>
      </c>
      <c r="O35" s="40">
        <f t="shared" si="22"/>
        <v>0</v>
      </c>
      <c r="P35" s="40">
        <f t="shared" si="22"/>
        <v>0</v>
      </c>
      <c r="Q35" s="40">
        <f t="shared" si="22"/>
        <v>0</v>
      </c>
      <c r="R35" s="40">
        <f t="shared" si="22"/>
        <v>0</v>
      </c>
      <c r="S35" s="40">
        <f t="shared" si="22"/>
        <v>0</v>
      </c>
      <c r="T35" s="40">
        <f t="shared" si="22"/>
        <v>0</v>
      </c>
      <c r="U35" s="40">
        <f t="shared" si="22"/>
        <v>0</v>
      </c>
      <c r="V35" s="40">
        <f t="shared" si="22"/>
        <v>0</v>
      </c>
      <c r="W35" s="40">
        <f t="shared" si="22"/>
        <v>0</v>
      </c>
      <c r="X35" s="40">
        <f t="shared" si="22"/>
        <v>0</v>
      </c>
      <c r="Y35" s="40">
        <f t="shared" si="22"/>
        <v>0</v>
      </c>
      <c r="Z35" s="40">
        <f t="shared" si="22"/>
        <v>0</v>
      </c>
      <c r="AA35" s="40">
        <f t="shared" si="22"/>
        <v>0</v>
      </c>
      <c r="AB35" s="40">
        <f t="shared" si="22"/>
        <v>0</v>
      </c>
      <c r="AC35" s="40">
        <f t="shared" si="22"/>
        <v>0</v>
      </c>
      <c r="AD35" s="40">
        <f t="shared" si="22"/>
        <v>0</v>
      </c>
      <c r="AE35" s="40">
        <f t="shared" si="22"/>
        <v>0</v>
      </c>
      <c r="AF35" s="40">
        <f t="shared" si="22"/>
        <v>0</v>
      </c>
      <c r="AG35" s="40">
        <f t="shared" si="22"/>
        <v>0</v>
      </c>
      <c r="AH35" s="40">
        <f t="shared" si="22"/>
        <v>0</v>
      </c>
      <c r="AI35" s="40">
        <f t="shared" si="22"/>
        <v>0</v>
      </c>
      <c r="AJ35" s="40">
        <f t="shared" si="22"/>
        <v>0</v>
      </c>
      <c r="AK35" s="40">
        <f t="shared" si="22"/>
        <v>0</v>
      </c>
      <c r="AL35" s="40">
        <f t="shared" si="22"/>
        <v>0</v>
      </c>
      <c r="AM35" s="40">
        <f t="shared" si="22"/>
        <v>0</v>
      </c>
      <c r="AN35" s="40">
        <f t="shared" si="22"/>
        <v>0</v>
      </c>
      <c r="AO35" s="40">
        <f t="shared" si="22"/>
        <v>0</v>
      </c>
      <c r="AP35" s="40">
        <f t="shared" si="22"/>
        <v>0</v>
      </c>
      <c r="AQ35" s="40">
        <f t="shared" si="22"/>
        <v>0</v>
      </c>
      <c r="AR35" s="40">
        <f t="shared" si="22"/>
        <v>0</v>
      </c>
      <c r="AS35" s="40">
        <f t="shared" si="22"/>
        <v>0</v>
      </c>
      <c r="AT35" s="40">
        <f t="shared" si="22"/>
        <v>0</v>
      </c>
      <c r="AU35" s="40">
        <f t="shared" si="22"/>
        <v>0</v>
      </c>
      <c r="AV35" s="40">
        <f t="shared" si="22"/>
        <v>0</v>
      </c>
      <c r="AW35" s="40">
        <f t="shared" si="22"/>
        <v>0</v>
      </c>
      <c r="AX35" s="40">
        <f t="shared" si="22"/>
        <v>0</v>
      </c>
      <c r="AY35" s="40">
        <f t="shared" si="22"/>
        <v>0</v>
      </c>
      <c r="AZ35" s="40">
        <f t="shared" si="22"/>
        <v>0</v>
      </c>
      <c r="BA35" s="40">
        <f t="shared" si="22"/>
        <v>0</v>
      </c>
      <c r="BB35" s="40">
        <f t="shared" si="22"/>
        <v>0</v>
      </c>
      <c r="BC35" s="40">
        <f t="shared" si="22"/>
        <v>0</v>
      </c>
      <c r="BD35" s="40">
        <f t="shared" si="22"/>
        <v>0</v>
      </c>
      <c r="BE35" s="40">
        <f t="shared" si="22"/>
        <v>0</v>
      </c>
      <c r="BF35" s="40">
        <f t="shared" si="22"/>
        <v>0</v>
      </c>
      <c r="BG35" s="40">
        <f t="shared" si="22"/>
        <v>0</v>
      </c>
      <c r="BH35" s="40">
        <f t="shared" si="22"/>
        <v>0</v>
      </c>
      <c r="BI35" s="40">
        <f t="shared" si="22"/>
        <v>0</v>
      </c>
      <c r="BJ35" s="40">
        <f t="shared" si="22"/>
        <v>0</v>
      </c>
      <c r="BK35" s="40">
        <f t="shared" si="22"/>
        <v>0</v>
      </c>
      <c r="BL35" s="40">
        <f t="shared" si="22"/>
        <v>0</v>
      </c>
      <c r="BM35" s="40">
        <f t="shared" si="22"/>
        <v>0</v>
      </c>
      <c r="BN35" s="40">
        <f t="shared" si="22"/>
        <v>0</v>
      </c>
    </row>
    <row r="36" spans="1:66">
      <c r="A36" s="46" t="str">
        <v>CCTV monitor</v>
      </c>
      <c r="B36" s="46">
        <v>0</v>
      </c>
      <c r="C36" s="40">
        <f t="shared" ref="C36:BN36" si="23">$B36/64</f>
        <v>0</v>
      </c>
      <c r="D36" s="40">
        <f t="shared" si="23"/>
        <v>0</v>
      </c>
      <c r="E36" s="40">
        <f t="shared" si="23"/>
        <v>0</v>
      </c>
      <c r="F36" s="40">
        <f t="shared" si="23"/>
        <v>0</v>
      </c>
      <c r="G36" s="40">
        <f t="shared" si="23"/>
        <v>0</v>
      </c>
      <c r="H36" s="40">
        <f t="shared" si="23"/>
        <v>0</v>
      </c>
      <c r="I36" s="40">
        <f t="shared" si="23"/>
        <v>0</v>
      </c>
      <c r="J36" s="40">
        <f t="shared" si="23"/>
        <v>0</v>
      </c>
      <c r="K36" s="40">
        <f t="shared" si="23"/>
        <v>0</v>
      </c>
      <c r="L36" s="40">
        <f t="shared" si="23"/>
        <v>0</v>
      </c>
      <c r="M36" s="40">
        <f t="shared" si="23"/>
        <v>0</v>
      </c>
      <c r="N36" s="40">
        <f t="shared" si="23"/>
        <v>0</v>
      </c>
      <c r="O36" s="40">
        <f t="shared" si="23"/>
        <v>0</v>
      </c>
      <c r="P36" s="40">
        <f t="shared" si="23"/>
        <v>0</v>
      </c>
      <c r="Q36" s="40">
        <f t="shared" si="23"/>
        <v>0</v>
      </c>
      <c r="R36" s="40">
        <f t="shared" si="23"/>
        <v>0</v>
      </c>
      <c r="S36" s="40">
        <f t="shared" si="23"/>
        <v>0</v>
      </c>
      <c r="T36" s="40">
        <f t="shared" si="23"/>
        <v>0</v>
      </c>
      <c r="U36" s="40">
        <f t="shared" si="23"/>
        <v>0</v>
      </c>
      <c r="V36" s="40">
        <f t="shared" si="23"/>
        <v>0</v>
      </c>
      <c r="W36" s="40">
        <f t="shared" si="23"/>
        <v>0</v>
      </c>
      <c r="X36" s="40">
        <f t="shared" si="23"/>
        <v>0</v>
      </c>
      <c r="Y36" s="40">
        <f t="shared" si="23"/>
        <v>0</v>
      </c>
      <c r="Z36" s="40">
        <f t="shared" si="23"/>
        <v>0</v>
      </c>
      <c r="AA36" s="40">
        <f t="shared" si="23"/>
        <v>0</v>
      </c>
      <c r="AB36" s="40">
        <f t="shared" si="23"/>
        <v>0</v>
      </c>
      <c r="AC36" s="40">
        <f t="shared" si="23"/>
        <v>0</v>
      </c>
      <c r="AD36" s="40">
        <f t="shared" si="23"/>
        <v>0</v>
      </c>
      <c r="AE36" s="40">
        <f t="shared" si="23"/>
        <v>0</v>
      </c>
      <c r="AF36" s="40">
        <f t="shared" si="23"/>
        <v>0</v>
      </c>
      <c r="AG36" s="40">
        <f t="shared" si="23"/>
        <v>0</v>
      </c>
      <c r="AH36" s="40">
        <f t="shared" si="23"/>
        <v>0</v>
      </c>
      <c r="AI36" s="40">
        <f t="shared" si="23"/>
        <v>0</v>
      </c>
      <c r="AJ36" s="40">
        <f t="shared" si="23"/>
        <v>0</v>
      </c>
      <c r="AK36" s="40">
        <f t="shared" si="23"/>
        <v>0</v>
      </c>
      <c r="AL36" s="40">
        <f t="shared" si="23"/>
        <v>0</v>
      </c>
      <c r="AM36" s="40">
        <f t="shared" si="23"/>
        <v>0</v>
      </c>
      <c r="AN36" s="40">
        <f t="shared" si="23"/>
        <v>0</v>
      </c>
      <c r="AO36" s="40">
        <f t="shared" si="23"/>
        <v>0</v>
      </c>
      <c r="AP36" s="40">
        <f t="shared" si="23"/>
        <v>0</v>
      </c>
      <c r="AQ36" s="40">
        <f t="shared" si="23"/>
        <v>0</v>
      </c>
      <c r="AR36" s="40">
        <f t="shared" si="23"/>
        <v>0</v>
      </c>
      <c r="AS36" s="40">
        <f t="shared" si="23"/>
        <v>0</v>
      </c>
      <c r="AT36" s="40">
        <f t="shared" si="23"/>
        <v>0</v>
      </c>
      <c r="AU36" s="40">
        <f t="shared" si="23"/>
        <v>0</v>
      </c>
      <c r="AV36" s="40">
        <f t="shared" si="23"/>
        <v>0</v>
      </c>
      <c r="AW36" s="40">
        <f t="shared" si="23"/>
        <v>0</v>
      </c>
      <c r="AX36" s="40">
        <f t="shared" si="23"/>
        <v>0</v>
      </c>
      <c r="AY36" s="40">
        <f t="shared" si="23"/>
        <v>0</v>
      </c>
      <c r="AZ36" s="40">
        <f t="shared" si="23"/>
        <v>0</v>
      </c>
      <c r="BA36" s="40">
        <f t="shared" si="23"/>
        <v>0</v>
      </c>
      <c r="BB36" s="40">
        <f t="shared" si="23"/>
        <v>0</v>
      </c>
      <c r="BC36" s="40">
        <f t="shared" si="23"/>
        <v>0</v>
      </c>
      <c r="BD36" s="40">
        <f t="shared" si="23"/>
        <v>0</v>
      </c>
      <c r="BE36" s="40">
        <f t="shared" si="23"/>
        <v>0</v>
      </c>
      <c r="BF36" s="40">
        <f t="shared" si="23"/>
        <v>0</v>
      </c>
      <c r="BG36" s="40">
        <f t="shared" si="23"/>
        <v>0</v>
      </c>
      <c r="BH36" s="40">
        <f t="shared" si="23"/>
        <v>0</v>
      </c>
      <c r="BI36" s="40">
        <f t="shared" si="23"/>
        <v>0</v>
      </c>
      <c r="BJ36" s="40">
        <f t="shared" si="23"/>
        <v>0</v>
      </c>
      <c r="BK36" s="40">
        <f t="shared" si="23"/>
        <v>0</v>
      </c>
      <c r="BL36" s="40">
        <f t="shared" si="23"/>
        <v>0</v>
      </c>
      <c r="BM36" s="40">
        <f t="shared" si="23"/>
        <v>0</v>
      </c>
      <c r="BN36" s="40">
        <f t="shared" si="23"/>
        <v>0</v>
      </c>
    </row>
    <row r="37" spans="1:66">
      <c r="A37" s="46" t="str">
        <v xml:space="preserve">WATER PIPE </v>
      </c>
      <c r="B37" s="46">
        <v>0</v>
      </c>
      <c r="C37" s="40">
        <f t="shared" ref="C37:BN37" si="24">$B37/64</f>
        <v>0</v>
      </c>
      <c r="D37" s="40">
        <f t="shared" si="24"/>
        <v>0</v>
      </c>
      <c r="E37" s="40">
        <f t="shared" si="24"/>
        <v>0</v>
      </c>
      <c r="F37" s="40">
        <f t="shared" si="24"/>
        <v>0</v>
      </c>
      <c r="G37" s="40">
        <f t="shared" si="24"/>
        <v>0</v>
      </c>
      <c r="H37" s="40">
        <f t="shared" si="24"/>
        <v>0</v>
      </c>
      <c r="I37" s="40">
        <f t="shared" si="24"/>
        <v>0</v>
      </c>
      <c r="J37" s="40">
        <f t="shared" si="24"/>
        <v>0</v>
      </c>
      <c r="K37" s="40">
        <f t="shared" si="24"/>
        <v>0</v>
      </c>
      <c r="L37" s="40">
        <f t="shared" si="24"/>
        <v>0</v>
      </c>
      <c r="M37" s="40">
        <f t="shared" si="24"/>
        <v>0</v>
      </c>
      <c r="N37" s="40">
        <f t="shared" si="24"/>
        <v>0</v>
      </c>
      <c r="O37" s="40">
        <f t="shared" si="24"/>
        <v>0</v>
      </c>
      <c r="P37" s="40">
        <f t="shared" si="24"/>
        <v>0</v>
      </c>
      <c r="Q37" s="40">
        <f t="shared" si="24"/>
        <v>0</v>
      </c>
      <c r="R37" s="40">
        <f t="shared" si="24"/>
        <v>0</v>
      </c>
      <c r="S37" s="40">
        <f t="shared" si="24"/>
        <v>0</v>
      </c>
      <c r="T37" s="40">
        <f t="shared" si="24"/>
        <v>0</v>
      </c>
      <c r="U37" s="40">
        <f t="shared" si="24"/>
        <v>0</v>
      </c>
      <c r="V37" s="40">
        <f t="shared" si="24"/>
        <v>0</v>
      </c>
      <c r="W37" s="40">
        <f t="shared" si="24"/>
        <v>0</v>
      </c>
      <c r="X37" s="40">
        <f t="shared" si="24"/>
        <v>0</v>
      </c>
      <c r="Y37" s="40">
        <f t="shared" si="24"/>
        <v>0</v>
      </c>
      <c r="Z37" s="40">
        <f t="shared" si="24"/>
        <v>0</v>
      </c>
      <c r="AA37" s="40">
        <f t="shared" si="24"/>
        <v>0</v>
      </c>
      <c r="AB37" s="40">
        <f t="shared" si="24"/>
        <v>0</v>
      </c>
      <c r="AC37" s="40">
        <f t="shared" si="24"/>
        <v>0</v>
      </c>
      <c r="AD37" s="40">
        <f t="shared" si="24"/>
        <v>0</v>
      </c>
      <c r="AE37" s="40">
        <f t="shared" si="24"/>
        <v>0</v>
      </c>
      <c r="AF37" s="40">
        <f t="shared" si="24"/>
        <v>0</v>
      </c>
      <c r="AG37" s="40">
        <f t="shared" si="24"/>
        <v>0</v>
      </c>
      <c r="AH37" s="40">
        <f t="shared" si="24"/>
        <v>0</v>
      </c>
      <c r="AI37" s="40">
        <f t="shared" si="24"/>
        <v>0</v>
      </c>
      <c r="AJ37" s="40">
        <f t="shared" si="24"/>
        <v>0</v>
      </c>
      <c r="AK37" s="40">
        <f t="shared" si="24"/>
        <v>0</v>
      </c>
      <c r="AL37" s="40">
        <f t="shared" si="24"/>
        <v>0</v>
      </c>
      <c r="AM37" s="40">
        <f t="shared" si="24"/>
        <v>0</v>
      </c>
      <c r="AN37" s="40">
        <f t="shared" si="24"/>
        <v>0</v>
      </c>
      <c r="AO37" s="40">
        <f t="shared" si="24"/>
        <v>0</v>
      </c>
      <c r="AP37" s="40">
        <f t="shared" si="24"/>
        <v>0</v>
      </c>
      <c r="AQ37" s="40">
        <f t="shared" si="24"/>
        <v>0</v>
      </c>
      <c r="AR37" s="40">
        <f t="shared" si="24"/>
        <v>0</v>
      </c>
      <c r="AS37" s="40">
        <f t="shared" si="24"/>
        <v>0</v>
      </c>
      <c r="AT37" s="40">
        <f t="shared" si="24"/>
        <v>0</v>
      </c>
      <c r="AU37" s="40">
        <f t="shared" si="24"/>
        <v>0</v>
      </c>
      <c r="AV37" s="40">
        <f t="shared" si="24"/>
        <v>0</v>
      </c>
      <c r="AW37" s="40">
        <f t="shared" si="24"/>
        <v>0</v>
      </c>
      <c r="AX37" s="40">
        <f t="shared" si="24"/>
        <v>0</v>
      </c>
      <c r="AY37" s="40">
        <f t="shared" si="24"/>
        <v>0</v>
      </c>
      <c r="AZ37" s="40">
        <f t="shared" si="24"/>
        <v>0</v>
      </c>
      <c r="BA37" s="40">
        <f t="shared" si="24"/>
        <v>0</v>
      </c>
      <c r="BB37" s="40">
        <f t="shared" si="24"/>
        <v>0</v>
      </c>
      <c r="BC37" s="40">
        <f t="shared" si="24"/>
        <v>0</v>
      </c>
      <c r="BD37" s="40">
        <f t="shared" si="24"/>
        <v>0</v>
      </c>
      <c r="BE37" s="40">
        <f t="shared" si="24"/>
        <v>0</v>
      </c>
      <c r="BF37" s="40">
        <f t="shared" si="24"/>
        <v>0</v>
      </c>
      <c r="BG37" s="40">
        <f t="shared" si="24"/>
        <v>0</v>
      </c>
      <c r="BH37" s="40">
        <f t="shared" si="24"/>
        <v>0</v>
      </c>
      <c r="BI37" s="40">
        <f t="shared" si="24"/>
        <v>0</v>
      </c>
      <c r="BJ37" s="40">
        <f t="shared" si="24"/>
        <v>0</v>
      </c>
      <c r="BK37" s="40">
        <f t="shared" si="24"/>
        <v>0</v>
      </c>
      <c r="BL37" s="40">
        <f t="shared" si="24"/>
        <v>0</v>
      </c>
      <c r="BM37" s="40">
        <f t="shared" si="24"/>
        <v>0</v>
      </c>
      <c r="BN37" s="40">
        <f t="shared" si="24"/>
        <v>0</v>
      </c>
    </row>
    <row r="38" spans="1:66">
      <c r="A38" s="46" t="str">
        <v>RAILING FOR STAIRCASE</v>
      </c>
      <c r="B38" s="46">
        <v>0</v>
      </c>
      <c r="C38" s="40">
        <f t="shared" ref="C38:BN38" si="25">$B38/64</f>
        <v>0</v>
      </c>
      <c r="D38" s="40">
        <f t="shared" si="25"/>
        <v>0</v>
      </c>
      <c r="E38" s="40">
        <f t="shared" si="25"/>
        <v>0</v>
      </c>
      <c r="F38" s="40">
        <f t="shared" si="25"/>
        <v>0</v>
      </c>
      <c r="G38" s="40">
        <f t="shared" si="25"/>
        <v>0</v>
      </c>
      <c r="H38" s="40">
        <f t="shared" si="25"/>
        <v>0</v>
      </c>
      <c r="I38" s="40">
        <f t="shared" si="25"/>
        <v>0</v>
      </c>
      <c r="J38" s="40">
        <f t="shared" si="25"/>
        <v>0</v>
      </c>
      <c r="K38" s="40">
        <f t="shared" si="25"/>
        <v>0</v>
      </c>
      <c r="L38" s="40">
        <f t="shared" si="25"/>
        <v>0</v>
      </c>
      <c r="M38" s="40">
        <f t="shared" si="25"/>
        <v>0</v>
      </c>
      <c r="N38" s="40">
        <f t="shared" si="25"/>
        <v>0</v>
      </c>
      <c r="O38" s="40">
        <f t="shared" si="25"/>
        <v>0</v>
      </c>
      <c r="P38" s="40">
        <f t="shared" si="25"/>
        <v>0</v>
      </c>
      <c r="Q38" s="40">
        <f t="shared" si="25"/>
        <v>0</v>
      </c>
      <c r="R38" s="40">
        <f t="shared" si="25"/>
        <v>0</v>
      </c>
      <c r="S38" s="40">
        <f t="shared" si="25"/>
        <v>0</v>
      </c>
      <c r="T38" s="40">
        <f t="shared" si="25"/>
        <v>0</v>
      </c>
      <c r="U38" s="40">
        <f t="shared" si="25"/>
        <v>0</v>
      </c>
      <c r="V38" s="40">
        <f t="shared" si="25"/>
        <v>0</v>
      </c>
      <c r="W38" s="40">
        <f t="shared" si="25"/>
        <v>0</v>
      </c>
      <c r="X38" s="40">
        <f t="shared" si="25"/>
        <v>0</v>
      </c>
      <c r="Y38" s="40">
        <f t="shared" si="25"/>
        <v>0</v>
      </c>
      <c r="Z38" s="40">
        <f t="shared" si="25"/>
        <v>0</v>
      </c>
      <c r="AA38" s="40">
        <f t="shared" si="25"/>
        <v>0</v>
      </c>
      <c r="AB38" s="40">
        <f t="shared" si="25"/>
        <v>0</v>
      </c>
      <c r="AC38" s="40">
        <f t="shared" si="25"/>
        <v>0</v>
      </c>
      <c r="AD38" s="40">
        <f t="shared" si="25"/>
        <v>0</v>
      </c>
      <c r="AE38" s="40">
        <f t="shared" si="25"/>
        <v>0</v>
      </c>
      <c r="AF38" s="40">
        <f t="shared" si="25"/>
        <v>0</v>
      </c>
      <c r="AG38" s="40">
        <f t="shared" si="25"/>
        <v>0</v>
      </c>
      <c r="AH38" s="40">
        <f t="shared" si="25"/>
        <v>0</v>
      </c>
      <c r="AI38" s="40">
        <f t="shared" si="25"/>
        <v>0</v>
      </c>
      <c r="AJ38" s="40">
        <f t="shared" si="25"/>
        <v>0</v>
      </c>
      <c r="AK38" s="40">
        <f t="shared" si="25"/>
        <v>0</v>
      </c>
      <c r="AL38" s="40">
        <f t="shared" si="25"/>
        <v>0</v>
      </c>
      <c r="AM38" s="40">
        <f t="shared" si="25"/>
        <v>0</v>
      </c>
      <c r="AN38" s="40">
        <f t="shared" si="25"/>
        <v>0</v>
      </c>
      <c r="AO38" s="40">
        <f t="shared" si="25"/>
        <v>0</v>
      </c>
      <c r="AP38" s="40">
        <f t="shared" si="25"/>
        <v>0</v>
      </c>
      <c r="AQ38" s="40">
        <f t="shared" si="25"/>
        <v>0</v>
      </c>
      <c r="AR38" s="40">
        <f t="shared" si="25"/>
        <v>0</v>
      </c>
      <c r="AS38" s="40">
        <f t="shared" si="25"/>
        <v>0</v>
      </c>
      <c r="AT38" s="40">
        <f t="shared" si="25"/>
        <v>0</v>
      </c>
      <c r="AU38" s="40">
        <f t="shared" si="25"/>
        <v>0</v>
      </c>
      <c r="AV38" s="40">
        <f t="shared" si="25"/>
        <v>0</v>
      </c>
      <c r="AW38" s="40">
        <f t="shared" si="25"/>
        <v>0</v>
      </c>
      <c r="AX38" s="40">
        <f t="shared" si="25"/>
        <v>0</v>
      </c>
      <c r="AY38" s="40">
        <f t="shared" si="25"/>
        <v>0</v>
      </c>
      <c r="AZ38" s="40">
        <f t="shared" si="25"/>
        <v>0</v>
      </c>
      <c r="BA38" s="40">
        <f t="shared" si="25"/>
        <v>0</v>
      </c>
      <c r="BB38" s="40">
        <f t="shared" si="25"/>
        <v>0</v>
      </c>
      <c r="BC38" s="40">
        <f t="shared" si="25"/>
        <v>0</v>
      </c>
      <c r="BD38" s="40">
        <f t="shared" si="25"/>
        <v>0</v>
      </c>
      <c r="BE38" s="40">
        <f t="shared" si="25"/>
        <v>0</v>
      </c>
      <c r="BF38" s="40">
        <f t="shared" si="25"/>
        <v>0</v>
      </c>
      <c r="BG38" s="40">
        <f t="shared" si="25"/>
        <v>0</v>
      </c>
      <c r="BH38" s="40">
        <f t="shared" si="25"/>
        <v>0</v>
      </c>
      <c r="BI38" s="40">
        <f t="shared" si="25"/>
        <v>0</v>
      </c>
      <c r="BJ38" s="40">
        <f t="shared" si="25"/>
        <v>0</v>
      </c>
      <c r="BK38" s="40">
        <f t="shared" si="25"/>
        <v>0</v>
      </c>
      <c r="BL38" s="40">
        <f t="shared" si="25"/>
        <v>0</v>
      </c>
      <c r="BM38" s="40">
        <f t="shared" si="25"/>
        <v>0</v>
      </c>
      <c r="BN38" s="40">
        <f t="shared" si="25"/>
        <v>0</v>
      </c>
    </row>
    <row r="39" spans="1:66">
      <c r="A39" s="46" t="str">
        <v>Play area sand</v>
      </c>
      <c r="B39" s="46">
        <v>0</v>
      </c>
      <c r="C39" s="40">
        <f t="shared" ref="C39:BN39" si="26">$B39/64</f>
        <v>0</v>
      </c>
      <c r="D39" s="40">
        <f t="shared" si="26"/>
        <v>0</v>
      </c>
      <c r="E39" s="40">
        <f t="shared" si="26"/>
        <v>0</v>
      </c>
      <c r="F39" s="40">
        <f t="shared" si="26"/>
        <v>0</v>
      </c>
      <c r="G39" s="40">
        <f t="shared" si="26"/>
        <v>0</v>
      </c>
      <c r="H39" s="40">
        <f t="shared" si="26"/>
        <v>0</v>
      </c>
      <c r="I39" s="40">
        <f t="shared" si="26"/>
        <v>0</v>
      </c>
      <c r="J39" s="40">
        <f t="shared" si="26"/>
        <v>0</v>
      </c>
      <c r="K39" s="40">
        <f t="shared" si="26"/>
        <v>0</v>
      </c>
      <c r="L39" s="40">
        <f t="shared" si="26"/>
        <v>0</v>
      </c>
      <c r="M39" s="40">
        <f t="shared" si="26"/>
        <v>0</v>
      </c>
      <c r="N39" s="40">
        <f t="shared" si="26"/>
        <v>0</v>
      </c>
      <c r="O39" s="40">
        <f t="shared" si="26"/>
        <v>0</v>
      </c>
      <c r="P39" s="40">
        <f t="shared" si="26"/>
        <v>0</v>
      </c>
      <c r="Q39" s="40">
        <f t="shared" si="26"/>
        <v>0</v>
      </c>
      <c r="R39" s="40">
        <f t="shared" si="26"/>
        <v>0</v>
      </c>
      <c r="S39" s="40">
        <f t="shared" si="26"/>
        <v>0</v>
      </c>
      <c r="T39" s="40">
        <f t="shared" si="26"/>
        <v>0</v>
      </c>
      <c r="U39" s="40">
        <f t="shared" si="26"/>
        <v>0</v>
      </c>
      <c r="V39" s="40">
        <f t="shared" si="26"/>
        <v>0</v>
      </c>
      <c r="W39" s="40">
        <f t="shared" si="26"/>
        <v>0</v>
      </c>
      <c r="X39" s="40">
        <f t="shared" si="26"/>
        <v>0</v>
      </c>
      <c r="Y39" s="40">
        <f t="shared" si="26"/>
        <v>0</v>
      </c>
      <c r="Z39" s="40">
        <f t="shared" si="26"/>
        <v>0</v>
      </c>
      <c r="AA39" s="40">
        <f t="shared" si="26"/>
        <v>0</v>
      </c>
      <c r="AB39" s="40">
        <f t="shared" si="26"/>
        <v>0</v>
      </c>
      <c r="AC39" s="40">
        <f t="shared" si="26"/>
        <v>0</v>
      </c>
      <c r="AD39" s="40">
        <f t="shared" si="26"/>
        <v>0</v>
      </c>
      <c r="AE39" s="40">
        <f t="shared" si="26"/>
        <v>0</v>
      </c>
      <c r="AF39" s="40">
        <f t="shared" si="26"/>
        <v>0</v>
      </c>
      <c r="AG39" s="40">
        <f t="shared" si="26"/>
        <v>0</v>
      </c>
      <c r="AH39" s="40">
        <f t="shared" si="26"/>
        <v>0</v>
      </c>
      <c r="AI39" s="40">
        <f t="shared" si="26"/>
        <v>0</v>
      </c>
      <c r="AJ39" s="40">
        <f t="shared" si="26"/>
        <v>0</v>
      </c>
      <c r="AK39" s="40">
        <f t="shared" si="26"/>
        <v>0</v>
      </c>
      <c r="AL39" s="40">
        <f t="shared" si="26"/>
        <v>0</v>
      </c>
      <c r="AM39" s="40">
        <f t="shared" si="26"/>
        <v>0</v>
      </c>
      <c r="AN39" s="40">
        <f t="shared" si="26"/>
        <v>0</v>
      </c>
      <c r="AO39" s="40">
        <f t="shared" si="26"/>
        <v>0</v>
      </c>
      <c r="AP39" s="40">
        <f t="shared" si="26"/>
        <v>0</v>
      </c>
      <c r="AQ39" s="40">
        <f t="shared" si="26"/>
        <v>0</v>
      </c>
      <c r="AR39" s="40">
        <f t="shared" si="26"/>
        <v>0</v>
      </c>
      <c r="AS39" s="40">
        <f t="shared" si="26"/>
        <v>0</v>
      </c>
      <c r="AT39" s="40">
        <f t="shared" si="26"/>
        <v>0</v>
      </c>
      <c r="AU39" s="40">
        <f t="shared" si="26"/>
        <v>0</v>
      </c>
      <c r="AV39" s="40">
        <f t="shared" si="26"/>
        <v>0</v>
      </c>
      <c r="AW39" s="40">
        <f t="shared" si="26"/>
        <v>0</v>
      </c>
      <c r="AX39" s="40">
        <f t="shared" si="26"/>
        <v>0</v>
      </c>
      <c r="AY39" s="40">
        <f t="shared" si="26"/>
        <v>0</v>
      </c>
      <c r="AZ39" s="40">
        <f t="shared" si="26"/>
        <v>0</v>
      </c>
      <c r="BA39" s="40">
        <f t="shared" si="26"/>
        <v>0</v>
      </c>
      <c r="BB39" s="40">
        <f t="shared" si="26"/>
        <v>0</v>
      </c>
      <c r="BC39" s="40">
        <f t="shared" si="26"/>
        <v>0</v>
      </c>
      <c r="BD39" s="40">
        <f t="shared" si="26"/>
        <v>0</v>
      </c>
      <c r="BE39" s="40">
        <f t="shared" si="26"/>
        <v>0</v>
      </c>
      <c r="BF39" s="40">
        <f t="shared" si="26"/>
        <v>0</v>
      </c>
      <c r="BG39" s="40">
        <f t="shared" si="26"/>
        <v>0</v>
      </c>
      <c r="BH39" s="40">
        <f t="shared" si="26"/>
        <v>0</v>
      </c>
      <c r="BI39" s="40">
        <f t="shared" si="26"/>
        <v>0</v>
      </c>
      <c r="BJ39" s="40">
        <f t="shared" si="26"/>
        <v>0</v>
      </c>
      <c r="BK39" s="40">
        <f t="shared" si="26"/>
        <v>0</v>
      </c>
      <c r="BL39" s="40">
        <f t="shared" si="26"/>
        <v>0</v>
      </c>
      <c r="BM39" s="40">
        <f t="shared" si="26"/>
        <v>0</v>
      </c>
      <c r="BN39" s="40">
        <f t="shared" si="26"/>
        <v>0</v>
      </c>
    </row>
    <row r="40" spans="1:66">
      <c r="A40" s="46" t="str">
        <v>BARBED WIRE REPAIR</v>
      </c>
      <c r="B40" s="46">
        <v>0</v>
      </c>
      <c r="C40" s="40">
        <f t="shared" ref="C40:BN40" si="27">$B40/64</f>
        <v>0</v>
      </c>
      <c r="D40" s="40">
        <f t="shared" si="27"/>
        <v>0</v>
      </c>
      <c r="E40" s="40">
        <f t="shared" si="27"/>
        <v>0</v>
      </c>
      <c r="F40" s="40">
        <f t="shared" si="27"/>
        <v>0</v>
      </c>
      <c r="G40" s="40">
        <f t="shared" si="27"/>
        <v>0</v>
      </c>
      <c r="H40" s="40">
        <f t="shared" si="27"/>
        <v>0</v>
      </c>
      <c r="I40" s="40">
        <f t="shared" si="27"/>
        <v>0</v>
      </c>
      <c r="J40" s="40">
        <f t="shared" si="27"/>
        <v>0</v>
      </c>
      <c r="K40" s="40">
        <f t="shared" si="27"/>
        <v>0</v>
      </c>
      <c r="L40" s="40">
        <f t="shared" si="27"/>
        <v>0</v>
      </c>
      <c r="M40" s="40">
        <f t="shared" si="27"/>
        <v>0</v>
      </c>
      <c r="N40" s="40">
        <f t="shared" si="27"/>
        <v>0</v>
      </c>
      <c r="O40" s="40">
        <f t="shared" si="27"/>
        <v>0</v>
      </c>
      <c r="P40" s="40">
        <f t="shared" si="27"/>
        <v>0</v>
      </c>
      <c r="Q40" s="40">
        <f t="shared" si="27"/>
        <v>0</v>
      </c>
      <c r="R40" s="40">
        <f t="shared" si="27"/>
        <v>0</v>
      </c>
      <c r="S40" s="40">
        <f t="shared" si="27"/>
        <v>0</v>
      </c>
      <c r="T40" s="40">
        <f t="shared" si="27"/>
        <v>0</v>
      </c>
      <c r="U40" s="40">
        <f t="shared" si="27"/>
        <v>0</v>
      </c>
      <c r="V40" s="40">
        <f t="shared" si="27"/>
        <v>0</v>
      </c>
      <c r="W40" s="40">
        <f t="shared" si="27"/>
        <v>0</v>
      </c>
      <c r="X40" s="40">
        <f t="shared" si="27"/>
        <v>0</v>
      </c>
      <c r="Y40" s="40">
        <f t="shared" si="27"/>
        <v>0</v>
      </c>
      <c r="Z40" s="40">
        <f t="shared" si="27"/>
        <v>0</v>
      </c>
      <c r="AA40" s="40">
        <f t="shared" si="27"/>
        <v>0</v>
      </c>
      <c r="AB40" s="40">
        <f t="shared" si="27"/>
        <v>0</v>
      </c>
      <c r="AC40" s="40">
        <f t="shared" si="27"/>
        <v>0</v>
      </c>
      <c r="AD40" s="40">
        <f t="shared" si="27"/>
        <v>0</v>
      </c>
      <c r="AE40" s="40">
        <f t="shared" si="27"/>
        <v>0</v>
      </c>
      <c r="AF40" s="40">
        <f t="shared" si="27"/>
        <v>0</v>
      </c>
      <c r="AG40" s="40">
        <f t="shared" si="27"/>
        <v>0</v>
      </c>
      <c r="AH40" s="40">
        <f t="shared" si="27"/>
        <v>0</v>
      </c>
      <c r="AI40" s="40">
        <f t="shared" si="27"/>
        <v>0</v>
      </c>
      <c r="AJ40" s="40">
        <f t="shared" si="27"/>
        <v>0</v>
      </c>
      <c r="AK40" s="40">
        <f t="shared" si="27"/>
        <v>0</v>
      </c>
      <c r="AL40" s="40">
        <f t="shared" si="27"/>
        <v>0</v>
      </c>
      <c r="AM40" s="40">
        <f t="shared" si="27"/>
        <v>0</v>
      </c>
      <c r="AN40" s="40">
        <f t="shared" si="27"/>
        <v>0</v>
      </c>
      <c r="AO40" s="40">
        <f t="shared" si="27"/>
        <v>0</v>
      </c>
      <c r="AP40" s="40">
        <f t="shared" si="27"/>
        <v>0</v>
      </c>
      <c r="AQ40" s="40">
        <f t="shared" si="27"/>
        <v>0</v>
      </c>
      <c r="AR40" s="40">
        <f t="shared" si="27"/>
        <v>0</v>
      </c>
      <c r="AS40" s="40">
        <f t="shared" si="27"/>
        <v>0</v>
      </c>
      <c r="AT40" s="40">
        <f t="shared" si="27"/>
        <v>0</v>
      </c>
      <c r="AU40" s="40">
        <f t="shared" si="27"/>
        <v>0</v>
      </c>
      <c r="AV40" s="40">
        <f t="shared" si="27"/>
        <v>0</v>
      </c>
      <c r="AW40" s="40">
        <f t="shared" si="27"/>
        <v>0</v>
      </c>
      <c r="AX40" s="40">
        <f t="shared" si="27"/>
        <v>0</v>
      </c>
      <c r="AY40" s="40">
        <f t="shared" si="27"/>
        <v>0</v>
      </c>
      <c r="AZ40" s="40">
        <f t="shared" si="27"/>
        <v>0</v>
      </c>
      <c r="BA40" s="40">
        <f t="shared" si="27"/>
        <v>0</v>
      </c>
      <c r="BB40" s="40">
        <f t="shared" si="27"/>
        <v>0</v>
      </c>
      <c r="BC40" s="40">
        <f t="shared" si="27"/>
        <v>0</v>
      </c>
      <c r="BD40" s="40">
        <f t="shared" si="27"/>
        <v>0</v>
      </c>
      <c r="BE40" s="40">
        <f t="shared" si="27"/>
        <v>0</v>
      </c>
      <c r="BF40" s="40">
        <f t="shared" si="27"/>
        <v>0</v>
      </c>
      <c r="BG40" s="40">
        <f t="shared" si="27"/>
        <v>0</v>
      </c>
      <c r="BH40" s="40">
        <f t="shared" si="27"/>
        <v>0</v>
      </c>
      <c r="BI40" s="40">
        <f t="shared" si="27"/>
        <v>0</v>
      </c>
      <c r="BJ40" s="40">
        <f t="shared" si="27"/>
        <v>0</v>
      </c>
      <c r="BK40" s="40">
        <f t="shared" si="27"/>
        <v>0</v>
      </c>
      <c r="BL40" s="40">
        <f t="shared" si="27"/>
        <v>0</v>
      </c>
      <c r="BM40" s="40">
        <f t="shared" si="27"/>
        <v>0</v>
      </c>
      <c r="BN40" s="40">
        <f t="shared" si="27"/>
        <v>0</v>
      </c>
    </row>
    <row r="41" spans="1:66">
      <c r="A41" s="46" t="str">
        <v>DRIED LEAVES REMOVAL</v>
      </c>
      <c r="B41" s="46">
        <v>3300</v>
      </c>
      <c r="C41" s="40">
        <f t="shared" ref="C41:BN41" si="28">$B41/64</f>
        <v>51.5625</v>
      </c>
      <c r="D41" s="40">
        <f t="shared" si="28"/>
        <v>51.5625</v>
      </c>
      <c r="E41" s="40">
        <f t="shared" si="28"/>
        <v>51.5625</v>
      </c>
      <c r="F41" s="40">
        <f t="shared" si="28"/>
        <v>51.5625</v>
      </c>
      <c r="G41" s="40">
        <f t="shared" si="28"/>
        <v>51.5625</v>
      </c>
      <c r="H41" s="40">
        <f t="shared" si="28"/>
        <v>51.5625</v>
      </c>
      <c r="I41" s="40">
        <f t="shared" si="28"/>
        <v>51.5625</v>
      </c>
      <c r="J41" s="40">
        <f t="shared" si="28"/>
        <v>51.5625</v>
      </c>
      <c r="K41" s="40">
        <f t="shared" si="28"/>
        <v>51.5625</v>
      </c>
      <c r="L41" s="40">
        <f t="shared" si="28"/>
        <v>51.5625</v>
      </c>
      <c r="M41" s="40">
        <f t="shared" si="28"/>
        <v>51.5625</v>
      </c>
      <c r="N41" s="40">
        <f t="shared" si="28"/>
        <v>51.5625</v>
      </c>
      <c r="O41" s="40">
        <f t="shared" si="28"/>
        <v>51.5625</v>
      </c>
      <c r="P41" s="40">
        <f t="shared" si="28"/>
        <v>51.5625</v>
      </c>
      <c r="Q41" s="40">
        <f t="shared" si="28"/>
        <v>51.5625</v>
      </c>
      <c r="R41" s="40">
        <f t="shared" si="28"/>
        <v>51.5625</v>
      </c>
      <c r="S41" s="40">
        <f t="shared" si="28"/>
        <v>51.5625</v>
      </c>
      <c r="T41" s="40">
        <f t="shared" si="28"/>
        <v>51.5625</v>
      </c>
      <c r="U41" s="40">
        <f t="shared" si="28"/>
        <v>51.5625</v>
      </c>
      <c r="V41" s="40">
        <f t="shared" si="28"/>
        <v>51.5625</v>
      </c>
      <c r="W41" s="40">
        <f t="shared" si="28"/>
        <v>51.5625</v>
      </c>
      <c r="X41" s="40">
        <f t="shared" si="28"/>
        <v>51.5625</v>
      </c>
      <c r="Y41" s="40">
        <f t="shared" si="28"/>
        <v>51.5625</v>
      </c>
      <c r="Z41" s="40">
        <f t="shared" si="28"/>
        <v>51.5625</v>
      </c>
      <c r="AA41" s="40">
        <f t="shared" si="28"/>
        <v>51.5625</v>
      </c>
      <c r="AB41" s="40">
        <f t="shared" si="28"/>
        <v>51.5625</v>
      </c>
      <c r="AC41" s="40">
        <f t="shared" si="28"/>
        <v>51.5625</v>
      </c>
      <c r="AD41" s="40">
        <f t="shared" si="28"/>
        <v>51.5625</v>
      </c>
      <c r="AE41" s="40">
        <f t="shared" si="28"/>
        <v>51.5625</v>
      </c>
      <c r="AF41" s="40">
        <f t="shared" si="28"/>
        <v>51.5625</v>
      </c>
      <c r="AG41" s="40">
        <f t="shared" si="28"/>
        <v>51.5625</v>
      </c>
      <c r="AH41" s="40">
        <f t="shared" si="28"/>
        <v>51.5625</v>
      </c>
      <c r="AI41" s="40">
        <f t="shared" si="28"/>
        <v>51.5625</v>
      </c>
      <c r="AJ41" s="40">
        <f t="shared" si="28"/>
        <v>51.5625</v>
      </c>
      <c r="AK41" s="40">
        <f t="shared" si="28"/>
        <v>51.5625</v>
      </c>
      <c r="AL41" s="40">
        <f t="shared" si="28"/>
        <v>51.5625</v>
      </c>
      <c r="AM41" s="40">
        <f t="shared" si="28"/>
        <v>51.5625</v>
      </c>
      <c r="AN41" s="40">
        <f t="shared" si="28"/>
        <v>51.5625</v>
      </c>
      <c r="AO41" s="40">
        <f t="shared" si="28"/>
        <v>51.5625</v>
      </c>
      <c r="AP41" s="40">
        <f t="shared" si="28"/>
        <v>51.5625</v>
      </c>
      <c r="AQ41" s="40">
        <f t="shared" si="28"/>
        <v>51.5625</v>
      </c>
      <c r="AR41" s="40">
        <f t="shared" si="28"/>
        <v>51.5625</v>
      </c>
      <c r="AS41" s="40">
        <f t="shared" si="28"/>
        <v>51.5625</v>
      </c>
      <c r="AT41" s="40">
        <f t="shared" si="28"/>
        <v>51.5625</v>
      </c>
      <c r="AU41" s="40">
        <f t="shared" si="28"/>
        <v>51.5625</v>
      </c>
      <c r="AV41" s="40">
        <f t="shared" si="28"/>
        <v>51.5625</v>
      </c>
      <c r="AW41" s="40">
        <f t="shared" si="28"/>
        <v>51.5625</v>
      </c>
      <c r="AX41" s="40">
        <f t="shared" si="28"/>
        <v>51.5625</v>
      </c>
      <c r="AY41" s="40">
        <f t="shared" si="28"/>
        <v>51.5625</v>
      </c>
      <c r="AZ41" s="40">
        <f t="shared" si="28"/>
        <v>51.5625</v>
      </c>
      <c r="BA41" s="40">
        <f t="shared" si="28"/>
        <v>51.5625</v>
      </c>
      <c r="BB41" s="40">
        <f t="shared" si="28"/>
        <v>51.5625</v>
      </c>
      <c r="BC41" s="40">
        <f t="shared" si="28"/>
        <v>51.5625</v>
      </c>
      <c r="BD41" s="40">
        <f t="shared" si="28"/>
        <v>51.5625</v>
      </c>
      <c r="BE41" s="40">
        <f t="shared" si="28"/>
        <v>51.5625</v>
      </c>
      <c r="BF41" s="40">
        <f t="shared" si="28"/>
        <v>51.5625</v>
      </c>
      <c r="BG41" s="40">
        <f t="shared" si="28"/>
        <v>51.5625</v>
      </c>
      <c r="BH41" s="40">
        <f t="shared" si="28"/>
        <v>51.5625</v>
      </c>
      <c r="BI41" s="40">
        <f t="shared" si="28"/>
        <v>51.5625</v>
      </c>
      <c r="BJ41" s="40">
        <f t="shared" si="28"/>
        <v>51.5625</v>
      </c>
      <c r="BK41" s="40">
        <f t="shared" si="28"/>
        <v>51.5625</v>
      </c>
      <c r="BL41" s="40">
        <f t="shared" si="28"/>
        <v>51.5625</v>
      </c>
      <c r="BM41" s="40">
        <f t="shared" si="28"/>
        <v>51.5625</v>
      </c>
      <c r="BN41" s="40">
        <f t="shared" si="28"/>
        <v>51.5625</v>
      </c>
    </row>
    <row r="42" spans="1:66">
      <c r="A42" s="46" t="str">
        <v>DRAIN CLEANING</v>
      </c>
      <c r="B42" s="46">
        <v>0</v>
      </c>
      <c r="C42" s="40">
        <f t="shared" ref="C42:BN42" si="29">$B42/64</f>
        <v>0</v>
      </c>
      <c r="D42" s="40">
        <f t="shared" si="29"/>
        <v>0</v>
      </c>
      <c r="E42" s="40">
        <f t="shared" si="29"/>
        <v>0</v>
      </c>
      <c r="F42" s="40">
        <f t="shared" si="29"/>
        <v>0</v>
      </c>
      <c r="G42" s="40">
        <f t="shared" si="29"/>
        <v>0</v>
      </c>
      <c r="H42" s="40">
        <f t="shared" si="29"/>
        <v>0</v>
      </c>
      <c r="I42" s="40">
        <f t="shared" si="29"/>
        <v>0</v>
      </c>
      <c r="J42" s="40">
        <f t="shared" si="29"/>
        <v>0</v>
      </c>
      <c r="K42" s="40">
        <f t="shared" si="29"/>
        <v>0</v>
      </c>
      <c r="L42" s="40">
        <f t="shared" si="29"/>
        <v>0</v>
      </c>
      <c r="M42" s="40">
        <f t="shared" si="29"/>
        <v>0</v>
      </c>
      <c r="N42" s="40">
        <f t="shared" si="29"/>
        <v>0</v>
      </c>
      <c r="O42" s="40">
        <f t="shared" si="29"/>
        <v>0</v>
      </c>
      <c r="P42" s="40">
        <f t="shared" si="29"/>
        <v>0</v>
      </c>
      <c r="Q42" s="40">
        <f t="shared" si="29"/>
        <v>0</v>
      </c>
      <c r="R42" s="40">
        <f t="shared" si="29"/>
        <v>0</v>
      </c>
      <c r="S42" s="40">
        <f t="shared" si="29"/>
        <v>0</v>
      </c>
      <c r="T42" s="40">
        <f t="shared" si="29"/>
        <v>0</v>
      </c>
      <c r="U42" s="40">
        <f t="shared" si="29"/>
        <v>0</v>
      </c>
      <c r="V42" s="40">
        <f t="shared" si="29"/>
        <v>0</v>
      </c>
      <c r="W42" s="40">
        <f t="shared" si="29"/>
        <v>0</v>
      </c>
      <c r="X42" s="40">
        <f t="shared" si="29"/>
        <v>0</v>
      </c>
      <c r="Y42" s="40">
        <f t="shared" si="29"/>
        <v>0</v>
      </c>
      <c r="Z42" s="40">
        <f t="shared" si="29"/>
        <v>0</v>
      </c>
      <c r="AA42" s="40">
        <f t="shared" si="29"/>
        <v>0</v>
      </c>
      <c r="AB42" s="40">
        <f t="shared" si="29"/>
        <v>0</v>
      </c>
      <c r="AC42" s="40">
        <f t="shared" si="29"/>
        <v>0</v>
      </c>
      <c r="AD42" s="40">
        <f t="shared" si="29"/>
        <v>0</v>
      </c>
      <c r="AE42" s="40">
        <f t="shared" si="29"/>
        <v>0</v>
      </c>
      <c r="AF42" s="40">
        <f t="shared" si="29"/>
        <v>0</v>
      </c>
      <c r="AG42" s="40">
        <f t="shared" si="29"/>
        <v>0</v>
      </c>
      <c r="AH42" s="40">
        <f t="shared" si="29"/>
        <v>0</v>
      </c>
      <c r="AI42" s="40">
        <f t="shared" si="29"/>
        <v>0</v>
      </c>
      <c r="AJ42" s="40">
        <f t="shared" si="29"/>
        <v>0</v>
      </c>
      <c r="AK42" s="40">
        <f t="shared" si="29"/>
        <v>0</v>
      </c>
      <c r="AL42" s="40">
        <f t="shared" si="29"/>
        <v>0</v>
      </c>
      <c r="AM42" s="40">
        <f t="shared" si="29"/>
        <v>0</v>
      </c>
      <c r="AN42" s="40">
        <f t="shared" si="29"/>
        <v>0</v>
      </c>
      <c r="AO42" s="40">
        <f t="shared" si="29"/>
        <v>0</v>
      </c>
      <c r="AP42" s="40">
        <f t="shared" si="29"/>
        <v>0</v>
      </c>
      <c r="AQ42" s="40">
        <f t="shared" si="29"/>
        <v>0</v>
      </c>
      <c r="AR42" s="40">
        <f t="shared" si="29"/>
        <v>0</v>
      </c>
      <c r="AS42" s="40">
        <f t="shared" si="29"/>
        <v>0</v>
      </c>
      <c r="AT42" s="40">
        <f t="shared" si="29"/>
        <v>0</v>
      </c>
      <c r="AU42" s="40">
        <f t="shared" si="29"/>
        <v>0</v>
      </c>
      <c r="AV42" s="40">
        <f t="shared" si="29"/>
        <v>0</v>
      </c>
      <c r="AW42" s="40">
        <f t="shared" si="29"/>
        <v>0</v>
      </c>
      <c r="AX42" s="40">
        <f t="shared" si="29"/>
        <v>0</v>
      </c>
      <c r="AY42" s="40">
        <f t="shared" si="29"/>
        <v>0</v>
      </c>
      <c r="AZ42" s="40">
        <f t="shared" si="29"/>
        <v>0</v>
      </c>
      <c r="BA42" s="40">
        <f t="shared" si="29"/>
        <v>0</v>
      </c>
      <c r="BB42" s="40">
        <f t="shared" si="29"/>
        <v>0</v>
      </c>
      <c r="BC42" s="40">
        <f t="shared" si="29"/>
        <v>0</v>
      </c>
      <c r="BD42" s="40">
        <f t="shared" si="29"/>
        <v>0</v>
      </c>
      <c r="BE42" s="40">
        <f t="shared" si="29"/>
        <v>0</v>
      </c>
      <c r="BF42" s="40">
        <f t="shared" si="29"/>
        <v>0</v>
      </c>
      <c r="BG42" s="40">
        <f t="shared" si="29"/>
        <v>0</v>
      </c>
      <c r="BH42" s="40">
        <f t="shared" si="29"/>
        <v>0</v>
      </c>
      <c r="BI42" s="40">
        <f t="shared" si="29"/>
        <v>0</v>
      </c>
      <c r="BJ42" s="40">
        <f t="shared" si="29"/>
        <v>0</v>
      </c>
      <c r="BK42" s="40">
        <f t="shared" si="29"/>
        <v>0</v>
      </c>
      <c r="BL42" s="40">
        <f t="shared" si="29"/>
        <v>0</v>
      </c>
      <c r="BM42" s="40">
        <f t="shared" si="29"/>
        <v>0</v>
      </c>
      <c r="BN42" s="40">
        <f t="shared" si="29"/>
        <v>0</v>
      </c>
    </row>
    <row r="43" spans="1:66">
      <c r="A43" s="46" t="str">
        <v>Security room &amp; Play area painting</v>
      </c>
      <c r="B43" s="46">
        <v>0</v>
      </c>
      <c r="C43" s="40">
        <f t="shared" ref="C43:BN43" si="30">$B43/64</f>
        <v>0</v>
      </c>
      <c r="D43" s="40">
        <f t="shared" si="30"/>
        <v>0</v>
      </c>
      <c r="E43" s="40">
        <f t="shared" si="30"/>
        <v>0</v>
      </c>
      <c r="F43" s="40">
        <f t="shared" si="30"/>
        <v>0</v>
      </c>
      <c r="G43" s="40">
        <f t="shared" si="30"/>
        <v>0</v>
      </c>
      <c r="H43" s="40">
        <f t="shared" si="30"/>
        <v>0</v>
      </c>
      <c r="I43" s="40">
        <f t="shared" si="30"/>
        <v>0</v>
      </c>
      <c r="J43" s="40">
        <f t="shared" si="30"/>
        <v>0</v>
      </c>
      <c r="K43" s="40">
        <f t="shared" si="30"/>
        <v>0</v>
      </c>
      <c r="L43" s="40">
        <f t="shared" si="30"/>
        <v>0</v>
      </c>
      <c r="M43" s="40">
        <f t="shared" si="30"/>
        <v>0</v>
      </c>
      <c r="N43" s="40">
        <f t="shared" si="30"/>
        <v>0</v>
      </c>
      <c r="O43" s="40">
        <f t="shared" si="30"/>
        <v>0</v>
      </c>
      <c r="P43" s="40">
        <f t="shared" si="30"/>
        <v>0</v>
      </c>
      <c r="Q43" s="40">
        <f t="shared" si="30"/>
        <v>0</v>
      </c>
      <c r="R43" s="40">
        <f t="shared" si="30"/>
        <v>0</v>
      </c>
      <c r="S43" s="40">
        <f t="shared" si="30"/>
        <v>0</v>
      </c>
      <c r="T43" s="40">
        <f t="shared" si="30"/>
        <v>0</v>
      </c>
      <c r="U43" s="40">
        <f t="shared" si="30"/>
        <v>0</v>
      </c>
      <c r="V43" s="40">
        <f t="shared" si="30"/>
        <v>0</v>
      </c>
      <c r="W43" s="40">
        <f t="shared" si="30"/>
        <v>0</v>
      </c>
      <c r="X43" s="40">
        <f t="shared" si="30"/>
        <v>0</v>
      </c>
      <c r="Y43" s="40">
        <f t="shared" si="30"/>
        <v>0</v>
      </c>
      <c r="Z43" s="40">
        <f t="shared" si="30"/>
        <v>0</v>
      </c>
      <c r="AA43" s="40">
        <f t="shared" si="30"/>
        <v>0</v>
      </c>
      <c r="AB43" s="40">
        <f t="shared" si="30"/>
        <v>0</v>
      </c>
      <c r="AC43" s="40">
        <f t="shared" si="30"/>
        <v>0</v>
      </c>
      <c r="AD43" s="40">
        <f t="shared" si="30"/>
        <v>0</v>
      </c>
      <c r="AE43" s="40">
        <f t="shared" si="30"/>
        <v>0</v>
      </c>
      <c r="AF43" s="40">
        <f t="shared" si="30"/>
        <v>0</v>
      </c>
      <c r="AG43" s="40">
        <f t="shared" si="30"/>
        <v>0</v>
      </c>
      <c r="AH43" s="40">
        <f t="shared" si="30"/>
        <v>0</v>
      </c>
      <c r="AI43" s="40">
        <f t="shared" si="30"/>
        <v>0</v>
      </c>
      <c r="AJ43" s="40">
        <f t="shared" si="30"/>
        <v>0</v>
      </c>
      <c r="AK43" s="40">
        <f t="shared" si="30"/>
        <v>0</v>
      </c>
      <c r="AL43" s="40">
        <f t="shared" si="30"/>
        <v>0</v>
      </c>
      <c r="AM43" s="40">
        <f t="shared" si="30"/>
        <v>0</v>
      </c>
      <c r="AN43" s="40">
        <f t="shared" si="30"/>
        <v>0</v>
      </c>
      <c r="AO43" s="40">
        <f t="shared" si="30"/>
        <v>0</v>
      </c>
      <c r="AP43" s="40">
        <f t="shared" si="30"/>
        <v>0</v>
      </c>
      <c r="AQ43" s="40">
        <f t="shared" si="30"/>
        <v>0</v>
      </c>
      <c r="AR43" s="40">
        <f t="shared" si="30"/>
        <v>0</v>
      </c>
      <c r="AS43" s="40">
        <f t="shared" si="30"/>
        <v>0</v>
      </c>
      <c r="AT43" s="40">
        <f t="shared" si="30"/>
        <v>0</v>
      </c>
      <c r="AU43" s="40">
        <f t="shared" si="30"/>
        <v>0</v>
      </c>
      <c r="AV43" s="40">
        <f t="shared" si="30"/>
        <v>0</v>
      </c>
      <c r="AW43" s="40">
        <f t="shared" si="30"/>
        <v>0</v>
      </c>
      <c r="AX43" s="40">
        <f t="shared" si="30"/>
        <v>0</v>
      </c>
      <c r="AY43" s="40">
        <f t="shared" si="30"/>
        <v>0</v>
      </c>
      <c r="AZ43" s="40">
        <f t="shared" si="30"/>
        <v>0</v>
      </c>
      <c r="BA43" s="40">
        <f t="shared" si="30"/>
        <v>0</v>
      </c>
      <c r="BB43" s="40">
        <f t="shared" si="30"/>
        <v>0</v>
      </c>
      <c r="BC43" s="40">
        <f t="shared" si="30"/>
        <v>0</v>
      </c>
      <c r="BD43" s="40">
        <f t="shared" si="30"/>
        <v>0</v>
      </c>
      <c r="BE43" s="40">
        <f t="shared" si="30"/>
        <v>0</v>
      </c>
      <c r="BF43" s="40">
        <f t="shared" si="30"/>
        <v>0</v>
      </c>
      <c r="BG43" s="40">
        <f t="shared" si="30"/>
        <v>0</v>
      </c>
      <c r="BH43" s="40">
        <f t="shared" si="30"/>
        <v>0</v>
      </c>
      <c r="BI43" s="40">
        <f t="shared" si="30"/>
        <v>0</v>
      </c>
      <c r="BJ43" s="40">
        <f t="shared" si="30"/>
        <v>0</v>
      </c>
      <c r="BK43" s="40">
        <f t="shared" si="30"/>
        <v>0</v>
      </c>
      <c r="BL43" s="40">
        <f t="shared" si="30"/>
        <v>0</v>
      </c>
      <c r="BM43" s="40">
        <f t="shared" si="30"/>
        <v>0</v>
      </c>
      <c r="BN43" s="40">
        <f t="shared" si="30"/>
        <v>0</v>
      </c>
    </row>
    <row r="44" spans="1:66">
      <c r="A44" s="46" t="str">
        <v>Play area sand removal &amp; cracks filling</v>
      </c>
      <c r="B44" s="46">
        <v>0</v>
      </c>
      <c r="C44" s="40">
        <f t="shared" ref="C44:BN44" si="31">$B44/64</f>
        <v>0</v>
      </c>
      <c r="D44" s="40">
        <f t="shared" si="31"/>
        <v>0</v>
      </c>
      <c r="E44" s="40">
        <f t="shared" si="31"/>
        <v>0</v>
      </c>
      <c r="F44" s="40">
        <f t="shared" si="31"/>
        <v>0</v>
      </c>
      <c r="G44" s="40">
        <f t="shared" si="31"/>
        <v>0</v>
      </c>
      <c r="H44" s="40">
        <f t="shared" si="31"/>
        <v>0</v>
      </c>
      <c r="I44" s="40">
        <f t="shared" si="31"/>
        <v>0</v>
      </c>
      <c r="J44" s="40">
        <f t="shared" si="31"/>
        <v>0</v>
      </c>
      <c r="K44" s="40">
        <f t="shared" si="31"/>
        <v>0</v>
      </c>
      <c r="L44" s="40">
        <f t="shared" si="31"/>
        <v>0</v>
      </c>
      <c r="M44" s="40">
        <f t="shared" si="31"/>
        <v>0</v>
      </c>
      <c r="N44" s="40">
        <f t="shared" si="31"/>
        <v>0</v>
      </c>
      <c r="O44" s="40">
        <f t="shared" si="31"/>
        <v>0</v>
      </c>
      <c r="P44" s="40">
        <f t="shared" si="31"/>
        <v>0</v>
      </c>
      <c r="Q44" s="40">
        <f t="shared" si="31"/>
        <v>0</v>
      </c>
      <c r="R44" s="40">
        <f t="shared" si="31"/>
        <v>0</v>
      </c>
      <c r="S44" s="40">
        <f t="shared" si="31"/>
        <v>0</v>
      </c>
      <c r="T44" s="40">
        <f t="shared" si="31"/>
        <v>0</v>
      </c>
      <c r="U44" s="40">
        <f t="shared" si="31"/>
        <v>0</v>
      </c>
      <c r="V44" s="40">
        <f t="shared" si="31"/>
        <v>0</v>
      </c>
      <c r="W44" s="40">
        <f t="shared" si="31"/>
        <v>0</v>
      </c>
      <c r="X44" s="40">
        <f t="shared" si="31"/>
        <v>0</v>
      </c>
      <c r="Y44" s="40">
        <f t="shared" si="31"/>
        <v>0</v>
      </c>
      <c r="Z44" s="40">
        <f t="shared" si="31"/>
        <v>0</v>
      </c>
      <c r="AA44" s="40">
        <f t="shared" si="31"/>
        <v>0</v>
      </c>
      <c r="AB44" s="40">
        <f t="shared" si="31"/>
        <v>0</v>
      </c>
      <c r="AC44" s="40">
        <f t="shared" si="31"/>
        <v>0</v>
      </c>
      <c r="AD44" s="40">
        <f t="shared" si="31"/>
        <v>0</v>
      </c>
      <c r="AE44" s="40">
        <f t="shared" si="31"/>
        <v>0</v>
      </c>
      <c r="AF44" s="40">
        <f t="shared" si="31"/>
        <v>0</v>
      </c>
      <c r="AG44" s="40">
        <f t="shared" si="31"/>
        <v>0</v>
      </c>
      <c r="AH44" s="40">
        <f t="shared" si="31"/>
        <v>0</v>
      </c>
      <c r="AI44" s="40">
        <f t="shared" si="31"/>
        <v>0</v>
      </c>
      <c r="AJ44" s="40">
        <f t="shared" si="31"/>
        <v>0</v>
      </c>
      <c r="AK44" s="40">
        <f t="shared" si="31"/>
        <v>0</v>
      </c>
      <c r="AL44" s="40">
        <f t="shared" si="31"/>
        <v>0</v>
      </c>
      <c r="AM44" s="40">
        <f t="shared" si="31"/>
        <v>0</v>
      </c>
      <c r="AN44" s="40">
        <f t="shared" si="31"/>
        <v>0</v>
      </c>
      <c r="AO44" s="40">
        <f t="shared" si="31"/>
        <v>0</v>
      </c>
      <c r="AP44" s="40">
        <f t="shared" si="31"/>
        <v>0</v>
      </c>
      <c r="AQ44" s="40">
        <f t="shared" si="31"/>
        <v>0</v>
      </c>
      <c r="AR44" s="40">
        <f t="shared" si="31"/>
        <v>0</v>
      </c>
      <c r="AS44" s="40">
        <f t="shared" si="31"/>
        <v>0</v>
      </c>
      <c r="AT44" s="40">
        <f t="shared" si="31"/>
        <v>0</v>
      </c>
      <c r="AU44" s="40">
        <f t="shared" si="31"/>
        <v>0</v>
      </c>
      <c r="AV44" s="40">
        <f t="shared" si="31"/>
        <v>0</v>
      </c>
      <c r="AW44" s="40">
        <f t="shared" si="31"/>
        <v>0</v>
      </c>
      <c r="AX44" s="40">
        <f t="shared" si="31"/>
        <v>0</v>
      </c>
      <c r="AY44" s="40">
        <f t="shared" si="31"/>
        <v>0</v>
      </c>
      <c r="AZ44" s="40">
        <f t="shared" si="31"/>
        <v>0</v>
      </c>
      <c r="BA44" s="40">
        <f t="shared" si="31"/>
        <v>0</v>
      </c>
      <c r="BB44" s="40">
        <f t="shared" si="31"/>
        <v>0</v>
      </c>
      <c r="BC44" s="40">
        <f t="shared" si="31"/>
        <v>0</v>
      </c>
      <c r="BD44" s="40">
        <f t="shared" si="31"/>
        <v>0</v>
      </c>
      <c r="BE44" s="40">
        <f t="shared" si="31"/>
        <v>0</v>
      </c>
      <c r="BF44" s="40">
        <f t="shared" si="31"/>
        <v>0</v>
      </c>
      <c r="BG44" s="40">
        <f t="shared" si="31"/>
        <v>0</v>
      </c>
      <c r="BH44" s="40">
        <f t="shared" si="31"/>
        <v>0</v>
      </c>
      <c r="BI44" s="40">
        <f t="shared" si="31"/>
        <v>0</v>
      </c>
      <c r="BJ44" s="40">
        <f t="shared" si="31"/>
        <v>0</v>
      </c>
      <c r="BK44" s="40">
        <f t="shared" si="31"/>
        <v>0</v>
      </c>
      <c r="BL44" s="40">
        <f t="shared" si="31"/>
        <v>0</v>
      </c>
      <c r="BM44" s="40">
        <f t="shared" si="31"/>
        <v>0</v>
      </c>
      <c r="BN44" s="40">
        <f t="shared" si="31"/>
        <v>0</v>
      </c>
    </row>
    <row r="45" spans="1:66">
      <c r="A45" s="46" t="str">
        <v>Front garden cleaning and red soil filling</v>
      </c>
      <c r="B45" s="46">
        <v>0</v>
      </c>
      <c r="C45" s="40">
        <f t="shared" ref="C45:BN45" si="32">$B45/64</f>
        <v>0</v>
      </c>
      <c r="D45" s="40">
        <f t="shared" si="32"/>
        <v>0</v>
      </c>
      <c r="E45" s="40">
        <f t="shared" si="32"/>
        <v>0</v>
      </c>
      <c r="F45" s="40">
        <f t="shared" si="32"/>
        <v>0</v>
      </c>
      <c r="G45" s="40">
        <f t="shared" si="32"/>
        <v>0</v>
      </c>
      <c r="H45" s="40">
        <f t="shared" si="32"/>
        <v>0</v>
      </c>
      <c r="I45" s="40">
        <f t="shared" si="32"/>
        <v>0</v>
      </c>
      <c r="J45" s="40">
        <f t="shared" si="32"/>
        <v>0</v>
      </c>
      <c r="K45" s="40">
        <f t="shared" si="32"/>
        <v>0</v>
      </c>
      <c r="L45" s="40">
        <f t="shared" si="32"/>
        <v>0</v>
      </c>
      <c r="M45" s="40">
        <f t="shared" si="32"/>
        <v>0</v>
      </c>
      <c r="N45" s="40">
        <f t="shared" si="32"/>
        <v>0</v>
      </c>
      <c r="O45" s="40">
        <f t="shared" si="32"/>
        <v>0</v>
      </c>
      <c r="P45" s="40">
        <f t="shared" si="32"/>
        <v>0</v>
      </c>
      <c r="Q45" s="40">
        <f t="shared" si="32"/>
        <v>0</v>
      </c>
      <c r="R45" s="40">
        <f t="shared" si="32"/>
        <v>0</v>
      </c>
      <c r="S45" s="40">
        <f t="shared" si="32"/>
        <v>0</v>
      </c>
      <c r="T45" s="40">
        <f t="shared" si="32"/>
        <v>0</v>
      </c>
      <c r="U45" s="40">
        <f t="shared" si="32"/>
        <v>0</v>
      </c>
      <c r="V45" s="40">
        <f t="shared" si="32"/>
        <v>0</v>
      </c>
      <c r="W45" s="40">
        <f t="shared" si="32"/>
        <v>0</v>
      </c>
      <c r="X45" s="40">
        <f t="shared" si="32"/>
        <v>0</v>
      </c>
      <c r="Y45" s="40">
        <f t="shared" si="32"/>
        <v>0</v>
      </c>
      <c r="Z45" s="40">
        <f t="shared" si="32"/>
        <v>0</v>
      </c>
      <c r="AA45" s="40">
        <f t="shared" si="32"/>
        <v>0</v>
      </c>
      <c r="AB45" s="40">
        <f t="shared" si="32"/>
        <v>0</v>
      </c>
      <c r="AC45" s="40">
        <f t="shared" si="32"/>
        <v>0</v>
      </c>
      <c r="AD45" s="40">
        <f t="shared" si="32"/>
        <v>0</v>
      </c>
      <c r="AE45" s="40">
        <f t="shared" si="32"/>
        <v>0</v>
      </c>
      <c r="AF45" s="40">
        <f t="shared" si="32"/>
        <v>0</v>
      </c>
      <c r="AG45" s="40">
        <f t="shared" si="32"/>
        <v>0</v>
      </c>
      <c r="AH45" s="40">
        <f t="shared" si="32"/>
        <v>0</v>
      </c>
      <c r="AI45" s="40">
        <f t="shared" si="32"/>
        <v>0</v>
      </c>
      <c r="AJ45" s="40">
        <f t="shared" si="32"/>
        <v>0</v>
      </c>
      <c r="AK45" s="40">
        <f t="shared" si="32"/>
        <v>0</v>
      </c>
      <c r="AL45" s="40">
        <f t="shared" si="32"/>
        <v>0</v>
      </c>
      <c r="AM45" s="40">
        <f t="shared" si="32"/>
        <v>0</v>
      </c>
      <c r="AN45" s="40">
        <f t="shared" si="32"/>
        <v>0</v>
      </c>
      <c r="AO45" s="40">
        <f t="shared" si="32"/>
        <v>0</v>
      </c>
      <c r="AP45" s="40">
        <f t="shared" si="32"/>
        <v>0</v>
      </c>
      <c r="AQ45" s="40">
        <f t="shared" si="32"/>
        <v>0</v>
      </c>
      <c r="AR45" s="40">
        <f t="shared" si="32"/>
        <v>0</v>
      </c>
      <c r="AS45" s="40">
        <f t="shared" si="32"/>
        <v>0</v>
      </c>
      <c r="AT45" s="40">
        <f t="shared" si="32"/>
        <v>0</v>
      </c>
      <c r="AU45" s="40">
        <f t="shared" si="32"/>
        <v>0</v>
      </c>
      <c r="AV45" s="40">
        <f t="shared" si="32"/>
        <v>0</v>
      </c>
      <c r="AW45" s="40">
        <f t="shared" si="32"/>
        <v>0</v>
      </c>
      <c r="AX45" s="40">
        <f t="shared" si="32"/>
        <v>0</v>
      </c>
      <c r="AY45" s="40">
        <f t="shared" si="32"/>
        <v>0</v>
      </c>
      <c r="AZ45" s="40">
        <f t="shared" si="32"/>
        <v>0</v>
      </c>
      <c r="BA45" s="40">
        <f t="shared" si="32"/>
        <v>0</v>
      </c>
      <c r="BB45" s="40">
        <f t="shared" si="32"/>
        <v>0</v>
      </c>
      <c r="BC45" s="40">
        <f t="shared" si="32"/>
        <v>0</v>
      </c>
      <c r="BD45" s="40">
        <f t="shared" si="32"/>
        <v>0</v>
      </c>
      <c r="BE45" s="40">
        <f t="shared" si="32"/>
        <v>0</v>
      </c>
      <c r="BF45" s="40">
        <f t="shared" si="32"/>
        <v>0</v>
      </c>
      <c r="BG45" s="40">
        <f t="shared" si="32"/>
        <v>0</v>
      </c>
      <c r="BH45" s="40">
        <f t="shared" si="32"/>
        <v>0</v>
      </c>
      <c r="BI45" s="40">
        <f t="shared" si="32"/>
        <v>0</v>
      </c>
      <c r="BJ45" s="40">
        <f t="shared" si="32"/>
        <v>0</v>
      </c>
      <c r="BK45" s="40">
        <f t="shared" si="32"/>
        <v>0</v>
      </c>
      <c r="BL45" s="40">
        <f t="shared" si="32"/>
        <v>0</v>
      </c>
      <c r="BM45" s="40">
        <f t="shared" si="32"/>
        <v>0</v>
      </c>
      <c r="BN45" s="40">
        <f t="shared" si="32"/>
        <v>0</v>
      </c>
    </row>
    <row r="46" spans="1:66">
      <c r="A46" s="46" t="str">
        <v>Landscaping work for STP water disposal</v>
      </c>
      <c r="B46" s="46">
        <v>0</v>
      </c>
      <c r="C46" s="40">
        <f t="shared" ref="C46:BN46" si="33">$B46/64</f>
        <v>0</v>
      </c>
      <c r="D46" s="40">
        <f t="shared" si="33"/>
        <v>0</v>
      </c>
      <c r="E46" s="40">
        <f t="shared" si="33"/>
        <v>0</v>
      </c>
      <c r="F46" s="40">
        <f t="shared" si="33"/>
        <v>0</v>
      </c>
      <c r="G46" s="40">
        <f t="shared" si="33"/>
        <v>0</v>
      </c>
      <c r="H46" s="40">
        <f t="shared" si="33"/>
        <v>0</v>
      </c>
      <c r="I46" s="40">
        <f t="shared" si="33"/>
        <v>0</v>
      </c>
      <c r="J46" s="40">
        <f t="shared" si="33"/>
        <v>0</v>
      </c>
      <c r="K46" s="40">
        <f t="shared" si="33"/>
        <v>0</v>
      </c>
      <c r="L46" s="40">
        <f t="shared" si="33"/>
        <v>0</v>
      </c>
      <c r="M46" s="40">
        <f t="shared" si="33"/>
        <v>0</v>
      </c>
      <c r="N46" s="40">
        <f t="shared" si="33"/>
        <v>0</v>
      </c>
      <c r="O46" s="40">
        <f t="shared" si="33"/>
        <v>0</v>
      </c>
      <c r="P46" s="40">
        <f t="shared" si="33"/>
        <v>0</v>
      </c>
      <c r="Q46" s="40">
        <f t="shared" si="33"/>
        <v>0</v>
      </c>
      <c r="R46" s="40">
        <f t="shared" si="33"/>
        <v>0</v>
      </c>
      <c r="S46" s="40">
        <f t="shared" si="33"/>
        <v>0</v>
      </c>
      <c r="T46" s="40">
        <f t="shared" si="33"/>
        <v>0</v>
      </c>
      <c r="U46" s="40">
        <f t="shared" si="33"/>
        <v>0</v>
      </c>
      <c r="V46" s="40">
        <f t="shared" si="33"/>
        <v>0</v>
      </c>
      <c r="W46" s="40">
        <f t="shared" si="33"/>
        <v>0</v>
      </c>
      <c r="X46" s="40">
        <f t="shared" si="33"/>
        <v>0</v>
      </c>
      <c r="Y46" s="40">
        <f t="shared" si="33"/>
        <v>0</v>
      </c>
      <c r="Z46" s="40">
        <f t="shared" si="33"/>
        <v>0</v>
      </c>
      <c r="AA46" s="40">
        <f t="shared" si="33"/>
        <v>0</v>
      </c>
      <c r="AB46" s="40">
        <f t="shared" si="33"/>
        <v>0</v>
      </c>
      <c r="AC46" s="40">
        <f t="shared" si="33"/>
        <v>0</v>
      </c>
      <c r="AD46" s="40">
        <f t="shared" si="33"/>
        <v>0</v>
      </c>
      <c r="AE46" s="40">
        <f t="shared" si="33"/>
        <v>0</v>
      </c>
      <c r="AF46" s="40">
        <f t="shared" si="33"/>
        <v>0</v>
      </c>
      <c r="AG46" s="40">
        <f t="shared" si="33"/>
        <v>0</v>
      </c>
      <c r="AH46" s="40">
        <f t="shared" si="33"/>
        <v>0</v>
      </c>
      <c r="AI46" s="40">
        <f t="shared" si="33"/>
        <v>0</v>
      </c>
      <c r="AJ46" s="40">
        <f t="shared" si="33"/>
        <v>0</v>
      </c>
      <c r="AK46" s="40">
        <f t="shared" si="33"/>
        <v>0</v>
      </c>
      <c r="AL46" s="40">
        <f t="shared" si="33"/>
        <v>0</v>
      </c>
      <c r="AM46" s="40">
        <f t="shared" si="33"/>
        <v>0</v>
      </c>
      <c r="AN46" s="40">
        <f t="shared" si="33"/>
        <v>0</v>
      </c>
      <c r="AO46" s="40">
        <f t="shared" si="33"/>
        <v>0</v>
      </c>
      <c r="AP46" s="40">
        <f t="shared" si="33"/>
        <v>0</v>
      </c>
      <c r="AQ46" s="40">
        <f t="shared" si="33"/>
        <v>0</v>
      </c>
      <c r="AR46" s="40">
        <f t="shared" si="33"/>
        <v>0</v>
      </c>
      <c r="AS46" s="40">
        <f t="shared" si="33"/>
        <v>0</v>
      </c>
      <c r="AT46" s="40">
        <f t="shared" si="33"/>
        <v>0</v>
      </c>
      <c r="AU46" s="40">
        <f t="shared" si="33"/>
        <v>0</v>
      </c>
      <c r="AV46" s="40">
        <f t="shared" si="33"/>
        <v>0</v>
      </c>
      <c r="AW46" s="40">
        <f t="shared" si="33"/>
        <v>0</v>
      </c>
      <c r="AX46" s="40">
        <f t="shared" si="33"/>
        <v>0</v>
      </c>
      <c r="AY46" s="40">
        <f t="shared" si="33"/>
        <v>0</v>
      </c>
      <c r="AZ46" s="40">
        <f t="shared" si="33"/>
        <v>0</v>
      </c>
      <c r="BA46" s="40">
        <f t="shared" si="33"/>
        <v>0</v>
      </c>
      <c r="BB46" s="40">
        <f t="shared" si="33"/>
        <v>0</v>
      </c>
      <c r="BC46" s="40">
        <f t="shared" si="33"/>
        <v>0</v>
      </c>
      <c r="BD46" s="40">
        <f t="shared" si="33"/>
        <v>0</v>
      </c>
      <c r="BE46" s="40">
        <f t="shared" si="33"/>
        <v>0</v>
      </c>
      <c r="BF46" s="40">
        <f t="shared" si="33"/>
        <v>0</v>
      </c>
      <c r="BG46" s="40">
        <f t="shared" si="33"/>
        <v>0</v>
      </c>
      <c r="BH46" s="40">
        <f t="shared" si="33"/>
        <v>0</v>
      </c>
      <c r="BI46" s="40">
        <f t="shared" si="33"/>
        <v>0</v>
      </c>
      <c r="BJ46" s="40">
        <f t="shared" si="33"/>
        <v>0</v>
      </c>
      <c r="BK46" s="40">
        <f t="shared" si="33"/>
        <v>0</v>
      </c>
      <c r="BL46" s="40">
        <f t="shared" si="33"/>
        <v>0</v>
      </c>
      <c r="BM46" s="40">
        <f t="shared" si="33"/>
        <v>0</v>
      </c>
      <c r="BN46" s="40">
        <f t="shared" si="33"/>
        <v>0</v>
      </c>
    </row>
    <row r="47" spans="1:66">
      <c r="A47" s="46" t="str">
        <v>ACCOUNTING</v>
      </c>
      <c r="B47" s="46">
        <v>5000</v>
      </c>
      <c r="C47" s="40">
        <f t="shared" ref="C47:BN47" si="34">$B47/64</f>
        <v>78.125</v>
      </c>
      <c r="D47" s="40">
        <f t="shared" si="34"/>
        <v>78.125</v>
      </c>
      <c r="E47" s="40">
        <f t="shared" si="34"/>
        <v>78.125</v>
      </c>
      <c r="F47" s="40">
        <f t="shared" si="34"/>
        <v>78.125</v>
      </c>
      <c r="G47" s="40">
        <f t="shared" si="34"/>
        <v>78.125</v>
      </c>
      <c r="H47" s="40">
        <f t="shared" si="34"/>
        <v>78.125</v>
      </c>
      <c r="I47" s="40">
        <f t="shared" si="34"/>
        <v>78.125</v>
      </c>
      <c r="J47" s="40">
        <f t="shared" si="34"/>
        <v>78.125</v>
      </c>
      <c r="K47" s="40">
        <f t="shared" si="34"/>
        <v>78.125</v>
      </c>
      <c r="L47" s="40">
        <f t="shared" si="34"/>
        <v>78.125</v>
      </c>
      <c r="M47" s="40">
        <f t="shared" si="34"/>
        <v>78.125</v>
      </c>
      <c r="N47" s="40">
        <f t="shared" si="34"/>
        <v>78.125</v>
      </c>
      <c r="O47" s="40">
        <f t="shared" si="34"/>
        <v>78.125</v>
      </c>
      <c r="P47" s="40">
        <f t="shared" si="34"/>
        <v>78.125</v>
      </c>
      <c r="Q47" s="40">
        <f t="shared" si="34"/>
        <v>78.125</v>
      </c>
      <c r="R47" s="40">
        <f t="shared" si="34"/>
        <v>78.125</v>
      </c>
      <c r="S47" s="40">
        <f t="shared" si="34"/>
        <v>78.125</v>
      </c>
      <c r="T47" s="40">
        <f t="shared" si="34"/>
        <v>78.125</v>
      </c>
      <c r="U47" s="40">
        <f t="shared" si="34"/>
        <v>78.125</v>
      </c>
      <c r="V47" s="40">
        <f t="shared" si="34"/>
        <v>78.125</v>
      </c>
      <c r="W47" s="40">
        <f t="shared" si="34"/>
        <v>78.125</v>
      </c>
      <c r="X47" s="40">
        <f t="shared" si="34"/>
        <v>78.125</v>
      </c>
      <c r="Y47" s="40">
        <f t="shared" si="34"/>
        <v>78.125</v>
      </c>
      <c r="Z47" s="40">
        <f t="shared" si="34"/>
        <v>78.125</v>
      </c>
      <c r="AA47" s="40">
        <f t="shared" si="34"/>
        <v>78.125</v>
      </c>
      <c r="AB47" s="40">
        <f t="shared" si="34"/>
        <v>78.125</v>
      </c>
      <c r="AC47" s="40">
        <f t="shared" si="34"/>
        <v>78.125</v>
      </c>
      <c r="AD47" s="40">
        <f t="shared" si="34"/>
        <v>78.125</v>
      </c>
      <c r="AE47" s="40">
        <f t="shared" si="34"/>
        <v>78.125</v>
      </c>
      <c r="AF47" s="40">
        <f t="shared" si="34"/>
        <v>78.125</v>
      </c>
      <c r="AG47" s="40">
        <f t="shared" si="34"/>
        <v>78.125</v>
      </c>
      <c r="AH47" s="40">
        <f t="shared" si="34"/>
        <v>78.125</v>
      </c>
      <c r="AI47" s="40">
        <f t="shared" si="34"/>
        <v>78.125</v>
      </c>
      <c r="AJ47" s="40">
        <f t="shared" si="34"/>
        <v>78.125</v>
      </c>
      <c r="AK47" s="40">
        <f t="shared" si="34"/>
        <v>78.125</v>
      </c>
      <c r="AL47" s="40">
        <f t="shared" si="34"/>
        <v>78.125</v>
      </c>
      <c r="AM47" s="40">
        <f t="shared" si="34"/>
        <v>78.125</v>
      </c>
      <c r="AN47" s="40">
        <f t="shared" si="34"/>
        <v>78.125</v>
      </c>
      <c r="AO47" s="40">
        <f t="shared" si="34"/>
        <v>78.125</v>
      </c>
      <c r="AP47" s="40">
        <f t="shared" si="34"/>
        <v>78.125</v>
      </c>
      <c r="AQ47" s="40">
        <f t="shared" si="34"/>
        <v>78.125</v>
      </c>
      <c r="AR47" s="40">
        <f t="shared" si="34"/>
        <v>78.125</v>
      </c>
      <c r="AS47" s="40">
        <f t="shared" si="34"/>
        <v>78.125</v>
      </c>
      <c r="AT47" s="40">
        <f t="shared" si="34"/>
        <v>78.125</v>
      </c>
      <c r="AU47" s="40">
        <f t="shared" si="34"/>
        <v>78.125</v>
      </c>
      <c r="AV47" s="40">
        <f t="shared" si="34"/>
        <v>78.125</v>
      </c>
      <c r="AW47" s="40">
        <f t="shared" si="34"/>
        <v>78.125</v>
      </c>
      <c r="AX47" s="40">
        <f t="shared" si="34"/>
        <v>78.125</v>
      </c>
      <c r="AY47" s="40">
        <f t="shared" si="34"/>
        <v>78.125</v>
      </c>
      <c r="AZ47" s="40">
        <f t="shared" si="34"/>
        <v>78.125</v>
      </c>
      <c r="BA47" s="40">
        <f t="shared" si="34"/>
        <v>78.125</v>
      </c>
      <c r="BB47" s="40">
        <f t="shared" si="34"/>
        <v>78.125</v>
      </c>
      <c r="BC47" s="40">
        <f t="shared" si="34"/>
        <v>78.125</v>
      </c>
      <c r="BD47" s="40">
        <f t="shared" si="34"/>
        <v>78.125</v>
      </c>
      <c r="BE47" s="40">
        <f t="shared" si="34"/>
        <v>78.125</v>
      </c>
      <c r="BF47" s="40">
        <f t="shared" si="34"/>
        <v>78.125</v>
      </c>
      <c r="BG47" s="40">
        <f t="shared" si="34"/>
        <v>78.125</v>
      </c>
      <c r="BH47" s="40">
        <f t="shared" si="34"/>
        <v>78.125</v>
      </c>
      <c r="BI47" s="40">
        <f t="shared" si="34"/>
        <v>78.125</v>
      </c>
      <c r="BJ47" s="40">
        <f t="shared" si="34"/>
        <v>78.125</v>
      </c>
      <c r="BK47" s="40">
        <f t="shared" si="34"/>
        <v>78.125</v>
      </c>
      <c r="BL47" s="40">
        <f t="shared" si="34"/>
        <v>78.125</v>
      </c>
      <c r="BM47" s="40">
        <f t="shared" si="34"/>
        <v>78.125</v>
      </c>
      <c r="BN47" s="40">
        <f t="shared" si="34"/>
        <v>78.125</v>
      </c>
    </row>
    <row r="48" spans="1:66">
      <c r="A48" s="46" t="str">
        <v>Lift Painting</v>
      </c>
      <c r="B48" s="46">
        <v>0</v>
      </c>
      <c r="C48" s="40">
        <f t="shared" ref="C48:BN48" si="35">$B48/64</f>
        <v>0</v>
      </c>
      <c r="D48" s="40">
        <f t="shared" si="35"/>
        <v>0</v>
      </c>
      <c r="E48" s="40">
        <f t="shared" si="35"/>
        <v>0</v>
      </c>
      <c r="F48" s="40">
        <f t="shared" si="35"/>
        <v>0</v>
      </c>
      <c r="G48" s="40">
        <f t="shared" si="35"/>
        <v>0</v>
      </c>
      <c r="H48" s="40">
        <f t="shared" si="35"/>
        <v>0</v>
      </c>
      <c r="I48" s="40">
        <f t="shared" si="35"/>
        <v>0</v>
      </c>
      <c r="J48" s="40">
        <f t="shared" si="35"/>
        <v>0</v>
      </c>
      <c r="K48" s="40">
        <f t="shared" si="35"/>
        <v>0</v>
      </c>
      <c r="L48" s="40">
        <f t="shared" si="35"/>
        <v>0</v>
      </c>
      <c r="M48" s="40">
        <f t="shared" si="35"/>
        <v>0</v>
      </c>
      <c r="N48" s="40">
        <f t="shared" si="35"/>
        <v>0</v>
      </c>
      <c r="O48" s="40">
        <f t="shared" si="35"/>
        <v>0</v>
      </c>
      <c r="P48" s="40">
        <f t="shared" si="35"/>
        <v>0</v>
      </c>
      <c r="Q48" s="40">
        <f t="shared" si="35"/>
        <v>0</v>
      </c>
      <c r="R48" s="40">
        <f t="shared" si="35"/>
        <v>0</v>
      </c>
      <c r="S48" s="40">
        <f t="shared" si="35"/>
        <v>0</v>
      </c>
      <c r="T48" s="40">
        <f t="shared" si="35"/>
        <v>0</v>
      </c>
      <c r="U48" s="40">
        <f t="shared" si="35"/>
        <v>0</v>
      </c>
      <c r="V48" s="40">
        <f t="shared" si="35"/>
        <v>0</v>
      </c>
      <c r="W48" s="40">
        <f t="shared" si="35"/>
        <v>0</v>
      </c>
      <c r="X48" s="40">
        <f t="shared" si="35"/>
        <v>0</v>
      </c>
      <c r="Y48" s="40">
        <f t="shared" si="35"/>
        <v>0</v>
      </c>
      <c r="Z48" s="40">
        <f t="shared" si="35"/>
        <v>0</v>
      </c>
      <c r="AA48" s="40">
        <f t="shared" si="35"/>
        <v>0</v>
      </c>
      <c r="AB48" s="40">
        <f t="shared" si="35"/>
        <v>0</v>
      </c>
      <c r="AC48" s="40">
        <f t="shared" si="35"/>
        <v>0</v>
      </c>
      <c r="AD48" s="40">
        <f t="shared" si="35"/>
        <v>0</v>
      </c>
      <c r="AE48" s="40">
        <f t="shared" si="35"/>
        <v>0</v>
      </c>
      <c r="AF48" s="40">
        <f t="shared" si="35"/>
        <v>0</v>
      </c>
      <c r="AG48" s="40">
        <f t="shared" si="35"/>
        <v>0</v>
      </c>
      <c r="AH48" s="40">
        <f t="shared" si="35"/>
        <v>0</v>
      </c>
      <c r="AI48" s="40">
        <f t="shared" si="35"/>
        <v>0</v>
      </c>
      <c r="AJ48" s="40">
        <f t="shared" si="35"/>
        <v>0</v>
      </c>
      <c r="AK48" s="40">
        <f t="shared" si="35"/>
        <v>0</v>
      </c>
      <c r="AL48" s="40">
        <f t="shared" si="35"/>
        <v>0</v>
      </c>
      <c r="AM48" s="40">
        <f t="shared" si="35"/>
        <v>0</v>
      </c>
      <c r="AN48" s="40">
        <f t="shared" si="35"/>
        <v>0</v>
      </c>
      <c r="AO48" s="40">
        <f t="shared" si="35"/>
        <v>0</v>
      </c>
      <c r="AP48" s="40">
        <f t="shared" si="35"/>
        <v>0</v>
      </c>
      <c r="AQ48" s="40">
        <f t="shared" si="35"/>
        <v>0</v>
      </c>
      <c r="AR48" s="40">
        <f t="shared" si="35"/>
        <v>0</v>
      </c>
      <c r="AS48" s="40">
        <f t="shared" si="35"/>
        <v>0</v>
      </c>
      <c r="AT48" s="40">
        <f t="shared" si="35"/>
        <v>0</v>
      </c>
      <c r="AU48" s="40">
        <f t="shared" si="35"/>
        <v>0</v>
      </c>
      <c r="AV48" s="40">
        <f t="shared" si="35"/>
        <v>0</v>
      </c>
      <c r="AW48" s="40">
        <f t="shared" si="35"/>
        <v>0</v>
      </c>
      <c r="AX48" s="40">
        <f t="shared" si="35"/>
        <v>0</v>
      </c>
      <c r="AY48" s="40">
        <f t="shared" si="35"/>
        <v>0</v>
      </c>
      <c r="AZ48" s="40">
        <f t="shared" si="35"/>
        <v>0</v>
      </c>
      <c r="BA48" s="40">
        <f t="shared" si="35"/>
        <v>0</v>
      </c>
      <c r="BB48" s="40">
        <f t="shared" si="35"/>
        <v>0</v>
      </c>
      <c r="BC48" s="40">
        <f t="shared" si="35"/>
        <v>0</v>
      </c>
      <c r="BD48" s="40">
        <f t="shared" si="35"/>
        <v>0</v>
      </c>
      <c r="BE48" s="40">
        <f t="shared" si="35"/>
        <v>0</v>
      </c>
      <c r="BF48" s="40">
        <f t="shared" si="35"/>
        <v>0</v>
      </c>
      <c r="BG48" s="40">
        <f t="shared" si="35"/>
        <v>0</v>
      </c>
      <c r="BH48" s="40">
        <f t="shared" si="35"/>
        <v>0</v>
      </c>
      <c r="BI48" s="40">
        <f t="shared" si="35"/>
        <v>0</v>
      </c>
      <c r="BJ48" s="40">
        <f t="shared" si="35"/>
        <v>0</v>
      </c>
      <c r="BK48" s="40">
        <f t="shared" si="35"/>
        <v>0</v>
      </c>
      <c r="BL48" s="40">
        <f t="shared" si="35"/>
        <v>0</v>
      </c>
      <c r="BM48" s="40">
        <f t="shared" si="35"/>
        <v>0</v>
      </c>
      <c r="BN48" s="40">
        <f t="shared" si="35"/>
        <v>0</v>
      </c>
    </row>
    <row r="49" spans="1:66">
      <c r="A49" s="46" t="str">
        <v>Lift wiring sepration</v>
      </c>
      <c r="B49" s="46">
        <v>0</v>
      </c>
      <c r="C49" s="40">
        <f t="shared" ref="C49:BN49" si="36">$B49/64</f>
        <v>0</v>
      </c>
      <c r="D49" s="40">
        <f t="shared" si="36"/>
        <v>0</v>
      </c>
      <c r="E49" s="40">
        <f t="shared" si="36"/>
        <v>0</v>
      </c>
      <c r="F49" s="40">
        <f t="shared" si="36"/>
        <v>0</v>
      </c>
      <c r="G49" s="40">
        <f t="shared" si="36"/>
        <v>0</v>
      </c>
      <c r="H49" s="40">
        <f t="shared" si="36"/>
        <v>0</v>
      </c>
      <c r="I49" s="40">
        <f t="shared" si="36"/>
        <v>0</v>
      </c>
      <c r="J49" s="40">
        <f t="shared" si="36"/>
        <v>0</v>
      </c>
      <c r="K49" s="40">
        <f t="shared" si="36"/>
        <v>0</v>
      </c>
      <c r="L49" s="40">
        <f t="shared" si="36"/>
        <v>0</v>
      </c>
      <c r="M49" s="40">
        <f t="shared" si="36"/>
        <v>0</v>
      </c>
      <c r="N49" s="40">
        <f t="shared" si="36"/>
        <v>0</v>
      </c>
      <c r="O49" s="40">
        <f t="shared" si="36"/>
        <v>0</v>
      </c>
      <c r="P49" s="40">
        <f t="shared" si="36"/>
        <v>0</v>
      </c>
      <c r="Q49" s="40">
        <f t="shared" si="36"/>
        <v>0</v>
      </c>
      <c r="R49" s="40">
        <f t="shared" si="36"/>
        <v>0</v>
      </c>
      <c r="S49" s="40">
        <f t="shared" si="36"/>
        <v>0</v>
      </c>
      <c r="T49" s="40">
        <f t="shared" si="36"/>
        <v>0</v>
      </c>
      <c r="U49" s="40">
        <f t="shared" si="36"/>
        <v>0</v>
      </c>
      <c r="V49" s="40">
        <f t="shared" si="36"/>
        <v>0</v>
      </c>
      <c r="W49" s="40">
        <f t="shared" si="36"/>
        <v>0</v>
      </c>
      <c r="X49" s="40">
        <f t="shared" si="36"/>
        <v>0</v>
      </c>
      <c r="Y49" s="40">
        <f t="shared" si="36"/>
        <v>0</v>
      </c>
      <c r="Z49" s="40">
        <f t="shared" si="36"/>
        <v>0</v>
      </c>
      <c r="AA49" s="40">
        <f t="shared" si="36"/>
        <v>0</v>
      </c>
      <c r="AB49" s="40">
        <f t="shared" si="36"/>
        <v>0</v>
      </c>
      <c r="AC49" s="40">
        <f t="shared" si="36"/>
        <v>0</v>
      </c>
      <c r="AD49" s="40">
        <f t="shared" si="36"/>
        <v>0</v>
      </c>
      <c r="AE49" s="40">
        <f t="shared" si="36"/>
        <v>0</v>
      </c>
      <c r="AF49" s="40">
        <f t="shared" si="36"/>
        <v>0</v>
      </c>
      <c r="AG49" s="40">
        <f t="shared" si="36"/>
        <v>0</v>
      </c>
      <c r="AH49" s="40">
        <f t="shared" si="36"/>
        <v>0</v>
      </c>
      <c r="AI49" s="40">
        <f t="shared" si="36"/>
        <v>0</v>
      </c>
      <c r="AJ49" s="40">
        <f t="shared" si="36"/>
        <v>0</v>
      </c>
      <c r="AK49" s="40">
        <f t="shared" si="36"/>
        <v>0</v>
      </c>
      <c r="AL49" s="40">
        <f t="shared" si="36"/>
        <v>0</v>
      </c>
      <c r="AM49" s="40">
        <f t="shared" si="36"/>
        <v>0</v>
      </c>
      <c r="AN49" s="40">
        <f t="shared" si="36"/>
        <v>0</v>
      </c>
      <c r="AO49" s="40">
        <f t="shared" si="36"/>
        <v>0</v>
      </c>
      <c r="AP49" s="40">
        <f t="shared" si="36"/>
        <v>0</v>
      </c>
      <c r="AQ49" s="40">
        <f t="shared" si="36"/>
        <v>0</v>
      </c>
      <c r="AR49" s="40">
        <f t="shared" si="36"/>
        <v>0</v>
      </c>
      <c r="AS49" s="40">
        <f t="shared" si="36"/>
        <v>0</v>
      </c>
      <c r="AT49" s="40">
        <f t="shared" si="36"/>
        <v>0</v>
      </c>
      <c r="AU49" s="40">
        <f t="shared" si="36"/>
        <v>0</v>
      </c>
      <c r="AV49" s="40">
        <f t="shared" si="36"/>
        <v>0</v>
      </c>
      <c r="AW49" s="40">
        <f t="shared" si="36"/>
        <v>0</v>
      </c>
      <c r="AX49" s="40">
        <f t="shared" si="36"/>
        <v>0</v>
      </c>
      <c r="AY49" s="40">
        <f t="shared" si="36"/>
        <v>0</v>
      </c>
      <c r="AZ49" s="40">
        <f t="shared" si="36"/>
        <v>0</v>
      </c>
      <c r="BA49" s="40">
        <f t="shared" si="36"/>
        <v>0</v>
      </c>
      <c r="BB49" s="40">
        <f t="shared" si="36"/>
        <v>0</v>
      </c>
      <c r="BC49" s="40">
        <f t="shared" si="36"/>
        <v>0</v>
      </c>
      <c r="BD49" s="40">
        <f t="shared" si="36"/>
        <v>0</v>
      </c>
      <c r="BE49" s="40">
        <f t="shared" si="36"/>
        <v>0</v>
      </c>
      <c r="BF49" s="40">
        <f t="shared" si="36"/>
        <v>0</v>
      </c>
      <c r="BG49" s="40">
        <f t="shared" si="36"/>
        <v>0</v>
      </c>
      <c r="BH49" s="40">
        <f t="shared" si="36"/>
        <v>0</v>
      </c>
      <c r="BI49" s="40">
        <f t="shared" si="36"/>
        <v>0</v>
      </c>
      <c r="BJ49" s="40">
        <f t="shared" si="36"/>
        <v>0</v>
      </c>
      <c r="BK49" s="40">
        <f t="shared" si="36"/>
        <v>0</v>
      </c>
      <c r="BL49" s="40">
        <f t="shared" si="36"/>
        <v>0</v>
      </c>
      <c r="BM49" s="40">
        <f t="shared" si="36"/>
        <v>0</v>
      </c>
      <c r="BN49" s="40">
        <f t="shared" si="36"/>
        <v>0</v>
      </c>
    </row>
    <row r="50" spans="1:66">
      <c r="A50" s="46" t="str">
        <v>Earthing repair</v>
      </c>
      <c r="B50" s="46">
        <v>0</v>
      </c>
      <c r="C50" s="40">
        <f t="shared" ref="C50:BN50" si="37">$B50/64</f>
        <v>0</v>
      </c>
      <c r="D50" s="40">
        <f t="shared" si="37"/>
        <v>0</v>
      </c>
      <c r="E50" s="40">
        <f t="shared" si="37"/>
        <v>0</v>
      </c>
      <c r="F50" s="40">
        <f t="shared" si="37"/>
        <v>0</v>
      </c>
      <c r="G50" s="40">
        <f t="shared" si="37"/>
        <v>0</v>
      </c>
      <c r="H50" s="40">
        <f t="shared" si="37"/>
        <v>0</v>
      </c>
      <c r="I50" s="40">
        <f t="shared" si="37"/>
        <v>0</v>
      </c>
      <c r="J50" s="40">
        <f t="shared" si="37"/>
        <v>0</v>
      </c>
      <c r="K50" s="40">
        <f t="shared" si="37"/>
        <v>0</v>
      </c>
      <c r="L50" s="40">
        <f t="shared" si="37"/>
        <v>0</v>
      </c>
      <c r="M50" s="40">
        <f t="shared" si="37"/>
        <v>0</v>
      </c>
      <c r="N50" s="40">
        <f t="shared" si="37"/>
        <v>0</v>
      </c>
      <c r="O50" s="40">
        <f t="shared" si="37"/>
        <v>0</v>
      </c>
      <c r="P50" s="40">
        <f t="shared" si="37"/>
        <v>0</v>
      </c>
      <c r="Q50" s="40">
        <f t="shared" si="37"/>
        <v>0</v>
      </c>
      <c r="R50" s="40">
        <f t="shared" si="37"/>
        <v>0</v>
      </c>
      <c r="S50" s="40">
        <f t="shared" si="37"/>
        <v>0</v>
      </c>
      <c r="T50" s="40">
        <f t="shared" si="37"/>
        <v>0</v>
      </c>
      <c r="U50" s="40">
        <f t="shared" si="37"/>
        <v>0</v>
      </c>
      <c r="V50" s="40">
        <f t="shared" si="37"/>
        <v>0</v>
      </c>
      <c r="W50" s="40">
        <f t="shared" si="37"/>
        <v>0</v>
      </c>
      <c r="X50" s="40">
        <f t="shared" si="37"/>
        <v>0</v>
      </c>
      <c r="Y50" s="40">
        <f t="shared" si="37"/>
        <v>0</v>
      </c>
      <c r="Z50" s="40">
        <f t="shared" si="37"/>
        <v>0</v>
      </c>
      <c r="AA50" s="40">
        <f t="shared" si="37"/>
        <v>0</v>
      </c>
      <c r="AB50" s="40">
        <f t="shared" si="37"/>
        <v>0</v>
      </c>
      <c r="AC50" s="40">
        <f t="shared" si="37"/>
        <v>0</v>
      </c>
      <c r="AD50" s="40">
        <f t="shared" si="37"/>
        <v>0</v>
      </c>
      <c r="AE50" s="40">
        <f t="shared" si="37"/>
        <v>0</v>
      </c>
      <c r="AF50" s="40">
        <f t="shared" si="37"/>
        <v>0</v>
      </c>
      <c r="AG50" s="40">
        <f t="shared" si="37"/>
        <v>0</v>
      </c>
      <c r="AH50" s="40">
        <f t="shared" si="37"/>
        <v>0</v>
      </c>
      <c r="AI50" s="40">
        <f t="shared" si="37"/>
        <v>0</v>
      </c>
      <c r="AJ50" s="40">
        <f t="shared" si="37"/>
        <v>0</v>
      </c>
      <c r="AK50" s="40">
        <f t="shared" si="37"/>
        <v>0</v>
      </c>
      <c r="AL50" s="40">
        <f t="shared" si="37"/>
        <v>0</v>
      </c>
      <c r="AM50" s="40">
        <f t="shared" si="37"/>
        <v>0</v>
      </c>
      <c r="AN50" s="40">
        <f t="shared" si="37"/>
        <v>0</v>
      </c>
      <c r="AO50" s="40">
        <f t="shared" si="37"/>
        <v>0</v>
      </c>
      <c r="AP50" s="40">
        <f t="shared" si="37"/>
        <v>0</v>
      </c>
      <c r="AQ50" s="40">
        <f t="shared" si="37"/>
        <v>0</v>
      </c>
      <c r="AR50" s="40">
        <f t="shared" si="37"/>
        <v>0</v>
      </c>
      <c r="AS50" s="40">
        <f t="shared" si="37"/>
        <v>0</v>
      </c>
      <c r="AT50" s="40">
        <f t="shared" si="37"/>
        <v>0</v>
      </c>
      <c r="AU50" s="40">
        <f t="shared" si="37"/>
        <v>0</v>
      </c>
      <c r="AV50" s="40">
        <f t="shared" si="37"/>
        <v>0</v>
      </c>
      <c r="AW50" s="40">
        <f t="shared" si="37"/>
        <v>0</v>
      </c>
      <c r="AX50" s="40">
        <f t="shared" si="37"/>
        <v>0</v>
      </c>
      <c r="AY50" s="40">
        <f t="shared" si="37"/>
        <v>0</v>
      </c>
      <c r="AZ50" s="40">
        <f t="shared" si="37"/>
        <v>0</v>
      </c>
      <c r="BA50" s="40">
        <f t="shared" si="37"/>
        <v>0</v>
      </c>
      <c r="BB50" s="40">
        <f t="shared" si="37"/>
        <v>0</v>
      </c>
      <c r="BC50" s="40">
        <f t="shared" si="37"/>
        <v>0</v>
      </c>
      <c r="BD50" s="40">
        <f t="shared" si="37"/>
        <v>0</v>
      </c>
      <c r="BE50" s="40">
        <f t="shared" si="37"/>
        <v>0</v>
      </c>
      <c r="BF50" s="40">
        <f t="shared" si="37"/>
        <v>0</v>
      </c>
      <c r="BG50" s="40">
        <f t="shared" si="37"/>
        <v>0</v>
      </c>
      <c r="BH50" s="40">
        <f t="shared" si="37"/>
        <v>0</v>
      </c>
      <c r="BI50" s="40">
        <f t="shared" si="37"/>
        <v>0</v>
      </c>
      <c r="BJ50" s="40">
        <f t="shared" si="37"/>
        <v>0</v>
      </c>
      <c r="BK50" s="40">
        <f t="shared" si="37"/>
        <v>0</v>
      </c>
      <c r="BL50" s="40">
        <f t="shared" si="37"/>
        <v>0</v>
      </c>
      <c r="BM50" s="40">
        <f t="shared" si="37"/>
        <v>0</v>
      </c>
      <c r="BN50" s="40">
        <f t="shared" si="37"/>
        <v>0</v>
      </c>
    </row>
    <row r="51" spans="1:66">
      <c r="A51" s="46" t="str">
        <v>Pest Control</v>
      </c>
      <c r="B51" s="46">
        <v>7000</v>
      </c>
      <c r="C51" s="40">
        <f t="shared" ref="C51:BN51" si="38">$B51/64</f>
        <v>109.375</v>
      </c>
      <c r="D51" s="40">
        <f t="shared" si="38"/>
        <v>109.375</v>
      </c>
      <c r="E51" s="40">
        <f t="shared" si="38"/>
        <v>109.375</v>
      </c>
      <c r="F51" s="40">
        <f t="shared" si="38"/>
        <v>109.375</v>
      </c>
      <c r="G51" s="40">
        <f t="shared" si="38"/>
        <v>109.375</v>
      </c>
      <c r="H51" s="40">
        <f t="shared" si="38"/>
        <v>109.375</v>
      </c>
      <c r="I51" s="40">
        <f t="shared" si="38"/>
        <v>109.375</v>
      </c>
      <c r="J51" s="40">
        <f t="shared" si="38"/>
        <v>109.375</v>
      </c>
      <c r="K51" s="40">
        <f t="shared" si="38"/>
        <v>109.375</v>
      </c>
      <c r="L51" s="40">
        <f t="shared" si="38"/>
        <v>109.375</v>
      </c>
      <c r="M51" s="40">
        <f t="shared" si="38"/>
        <v>109.375</v>
      </c>
      <c r="N51" s="40">
        <f t="shared" si="38"/>
        <v>109.375</v>
      </c>
      <c r="O51" s="40">
        <f t="shared" si="38"/>
        <v>109.375</v>
      </c>
      <c r="P51" s="40">
        <f t="shared" si="38"/>
        <v>109.375</v>
      </c>
      <c r="Q51" s="40">
        <f t="shared" si="38"/>
        <v>109.375</v>
      </c>
      <c r="R51" s="40">
        <f t="shared" si="38"/>
        <v>109.375</v>
      </c>
      <c r="S51" s="40">
        <f t="shared" si="38"/>
        <v>109.375</v>
      </c>
      <c r="T51" s="40">
        <f t="shared" si="38"/>
        <v>109.375</v>
      </c>
      <c r="U51" s="40">
        <f t="shared" si="38"/>
        <v>109.375</v>
      </c>
      <c r="V51" s="40">
        <f t="shared" si="38"/>
        <v>109.375</v>
      </c>
      <c r="W51" s="40">
        <f t="shared" si="38"/>
        <v>109.375</v>
      </c>
      <c r="X51" s="40">
        <f t="shared" si="38"/>
        <v>109.375</v>
      </c>
      <c r="Y51" s="40">
        <f t="shared" si="38"/>
        <v>109.375</v>
      </c>
      <c r="Z51" s="40">
        <f t="shared" si="38"/>
        <v>109.375</v>
      </c>
      <c r="AA51" s="40">
        <f t="shared" si="38"/>
        <v>109.375</v>
      </c>
      <c r="AB51" s="40">
        <f t="shared" si="38"/>
        <v>109.375</v>
      </c>
      <c r="AC51" s="40">
        <f t="shared" si="38"/>
        <v>109.375</v>
      </c>
      <c r="AD51" s="40">
        <f t="shared" si="38"/>
        <v>109.375</v>
      </c>
      <c r="AE51" s="40">
        <f t="shared" si="38"/>
        <v>109.375</v>
      </c>
      <c r="AF51" s="40">
        <f t="shared" si="38"/>
        <v>109.375</v>
      </c>
      <c r="AG51" s="40">
        <f t="shared" si="38"/>
        <v>109.375</v>
      </c>
      <c r="AH51" s="40">
        <f t="shared" si="38"/>
        <v>109.375</v>
      </c>
      <c r="AI51" s="40">
        <f t="shared" si="38"/>
        <v>109.375</v>
      </c>
      <c r="AJ51" s="40">
        <f t="shared" si="38"/>
        <v>109.375</v>
      </c>
      <c r="AK51" s="40">
        <f t="shared" si="38"/>
        <v>109.375</v>
      </c>
      <c r="AL51" s="40">
        <f t="shared" si="38"/>
        <v>109.375</v>
      </c>
      <c r="AM51" s="40">
        <f t="shared" si="38"/>
        <v>109.375</v>
      </c>
      <c r="AN51" s="40">
        <f t="shared" si="38"/>
        <v>109.375</v>
      </c>
      <c r="AO51" s="40">
        <f t="shared" si="38"/>
        <v>109.375</v>
      </c>
      <c r="AP51" s="40">
        <f t="shared" si="38"/>
        <v>109.375</v>
      </c>
      <c r="AQ51" s="40">
        <f t="shared" si="38"/>
        <v>109.375</v>
      </c>
      <c r="AR51" s="40">
        <f t="shared" si="38"/>
        <v>109.375</v>
      </c>
      <c r="AS51" s="40">
        <f t="shared" si="38"/>
        <v>109.375</v>
      </c>
      <c r="AT51" s="40">
        <f t="shared" si="38"/>
        <v>109.375</v>
      </c>
      <c r="AU51" s="40">
        <f t="shared" si="38"/>
        <v>109.375</v>
      </c>
      <c r="AV51" s="40">
        <f t="shared" si="38"/>
        <v>109.375</v>
      </c>
      <c r="AW51" s="40">
        <f t="shared" si="38"/>
        <v>109.375</v>
      </c>
      <c r="AX51" s="40">
        <f t="shared" si="38"/>
        <v>109.375</v>
      </c>
      <c r="AY51" s="40">
        <f t="shared" si="38"/>
        <v>109.375</v>
      </c>
      <c r="AZ51" s="40">
        <f t="shared" si="38"/>
        <v>109.375</v>
      </c>
      <c r="BA51" s="40">
        <f t="shared" si="38"/>
        <v>109.375</v>
      </c>
      <c r="BB51" s="40">
        <f t="shared" si="38"/>
        <v>109.375</v>
      </c>
      <c r="BC51" s="40">
        <f t="shared" si="38"/>
        <v>109.375</v>
      </c>
      <c r="BD51" s="40">
        <f t="shared" si="38"/>
        <v>109.375</v>
      </c>
      <c r="BE51" s="40">
        <f t="shared" si="38"/>
        <v>109.375</v>
      </c>
      <c r="BF51" s="40">
        <f t="shared" si="38"/>
        <v>109.375</v>
      </c>
      <c r="BG51" s="40">
        <f t="shared" si="38"/>
        <v>109.375</v>
      </c>
      <c r="BH51" s="40">
        <f t="shared" si="38"/>
        <v>109.375</v>
      </c>
      <c r="BI51" s="40">
        <f t="shared" si="38"/>
        <v>109.375</v>
      </c>
      <c r="BJ51" s="40">
        <f t="shared" si="38"/>
        <v>109.375</v>
      </c>
      <c r="BK51" s="40">
        <f t="shared" si="38"/>
        <v>109.375</v>
      </c>
      <c r="BL51" s="40">
        <f t="shared" si="38"/>
        <v>109.375</v>
      </c>
      <c r="BM51" s="40">
        <f t="shared" si="38"/>
        <v>109.375</v>
      </c>
      <c r="BN51" s="40">
        <f t="shared" si="38"/>
        <v>109.375</v>
      </c>
    </row>
    <row r="52" spans="1:66">
      <c r="A52" s="46" t="str">
        <v>Freshwater pipe repair</v>
      </c>
      <c r="B52" s="46">
        <v>0</v>
      </c>
      <c r="C52" s="40">
        <f t="shared" ref="C52:BN52" si="39">$B52/64</f>
        <v>0</v>
      </c>
      <c r="D52" s="40">
        <f t="shared" si="39"/>
        <v>0</v>
      </c>
      <c r="E52" s="40">
        <f t="shared" si="39"/>
        <v>0</v>
      </c>
      <c r="F52" s="40">
        <f t="shared" si="39"/>
        <v>0</v>
      </c>
      <c r="G52" s="40">
        <f t="shared" si="39"/>
        <v>0</v>
      </c>
      <c r="H52" s="40">
        <f t="shared" si="39"/>
        <v>0</v>
      </c>
      <c r="I52" s="40">
        <f t="shared" si="39"/>
        <v>0</v>
      </c>
      <c r="J52" s="40">
        <f t="shared" si="39"/>
        <v>0</v>
      </c>
      <c r="K52" s="40">
        <f t="shared" si="39"/>
        <v>0</v>
      </c>
      <c r="L52" s="40">
        <f t="shared" si="39"/>
        <v>0</v>
      </c>
      <c r="M52" s="40">
        <f t="shared" si="39"/>
        <v>0</v>
      </c>
      <c r="N52" s="40">
        <f t="shared" si="39"/>
        <v>0</v>
      </c>
      <c r="O52" s="40">
        <f t="shared" si="39"/>
        <v>0</v>
      </c>
      <c r="P52" s="40">
        <f t="shared" si="39"/>
        <v>0</v>
      </c>
      <c r="Q52" s="40">
        <f t="shared" si="39"/>
        <v>0</v>
      </c>
      <c r="R52" s="40">
        <f t="shared" si="39"/>
        <v>0</v>
      </c>
      <c r="S52" s="40">
        <f t="shared" si="39"/>
        <v>0</v>
      </c>
      <c r="T52" s="40">
        <f t="shared" si="39"/>
        <v>0</v>
      </c>
      <c r="U52" s="40">
        <f t="shared" si="39"/>
        <v>0</v>
      </c>
      <c r="V52" s="40">
        <f t="shared" si="39"/>
        <v>0</v>
      </c>
      <c r="W52" s="40">
        <f t="shared" si="39"/>
        <v>0</v>
      </c>
      <c r="X52" s="40">
        <f t="shared" si="39"/>
        <v>0</v>
      </c>
      <c r="Y52" s="40">
        <f t="shared" si="39"/>
        <v>0</v>
      </c>
      <c r="Z52" s="40">
        <f t="shared" si="39"/>
        <v>0</v>
      </c>
      <c r="AA52" s="40">
        <f t="shared" si="39"/>
        <v>0</v>
      </c>
      <c r="AB52" s="40">
        <f t="shared" si="39"/>
        <v>0</v>
      </c>
      <c r="AC52" s="40">
        <f t="shared" si="39"/>
        <v>0</v>
      </c>
      <c r="AD52" s="40">
        <f t="shared" si="39"/>
        <v>0</v>
      </c>
      <c r="AE52" s="40">
        <f t="shared" si="39"/>
        <v>0</v>
      </c>
      <c r="AF52" s="40">
        <f t="shared" si="39"/>
        <v>0</v>
      </c>
      <c r="AG52" s="40">
        <f t="shared" si="39"/>
        <v>0</v>
      </c>
      <c r="AH52" s="40">
        <f t="shared" si="39"/>
        <v>0</v>
      </c>
      <c r="AI52" s="40">
        <f t="shared" si="39"/>
        <v>0</v>
      </c>
      <c r="AJ52" s="40">
        <f t="shared" si="39"/>
        <v>0</v>
      </c>
      <c r="AK52" s="40">
        <f t="shared" si="39"/>
        <v>0</v>
      </c>
      <c r="AL52" s="40">
        <f t="shared" si="39"/>
        <v>0</v>
      </c>
      <c r="AM52" s="40">
        <f t="shared" si="39"/>
        <v>0</v>
      </c>
      <c r="AN52" s="40">
        <f t="shared" si="39"/>
        <v>0</v>
      </c>
      <c r="AO52" s="40">
        <f t="shared" si="39"/>
        <v>0</v>
      </c>
      <c r="AP52" s="40">
        <f t="shared" si="39"/>
        <v>0</v>
      </c>
      <c r="AQ52" s="40">
        <f t="shared" si="39"/>
        <v>0</v>
      </c>
      <c r="AR52" s="40">
        <f t="shared" si="39"/>
        <v>0</v>
      </c>
      <c r="AS52" s="40">
        <f t="shared" si="39"/>
        <v>0</v>
      </c>
      <c r="AT52" s="40">
        <f t="shared" si="39"/>
        <v>0</v>
      </c>
      <c r="AU52" s="40">
        <f t="shared" si="39"/>
        <v>0</v>
      </c>
      <c r="AV52" s="40">
        <f t="shared" si="39"/>
        <v>0</v>
      </c>
      <c r="AW52" s="40">
        <f t="shared" si="39"/>
        <v>0</v>
      </c>
      <c r="AX52" s="40">
        <f t="shared" si="39"/>
        <v>0</v>
      </c>
      <c r="AY52" s="40">
        <f t="shared" si="39"/>
        <v>0</v>
      </c>
      <c r="AZ52" s="40">
        <f t="shared" si="39"/>
        <v>0</v>
      </c>
      <c r="BA52" s="40">
        <f t="shared" si="39"/>
        <v>0</v>
      </c>
      <c r="BB52" s="40">
        <f t="shared" si="39"/>
        <v>0</v>
      </c>
      <c r="BC52" s="40">
        <f t="shared" si="39"/>
        <v>0</v>
      </c>
      <c r="BD52" s="40">
        <f t="shared" si="39"/>
        <v>0</v>
      </c>
      <c r="BE52" s="40">
        <f t="shared" si="39"/>
        <v>0</v>
      </c>
      <c r="BF52" s="40">
        <f t="shared" si="39"/>
        <v>0</v>
      </c>
      <c r="BG52" s="40">
        <f t="shared" si="39"/>
        <v>0</v>
      </c>
      <c r="BH52" s="40">
        <f t="shared" si="39"/>
        <v>0</v>
      </c>
      <c r="BI52" s="40">
        <f t="shared" si="39"/>
        <v>0</v>
      </c>
      <c r="BJ52" s="40">
        <f t="shared" si="39"/>
        <v>0</v>
      </c>
      <c r="BK52" s="40">
        <f t="shared" si="39"/>
        <v>0</v>
      </c>
      <c r="BL52" s="40">
        <f t="shared" si="39"/>
        <v>0</v>
      </c>
      <c r="BM52" s="40">
        <f t="shared" si="39"/>
        <v>0</v>
      </c>
      <c r="BN52" s="40">
        <f t="shared" si="39"/>
        <v>0</v>
      </c>
    </row>
    <row r="53" spans="1:66">
      <c r="A53" s="46" t="str">
        <v>NBH device replacement</v>
      </c>
      <c r="B53" s="46">
        <v>0</v>
      </c>
      <c r="C53" s="40">
        <f t="shared" ref="C53:BN53" si="40">$B53/64</f>
        <v>0</v>
      </c>
      <c r="D53" s="40">
        <f t="shared" si="40"/>
        <v>0</v>
      </c>
      <c r="E53" s="40">
        <f t="shared" si="40"/>
        <v>0</v>
      </c>
      <c r="F53" s="40">
        <f t="shared" si="40"/>
        <v>0</v>
      </c>
      <c r="G53" s="40">
        <f t="shared" si="40"/>
        <v>0</v>
      </c>
      <c r="H53" s="40">
        <f t="shared" si="40"/>
        <v>0</v>
      </c>
      <c r="I53" s="40">
        <f t="shared" si="40"/>
        <v>0</v>
      </c>
      <c r="J53" s="40">
        <f t="shared" si="40"/>
        <v>0</v>
      </c>
      <c r="K53" s="40">
        <f t="shared" si="40"/>
        <v>0</v>
      </c>
      <c r="L53" s="40">
        <f t="shared" si="40"/>
        <v>0</v>
      </c>
      <c r="M53" s="40">
        <f t="shared" si="40"/>
        <v>0</v>
      </c>
      <c r="N53" s="40">
        <f t="shared" si="40"/>
        <v>0</v>
      </c>
      <c r="O53" s="40">
        <f t="shared" si="40"/>
        <v>0</v>
      </c>
      <c r="P53" s="40">
        <f t="shared" si="40"/>
        <v>0</v>
      </c>
      <c r="Q53" s="40">
        <f t="shared" si="40"/>
        <v>0</v>
      </c>
      <c r="R53" s="40">
        <f t="shared" si="40"/>
        <v>0</v>
      </c>
      <c r="S53" s="40">
        <f t="shared" si="40"/>
        <v>0</v>
      </c>
      <c r="T53" s="40">
        <f t="shared" si="40"/>
        <v>0</v>
      </c>
      <c r="U53" s="40">
        <f t="shared" si="40"/>
        <v>0</v>
      </c>
      <c r="V53" s="40">
        <f t="shared" si="40"/>
        <v>0</v>
      </c>
      <c r="W53" s="40">
        <f t="shared" si="40"/>
        <v>0</v>
      </c>
      <c r="X53" s="40">
        <f t="shared" si="40"/>
        <v>0</v>
      </c>
      <c r="Y53" s="40">
        <f t="shared" si="40"/>
        <v>0</v>
      </c>
      <c r="Z53" s="40">
        <f t="shared" si="40"/>
        <v>0</v>
      </c>
      <c r="AA53" s="40">
        <f t="shared" si="40"/>
        <v>0</v>
      </c>
      <c r="AB53" s="40">
        <f t="shared" si="40"/>
        <v>0</v>
      </c>
      <c r="AC53" s="40">
        <f t="shared" si="40"/>
        <v>0</v>
      </c>
      <c r="AD53" s="40">
        <f t="shared" si="40"/>
        <v>0</v>
      </c>
      <c r="AE53" s="40">
        <f t="shared" si="40"/>
        <v>0</v>
      </c>
      <c r="AF53" s="40">
        <f t="shared" si="40"/>
        <v>0</v>
      </c>
      <c r="AG53" s="40">
        <f t="shared" si="40"/>
        <v>0</v>
      </c>
      <c r="AH53" s="40">
        <f t="shared" si="40"/>
        <v>0</v>
      </c>
      <c r="AI53" s="40">
        <f t="shared" si="40"/>
        <v>0</v>
      </c>
      <c r="AJ53" s="40">
        <f t="shared" si="40"/>
        <v>0</v>
      </c>
      <c r="AK53" s="40">
        <f t="shared" si="40"/>
        <v>0</v>
      </c>
      <c r="AL53" s="40">
        <f t="shared" si="40"/>
        <v>0</v>
      </c>
      <c r="AM53" s="40">
        <f t="shared" si="40"/>
        <v>0</v>
      </c>
      <c r="AN53" s="40">
        <f t="shared" si="40"/>
        <v>0</v>
      </c>
      <c r="AO53" s="40">
        <f t="shared" si="40"/>
        <v>0</v>
      </c>
      <c r="AP53" s="40">
        <f t="shared" si="40"/>
        <v>0</v>
      </c>
      <c r="AQ53" s="40">
        <f t="shared" si="40"/>
        <v>0</v>
      </c>
      <c r="AR53" s="40">
        <f t="shared" si="40"/>
        <v>0</v>
      </c>
      <c r="AS53" s="40">
        <f t="shared" si="40"/>
        <v>0</v>
      </c>
      <c r="AT53" s="40">
        <f t="shared" si="40"/>
        <v>0</v>
      </c>
      <c r="AU53" s="40">
        <f t="shared" si="40"/>
        <v>0</v>
      </c>
      <c r="AV53" s="40">
        <f t="shared" si="40"/>
        <v>0</v>
      </c>
      <c r="AW53" s="40">
        <f t="shared" si="40"/>
        <v>0</v>
      </c>
      <c r="AX53" s="40">
        <f t="shared" si="40"/>
        <v>0</v>
      </c>
      <c r="AY53" s="40">
        <f t="shared" si="40"/>
        <v>0</v>
      </c>
      <c r="AZ53" s="40">
        <f t="shared" si="40"/>
        <v>0</v>
      </c>
      <c r="BA53" s="40">
        <f t="shared" si="40"/>
        <v>0</v>
      </c>
      <c r="BB53" s="40">
        <f t="shared" si="40"/>
        <v>0</v>
      </c>
      <c r="BC53" s="40">
        <f t="shared" si="40"/>
        <v>0</v>
      </c>
      <c r="BD53" s="40">
        <f t="shared" si="40"/>
        <v>0</v>
      </c>
      <c r="BE53" s="40">
        <f t="shared" si="40"/>
        <v>0</v>
      </c>
      <c r="BF53" s="40">
        <f t="shared" si="40"/>
        <v>0</v>
      </c>
      <c r="BG53" s="40">
        <f t="shared" si="40"/>
        <v>0</v>
      </c>
      <c r="BH53" s="40">
        <f t="shared" si="40"/>
        <v>0</v>
      </c>
      <c r="BI53" s="40">
        <f t="shared" si="40"/>
        <v>0</v>
      </c>
      <c r="BJ53" s="40">
        <f t="shared" si="40"/>
        <v>0</v>
      </c>
      <c r="BK53" s="40">
        <f t="shared" si="40"/>
        <v>0</v>
      </c>
      <c r="BL53" s="40">
        <f t="shared" si="40"/>
        <v>0</v>
      </c>
      <c r="BM53" s="40">
        <f t="shared" si="40"/>
        <v>0</v>
      </c>
      <c r="BN53" s="40">
        <f t="shared" si="40"/>
        <v>0</v>
      </c>
    </row>
    <row r="54" spans="1:66">
      <c r="A54" s="46" t="str">
        <v>NBH VMS</v>
      </c>
      <c r="B54" s="46">
        <v>0</v>
      </c>
      <c r="C54" s="40">
        <f t="shared" ref="C54:BN54" si="41">$B54/64</f>
        <v>0</v>
      </c>
      <c r="D54" s="40">
        <f t="shared" si="41"/>
        <v>0</v>
      </c>
      <c r="E54" s="40">
        <f t="shared" si="41"/>
        <v>0</v>
      </c>
      <c r="F54" s="40">
        <f t="shared" si="41"/>
        <v>0</v>
      </c>
      <c r="G54" s="40">
        <f t="shared" si="41"/>
        <v>0</v>
      </c>
      <c r="H54" s="40">
        <f t="shared" si="41"/>
        <v>0</v>
      </c>
      <c r="I54" s="40">
        <f t="shared" si="41"/>
        <v>0</v>
      </c>
      <c r="J54" s="40">
        <f t="shared" si="41"/>
        <v>0</v>
      </c>
      <c r="K54" s="40">
        <f t="shared" si="41"/>
        <v>0</v>
      </c>
      <c r="L54" s="40">
        <f t="shared" si="41"/>
        <v>0</v>
      </c>
      <c r="M54" s="40">
        <f t="shared" si="41"/>
        <v>0</v>
      </c>
      <c r="N54" s="40">
        <f t="shared" si="41"/>
        <v>0</v>
      </c>
      <c r="O54" s="40">
        <f t="shared" si="41"/>
        <v>0</v>
      </c>
      <c r="P54" s="40">
        <f t="shared" si="41"/>
        <v>0</v>
      </c>
      <c r="Q54" s="40">
        <f t="shared" si="41"/>
        <v>0</v>
      </c>
      <c r="R54" s="40">
        <f t="shared" si="41"/>
        <v>0</v>
      </c>
      <c r="S54" s="40">
        <f t="shared" si="41"/>
        <v>0</v>
      </c>
      <c r="T54" s="40">
        <f t="shared" si="41"/>
        <v>0</v>
      </c>
      <c r="U54" s="40">
        <f t="shared" si="41"/>
        <v>0</v>
      </c>
      <c r="V54" s="40">
        <f t="shared" si="41"/>
        <v>0</v>
      </c>
      <c r="W54" s="40">
        <f t="shared" si="41"/>
        <v>0</v>
      </c>
      <c r="X54" s="40">
        <f t="shared" si="41"/>
        <v>0</v>
      </c>
      <c r="Y54" s="40">
        <f t="shared" si="41"/>
        <v>0</v>
      </c>
      <c r="Z54" s="40">
        <f t="shared" si="41"/>
        <v>0</v>
      </c>
      <c r="AA54" s="40">
        <f t="shared" si="41"/>
        <v>0</v>
      </c>
      <c r="AB54" s="40">
        <f t="shared" si="41"/>
        <v>0</v>
      </c>
      <c r="AC54" s="40">
        <f t="shared" si="41"/>
        <v>0</v>
      </c>
      <c r="AD54" s="40">
        <f t="shared" si="41"/>
        <v>0</v>
      </c>
      <c r="AE54" s="40">
        <f t="shared" si="41"/>
        <v>0</v>
      </c>
      <c r="AF54" s="40">
        <f t="shared" si="41"/>
        <v>0</v>
      </c>
      <c r="AG54" s="40">
        <f t="shared" si="41"/>
        <v>0</v>
      </c>
      <c r="AH54" s="40">
        <f t="shared" si="41"/>
        <v>0</v>
      </c>
      <c r="AI54" s="40">
        <f t="shared" si="41"/>
        <v>0</v>
      </c>
      <c r="AJ54" s="40">
        <f t="shared" si="41"/>
        <v>0</v>
      </c>
      <c r="AK54" s="40">
        <f t="shared" si="41"/>
        <v>0</v>
      </c>
      <c r="AL54" s="40">
        <f t="shared" si="41"/>
        <v>0</v>
      </c>
      <c r="AM54" s="40">
        <f t="shared" si="41"/>
        <v>0</v>
      </c>
      <c r="AN54" s="40">
        <f t="shared" si="41"/>
        <v>0</v>
      </c>
      <c r="AO54" s="40">
        <f t="shared" si="41"/>
        <v>0</v>
      </c>
      <c r="AP54" s="40">
        <f t="shared" si="41"/>
        <v>0</v>
      </c>
      <c r="AQ54" s="40">
        <f t="shared" si="41"/>
        <v>0</v>
      </c>
      <c r="AR54" s="40">
        <f t="shared" si="41"/>
        <v>0</v>
      </c>
      <c r="AS54" s="40">
        <f t="shared" si="41"/>
        <v>0</v>
      </c>
      <c r="AT54" s="40">
        <f t="shared" si="41"/>
        <v>0</v>
      </c>
      <c r="AU54" s="40">
        <f t="shared" si="41"/>
        <v>0</v>
      </c>
      <c r="AV54" s="40">
        <f t="shared" si="41"/>
        <v>0</v>
      </c>
      <c r="AW54" s="40">
        <f t="shared" si="41"/>
        <v>0</v>
      </c>
      <c r="AX54" s="40">
        <f t="shared" si="41"/>
        <v>0</v>
      </c>
      <c r="AY54" s="40">
        <f t="shared" si="41"/>
        <v>0</v>
      </c>
      <c r="AZ54" s="40">
        <f t="shared" si="41"/>
        <v>0</v>
      </c>
      <c r="BA54" s="40">
        <f t="shared" si="41"/>
        <v>0</v>
      </c>
      <c r="BB54" s="40">
        <f t="shared" si="41"/>
        <v>0</v>
      </c>
      <c r="BC54" s="40">
        <f t="shared" si="41"/>
        <v>0</v>
      </c>
      <c r="BD54" s="40">
        <f t="shared" si="41"/>
        <v>0</v>
      </c>
      <c r="BE54" s="40">
        <f t="shared" si="41"/>
        <v>0</v>
      </c>
      <c r="BF54" s="40">
        <f t="shared" si="41"/>
        <v>0</v>
      </c>
      <c r="BG54" s="40">
        <f t="shared" si="41"/>
        <v>0</v>
      </c>
      <c r="BH54" s="40">
        <f t="shared" si="41"/>
        <v>0</v>
      </c>
      <c r="BI54" s="40">
        <f t="shared" si="41"/>
        <v>0</v>
      </c>
      <c r="BJ54" s="40">
        <f t="shared" si="41"/>
        <v>0</v>
      </c>
      <c r="BK54" s="40">
        <f t="shared" si="41"/>
        <v>0</v>
      </c>
      <c r="BL54" s="40">
        <f t="shared" si="41"/>
        <v>0</v>
      </c>
      <c r="BM54" s="40">
        <f t="shared" si="41"/>
        <v>0</v>
      </c>
      <c r="BN54" s="40">
        <f t="shared" si="41"/>
        <v>0</v>
      </c>
    </row>
    <row r="55" spans="1:66">
      <c r="A55" s="46" t="str">
        <v>REPAIRS</v>
      </c>
      <c r="B55" s="46">
        <v>0</v>
      </c>
      <c r="C55" s="40">
        <f t="shared" ref="C55:BN55" si="42">$B55/64</f>
        <v>0</v>
      </c>
      <c r="D55" s="40">
        <f t="shared" si="42"/>
        <v>0</v>
      </c>
      <c r="E55" s="40">
        <f t="shared" si="42"/>
        <v>0</v>
      </c>
      <c r="F55" s="40">
        <f t="shared" si="42"/>
        <v>0</v>
      </c>
      <c r="G55" s="40">
        <f t="shared" si="42"/>
        <v>0</v>
      </c>
      <c r="H55" s="40">
        <f t="shared" si="42"/>
        <v>0</v>
      </c>
      <c r="I55" s="40">
        <f t="shared" si="42"/>
        <v>0</v>
      </c>
      <c r="J55" s="40">
        <f t="shared" si="42"/>
        <v>0</v>
      </c>
      <c r="K55" s="40">
        <f t="shared" si="42"/>
        <v>0</v>
      </c>
      <c r="L55" s="40">
        <f t="shared" si="42"/>
        <v>0</v>
      </c>
      <c r="M55" s="40">
        <f t="shared" si="42"/>
        <v>0</v>
      </c>
      <c r="N55" s="40">
        <f t="shared" si="42"/>
        <v>0</v>
      </c>
      <c r="O55" s="40">
        <f t="shared" si="42"/>
        <v>0</v>
      </c>
      <c r="P55" s="40">
        <f t="shared" si="42"/>
        <v>0</v>
      </c>
      <c r="Q55" s="40">
        <f t="shared" si="42"/>
        <v>0</v>
      </c>
      <c r="R55" s="40">
        <f t="shared" si="42"/>
        <v>0</v>
      </c>
      <c r="S55" s="40">
        <f t="shared" si="42"/>
        <v>0</v>
      </c>
      <c r="T55" s="40">
        <f t="shared" si="42"/>
        <v>0</v>
      </c>
      <c r="U55" s="40">
        <f t="shared" si="42"/>
        <v>0</v>
      </c>
      <c r="V55" s="40">
        <f t="shared" si="42"/>
        <v>0</v>
      </c>
      <c r="W55" s="40">
        <f t="shared" si="42"/>
        <v>0</v>
      </c>
      <c r="X55" s="40">
        <f t="shared" si="42"/>
        <v>0</v>
      </c>
      <c r="Y55" s="40">
        <f t="shared" si="42"/>
        <v>0</v>
      </c>
      <c r="Z55" s="40">
        <f t="shared" si="42"/>
        <v>0</v>
      </c>
      <c r="AA55" s="40">
        <f t="shared" si="42"/>
        <v>0</v>
      </c>
      <c r="AB55" s="40">
        <f t="shared" si="42"/>
        <v>0</v>
      </c>
      <c r="AC55" s="40">
        <f t="shared" si="42"/>
        <v>0</v>
      </c>
      <c r="AD55" s="40">
        <f t="shared" si="42"/>
        <v>0</v>
      </c>
      <c r="AE55" s="40">
        <f t="shared" si="42"/>
        <v>0</v>
      </c>
      <c r="AF55" s="40">
        <f t="shared" si="42"/>
        <v>0</v>
      </c>
      <c r="AG55" s="40">
        <f t="shared" si="42"/>
        <v>0</v>
      </c>
      <c r="AH55" s="40">
        <f t="shared" si="42"/>
        <v>0</v>
      </c>
      <c r="AI55" s="40">
        <f t="shared" si="42"/>
        <v>0</v>
      </c>
      <c r="AJ55" s="40">
        <f t="shared" si="42"/>
        <v>0</v>
      </c>
      <c r="AK55" s="40">
        <f t="shared" si="42"/>
        <v>0</v>
      </c>
      <c r="AL55" s="40">
        <f t="shared" si="42"/>
        <v>0</v>
      </c>
      <c r="AM55" s="40">
        <f t="shared" si="42"/>
        <v>0</v>
      </c>
      <c r="AN55" s="40">
        <f t="shared" si="42"/>
        <v>0</v>
      </c>
      <c r="AO55" s="40">
        <f t="shared" si="42"/>
        <v>0</v>
      </c>
      <c r="AP55" s="40">
        <f t="shared" si="42"/>
        <v>0</v>
      </c>
      <c r="AQ55" s="40">
        <f t="shared" si="42"/>
        <v>0</v>
      </c>
      <c r="AR55" s="40">
        <f t="shared" si="42"/>
        <v>0</v>
      </c>
      <c r="AS55" s="40">
        <f t="shared" si="42"/>
        <v>0</v>
      </c>
      <c r="AT55" s="40">
        <f t="shared" si="42"/>
        <v>0</v>
      </c>
      <c r="AU55" s="40">
        <f t="shared" si="42"/>
        <v>0</v>
      </c>
      <c r="AV55" s="40">
        <f t="shared" si="42"/>
        <v>0</v>
      </c>
      <c r="AW55" s="40">
        <f t="shared" si="42"/>
        <v>0</v>
      </c>
      <c r="AX55" s="40">
        <f t="shared" si="42"/>
        <v>0</v>
      </c>
      <c r="AY55" s="40">
        <f t="shared" si="42"/>
        <v>0</v>
      </c>
      <c r="AZ55" s="40">
        <f t="shared" si="42"/>
        <v>0</v>
      </c>
      <c r="BA55" s="40">
        <f t="shared" si="42"/>
        <v>0</v>
      </c>
      <c r="BB55" s="40">
        <f t="shared" si="42"/>
        <v>0</v>
      </c>
      <c r="BC55" s="40">
        <f t="shared" si="42"/>
        <v>0</v>
      </c>
      <c r="BD55" s="40">
        <f t="shared" si="42"/>
        <v>0</v>
      </c>
      <c r="BE55" s="40">
        <f t="shared" si="42"/>
        <v>0</v>
      </c>
      <c r="BF55" s="40">
        <f t="shared" si="42"/>
        <v>0</v>
      </c>
      <c r="BG55" s="40">
        <f t="shared" si="42"/>
        <v>0</v>
      </c>
      <c r="BH55" s="40">
        <f t="shared" si="42"/>
        <v>0</v>
      </c>
      <c r="BI55" s="40">
        <f t="shared" si="42"/>
        <v>0</v>
      </c>
      <c r="BJ55" s="40">
        <f t="shared" si="42"/>
        <v>0</v>
      </c>
      <c r="BK55" s="40">
        <f t="shared" si="42"/>
        <v>0</v>
      </c>
      <c r="BL55" s="40">
        <f t="shared" si="42"/>
        <v>0</v>
      </c>
      <c r="BM55" s="40">
        <f t="shared" si="42"/>
        <v>0</v>
      </c>
      <c r="BN55" s="40">
        <f t="shared" si="42"/>
        <v>0</v>
      </c>
    </row>
    <row r="56" spans="1:66">
      <c r="A56" s="46" t="str">
        <v>Cricket Net</v>
      </c>
      <c r="B56" s="46">
        <v>0</v>
      </c>
      <c r="C56" s="40">
        <f t="shared" ref="C56:BN56" si="43">$B56/64</f>
        <v>0</v>
      </c>
      <c r="D56" s="40">
        <f t="shared" si="43"/>
        <v>0</v>
      </c>
      <c r="E56" s="40">
        <f t="shared" si="43"/>
        <v>0</v>
      </c>
      <c r="F56" s="40">
        <f t="shared" si="43"/>
        <v>0</v>
      </c>
      <c r="G56" s="40">
        <f t="shared" si="43"/>
        <v>0</v>
      </c>
      <c r="H56" s="40">
        <f t="shared" si="43"/>
        <v>0</v>
      </c>
      <c r="I56" s="40">
        <f t="shared" si="43"/>
        <v>0</v>
      </c>
      <c r="J56" s="40">
        <f t="shared" si="43"/>
        <v>0</v>
      </c>
      <c r="K56" s="40">
        <f t="shared" si="43"/>
        <v>0</v>
      </c>
      <c r="L56" s="40">
        <f t="shared" si="43"/>
        <v>0</v>
      </c>
      <c r="M56" s="40">
        <f t="shared" si="43"/>
        <v>0</v>
      </c>
      <c r="N56" s="40">
        <f t="shared" si="43"/>
        <v>0</v>
      </c>
      <c r="O56" s="40">
        <f t="shared" si="43"/>
        <v>0</v>
      </c>
      <c r="P56" s="40">
        <f t="shared" si="43"/>
        <v>0</v>
      </c>
      <c r="Q56" s="40">
        <f t="shared" si="43"/>
        <v>0</v>
      </c>
      <c r="R56" s="40">
        <f t="shared" si="43"/>
        <v>0</v>
      </c>
      <c r="S56" s="40">
        <f t="shared" si="43"/>
        <v>0</v>
      </c>
      <c r="T56" s="40">
        <f t="shared" si="43"/>
        <v>0</v>
      </c>
      <c r="U56" s="40">
        <f t="shared" si="43"/>
        <v>0</v>
      </c>
      <c r="V56" s="40">
        <f t="shared" si="43"/>
        <v>0</v>
      </c>
      <c r="W56" s="40">
        <f t="shared" si="43"/>
        <v>0</v>
      </c>
      <c r="X56" s="40">
        <f t="shared" si="43"/>
        <v>0</v>
      </c>
      <c r="Y56" s="40">
        <f t="shared" si="43"/>
        <v>0</v>
      </c>
      <c r="Z56" s="40">
        <f t="shared" si="43"/>
        <v>0</v>
      </c>
      <c r="AA56" s="40">
        <f t="shared" si="43"/>
        <v>0</v>
      </c>
      <c r="AB56" s="40">
        <f t="shared" si="43"/>
        <v>0</v>
      </c>
      <c r="AC56" s="40">
        <f t="shared" si="43"/>
        <v>0</v>
      </c>
      <c r="AD56" s="40">
        <f t="shared" si="43"/>
        <v>0</v>
      </c>
      <c r="AE56" s="40">
        <f t="shared" si="43"/>
        <v>0</v>
      </c>
      <c r="AF56" s="40">
        <f t="shared" si="43"/>
        <v>0</v>
      </c>
      <c r="AG56" s="40">
        <f t="shared" si="43"/>
        <v>0</v>
      </c>
      <c r="AH56" s="40">
        <f t="shared" si="43"/>
        <v>0</v>
      </c>
      <c r="AI56" s="40">
        <f t="shared" si="43"/>
        <v>0</v>
      </c>
      <c r="AJ56" s="40">
        <f t="shared" si="43"/>
        <v>0</v>
      </c>
      <c r="AK56" s="40">
        <f t="shared" si="43"/>
        <v>0</v>
      </c>
      <c r="AL56" s="40">
        <f t="shared" si="43"/>
        <v>0</v>
      </c>
      <c r="AM56" s="40">
        <f t="shared" si="43"/>
        <v>0</v>
      </c>
      <c r="AN56" s="40">
        <f t="shared" si="43"/>
        <v>0</v>
      </c>
      <c r="AO56" s="40">
        <f t="shared" si="43"/>
        <v>0</v>
      </c>
      <c r="AP56" s="40">
        <f t="shared" si="43"/>
        <v>0</v>
      </c>
      <c r="AQ56" s="40">
        <f t="shared" si="43"/>
        <v>0</v>
      </c>
      <c r="AR56" s="40">
        <f t="shared" si="43"/>
        <v>0</v>
      </c>
      <c r="AS56" s="40">
        <f t="shared" si="43"/>
        <v>0</v>
      </c>
      <c r="AT56" s="40">
        <f t="shared" si="43"/>
        <v>0</v>
      </c>
      <c r="AU56" s="40">
        <f t="shared" si="43"/>
        <v>0</v>
      </c>
      <c r="AV56" s="40">
        <f t="shared" si="43"/>
        <v>0</v>
      </c>
      <c r="AW56" s="40">
        <f t="shared" si="43"/>
        <v>0</v>
      </c>
      <c r="AX56" s="40">
        <f t="shared" si="43"/>
        <v>0</v>
      </c>
      <c r="AY56" s="40">
        <f t="shared" si="43"/>
        <v>0</v>
      </c>
      <c r="AZ56" s="40">
        <f t="shared" si="43"/>
        <v>0</v>
      </c>
      <c r="BA56" s="40">
        <f t="shared" si="43"/>
        <v>0</v>
      </c>
      <c r="BB56" s="40">
        <f t="shared" si="43"/>
        <v>0</v>
      </c>
      <c r="BC56" s="40">
        <f t="shared" si="43"/>
        <v>0</v>
      </c>
      <c r="BD56" s="40">
        <f t="shared" si="43"/>
        <v>0</v>
      </c>
      <c r="BE56" s="40">
        <f t="shared" si="43"/>
        <v>0</v>
      </c>
      <c r="BF56" s="40">
        <f t="shared" si="43"/>
        <v>0</v>
      </c>
      <c r="BG56" s="40">
        <f t="shared" si="43"/>
        <v>0</v>
      </c>
      <c r="BH56" s="40">
        <f t="shared" si="43"/>
        <v>0</v>
      </c>
      <c r="BI56" s="40">
        <f t="shared" si="43"/>
        <v>0</v>
      </c>
      <c r="BJ56" s="40">
        <f t="shared" si="43"/>
        <v>0</v>
      </c>
      <c r="BK56" s="40">
        <f t="shared" si="43"/>
        <v>0</v>
      </c>
      <c r="BL56" s="40">
        <f t="shared" si="43"/>
        <v>0</v>
      </c>
      <c r="BM56" s="40">
        <f t="shared" si="43"/>
        <v>0</v>
      </c>
      <c r="BN56" s="40">
        <f t="shared" si="43"/>
        <v>0</v>
      </c>
    </row>
    <row r="57" spans="1:66">
      <c r="A57" s="46" t="str">
        <v>LOOK AHEAD EXPENSE</v>
      </c>
      <c r="B57" s="46">
        <v>0</v>
      </c>
      <c r="C57" s="40">
        <f t="shared" ref="C57:BN57" si="44">$B57/64</f>
        <v>0</v>
      </c>
      <c r="D57" s="40">
        <f t="shared" si="44"/>
        <v>0</v>
      </c>
      <c r="E57" s="40">
        <f t="shared" si="44"/>
        <v>0</v>
      </c>
      <c r="F57" s="40">
        <f t="shared" si="44"/>
        <v>0</v>
      </c>
      <c r="G57" s="40">
        <f t="shared" si="44"/>
        <v>0</v>
      </c>
      <c r="H57" s="40">
        <f t="shared" si="44"/>
        <v>0</v>
      </c>
      <c r="I57" s="40">
        <f t="shared" si="44"/>
        <v>0</v>
      </c>
      <c r="J57" s="40">
        <f t="shared" si="44"/>
        <v>0</v>
      </c>
      <c r="K57" s="40">
        <f t="shared" si="44"/>
        <v>0</v>
      </c>
      <c r="L57" s="40">
        <f t="shared" si="44"/>
        <v>0</v>
      </c>
      <c r="M57" s="40">
        <f t="shared" si="44"/>
        <v>0</v>
      </c>
      <c r="N57" s="40">
        <f t="shared" si="44"/>
        <v>0</v>
      </c>
      <c r="O57" s="40">
        <f t="shared" si="44"/>
        <v>0</v>
      </c>
      <c r="P57" s="40">
        <f t="shared" si="44"/>
        <v>0</v>
      </c>
      <c r="Q57" s="40">
        <f t="shared" si="44"/>
        <v>0</v>
      </c>
      <c r="R57" s="40">
        <f t="shared" si="44"/>
        <v>0</v>
      </c>
      <c r="S57" s="40">
        <f t="shared" si="44"/>
        <v>0</v>
      </c>
      <c r="T57" s="40">
        <f t="shared" si="44"/>
        <v>0</v>
      </c>
      <c r="U57" s="40">
        <f t="shared" si="44"/>
        <v>0</v>
      </c>
      <c r="V57" s="40">
        <f t="shared" si="44"/>
        <v>0</v>
      </c>
      <c r="W57" s="40">
        <f t="shared" si="44"/>
        <v>0</v>
      </c>
      <c r="X57" s="40">
        <f t="shared" si="44"/>
        <v>0</v>
      </c>
      <c r="Y57" s="40">
        <f t="shared" si="44"/>
        <v>0</v>
      </c>
      <c r="Z57" s="40">
        <f t="shared" si="44"/>
        <v>0</v>
      </c>
      <c r="AA57" s="40">
        <f t="shared" si="44"/>
        <v>0</v>
      </c>
      <c r="AB57" s="40">
        <f t="shared" si="44"/>
        <v>0</v>
      </c>
      <c r="AC57" s="40">
        <f t="shared" si="44"/>
        <v>0</v>
      </c>
      <c r="AD57" s="40">
        <f t="shared" si="44"/>
        <v>0</v>
      </c>
      <c r="AE57" s="40">
        <f t="shared" si="44"/>
        <v>0</v>
      </c>
      <c r="AF57" s="40">
        <f t="shared" si="44"/>
        <v>0</v>
      </c>
      <c r="AG57" s="40">
        <f t="shared" si="44"/>
        <v>0</v>
      </c>
      <c r="AH57" s="40">
        <f t="shared" si="44"/>
        <v>0</v>
      </c>
      <c r="AI57" s="40">
        <f t="shared" si="44"/>
        <v>0</v>
      </c>
      <c r="AJ57" s="40">
        <f t="shared" si="44"/>
        <v>0</v>
      </c>
      <c r="AK57" s="40">
        <f t="shared" si="44"/>
        <v>0</v>
      </c>
      <c r="AL57" s="40">
        <f t="shared" si="44"/>
        <v>0</v>
      </c>
      <c r="AM57" s="40">
        <f t="shared" si="44"/>
        <v>0</v>
      </c>
      <c r="AN57" s="40">
        <f t="shared" si="44"/>
        <v>0</v>
      </c>
      <c r="AO57" s="40">
        <f t="shared" si="44"/>
        <v>0</v>
      </c>
      <c r="AP57" s="40">
        <f t="shared" si="44"/>
        <v>0</v>
      </c>
      <c r="AQ57" s="40">
        <f t="shared" si="44"/>
        <v>0</v>
      </c>
      <c r="AR57" s="40">
        <f t="shared" si="44"/>
        <v>0</v>
      </c>
      <c r="AS57" s="40">
        <f t="shared" si="44"/>
        <v>0</v>
      </c>
      <c r="AT57" s="40">
        <f t="shared" si="44"/>
        <v>0</v>
      </c>
      <c r="AU57" s="40">
        <f t="shared" si="44"/>
        <v>0</v>
      </c>
      <c r="AV57" s="40">
        <f t="shared" si="44"/>
        <v>0</v>
      </c>
      <c r="AW57" s="40">
        <f t="shared" si="44"/>
        <v>0</v>
      </c>
      <c r="AX57" s="40">
        <f t="shared" si="44"/>
        <v>0</v>
      </c>
      <c r="AY57" s="40">
        <f t="shared" si="44"/>
        <v>0</v>
      </c>
      <c r="AZ57" s="40">
        <f t="shared" si="44"/>
        <v>0</v>
      </c>
      <c r="BA57" s="40">
        <f t="shared" si="44"/>
        <v>0</v>
      </c>
      <c r="BB57" s="40">
        <f t="shared" si="44"/>
        <v>0</v>
      </c>
      <c r="BC57" s="40">
        <f t="shared" si="44"/>
        <v>0</v>
      </c>
      <c r="BD57" s="40">
        <f t="shared" si="44"/>
        <v>0</v>
      </c>
      <c r="BE57" s="40">
        <f t="shared" si="44"/>
        <v>0</v>
      </c>
      <c r="BF57" s="40">
        <f t="shared" si="44"/>
        <v>0</v>
      </c>
      <c r="BG57" s="40">
        <f t="shared" si="44"/>
        <v>0</v>
      </c>
      <c r="BH57" s="40">
        <f t="shared" si="44"/>
        <v>0</v>
      </c>
      <c r="BI57" s="40">
        <f t="shared" si="44"/>
        <v>0</v>
      </c>
      <c r="BJ57" s="40">
        <f t="shared" si="44"/>
        <v>0</v>
      </c>
      <c r="BK57" s="40">
        <f t="shared" si="44"/>
        <v>0</v>
      </c>
      <c r="BL57" s="40">
        <f t="shared" si="44"/>
        <v>0</v>
      </c>
      <c r="BM57" s="40">
        <f t="shared" si="44"/>
        <v>0</v>
      </c>
      <c r="BN57" s="40">
        <f t="shared" si="44"/>
        <v>0</v>
      </c>
    </row>
    <row r="58" spans="1:66">
      <c r="A58" s="46" t="str">
        <v>Rear bondary cleaning</v>
      </c>
      <c r="B58" s="46">
        <v>0</v>
      </c>
      <c r="C58" s="40">
        <f t="shared" ref="C58:BN58" si="45">$B58/64</f>
        <v>0</v>
      </c>
      <c r="D58" s="40">
        <f t="shared" si="45"/>
        <v>0</v>
      </c>
      <c r="E58" s="40">
        <f t="shared" si="45"/>
        <v>0</v>
      </c>
      <c r="F58" s="40">
        <f t="shared" si="45"/>
        <v>0</v>
      </c>
      <c r="G58" s="40">
        <f t="shared" si="45"/>
        <v>0</v>
      </c>
      <c r="H58" s="40">
        <f t="shared" si="45"/>
        <v>0</v>
      </c>
      <c r="I58" s="40">
        <f t="shared" si="45"/>
        <v>0</v>
      </c>
      <c r="J58" s="40">
        <f t="shared" si="45"/>
        <v>0</v>
      </c>
      <c r="K58" s="40">
        <f t="shared" si="45"/>
        <v>0</v>
      </c>
      <c r="L58" s="40">
        <f t="shared" si="45"/>
        <v>0</v>
      </c>
      <c r="M58" s="40">
        <f t="shared" si="45"/>
        <v>0</v>
      </c>
      <c r="N58" s="40">
        <f t="shared" si="45"/>
        <v>0</v>
      </c>
      <c r="O58" s="40">
        <f t="shared" si="45"/>
        <v>0</v>
      </c>
      <c r="P58" s="40">
        <f t="shared" si="45"/>
        <v>0</v>
      </c>
      <c r="Q58" s="40">
        <f t="shared" si="45"/>
        <v>0</v>
      </c>
      <c r="R58" s="40">
        <f t="shared" si="45"/>
        <v>0</v>
      </c>
      <c r="S58" s="40">
        <f t="shared" si="45"/>
        <v>0</v>
      </c>
      <c r="T58" s="40">
        <f t="shared" si="45"/>
        <v>0</v>
      </c>
      <c r="U58" s="40">
        <f t="shared" si="45"/>
        <v>0</v>
      </c>
      <c r="V58" s="40">
        <f t="shared" si="45"/>
        <v>0</v>
      </c>
      <c r="W58" s="40">
        <f t="shared" si="45"/>
        <v>0</v>
      </c>
      <c r="X58" s="40">
        <f t="shared" si="45"/>
        <v>0</v>
      </c>
      <c r="Y58" s="40">
        <f t="shared" si="45"/>
        <v>0</v>
      </c>
      <c r="Z58" s="40">
        <f t="shared" si="45"/>
        <v>0</v>
      </c>
      <c r="AA58" s="40">
        <f t="shared" si="45"/>
        <v>0</v>
      </c>
      <c r="AB58" s="40">
        <f t="shared" si="45"/>
        <v>0</v>
      </c>
      <c r="AC58" s="40">
        <f t="shared" si="45"/>
        <v>0</v>
      </c>
      <c r="AD58" s="40">
        <f t="shared" si="45"/>
        <v>0</v>
      </c>
      <c r="AE58" s="40">
        <f t="shared" si="45"/>
        <v>0</v>
      </c>
      <c r="AF58" s="40">
        <f t="shared" si="45"/>
        <v>0</v>
      </c>
      <c r="AG58" s="40">
        <f t="shared" si="45"/>
        <v>0</v>
      </c>
      <c r="AH58" s="40">
        <f t="shared" si="45"/>
        <v>0</v>
      </c>
      <c r="AI58" s="40">
        <f t="shared" si="45"/>
        <v>0</v>
      </c>
      <c r="AJ58" s="40">
        <f t="shared" si="45"/>
        <v>0</v>
      </c>
      <c r="AK58" s="40">
        <f t="shared" si="45"/>
        <v>0</v>
      </c>
      <c r="AL58" s="40">
        <f t="shared" si="45"/>
        <v>0</v>
      </c>
      <c r="AM58" s="40">
        <f t="shared" si="45"/>
        <v>0</v>
      </c>
      <c r="AN58" s="40">
        <f t="shared" si="45"/>
        <v>0</v>
      </c>
      <c r="AO58" s="40">
        <f t="shared" si="45"/>
        <v>0</v>
      </c>
      <c r="AP58" s="40">
        <f t="shared" si="45"/>
        <v>0</v>
      </c>
      <c r="AQ58" s="40">
        <f t="shared" si="45"/>
        <v>0</v>
      </c>
      <c r="AR58" s="40">
        <f t="shared" si="45"/>
        <v>0</v>
      </c>
      <c r="AS58" s="40">
        <f t="shared" si="45"/>
        <v>0</v>
      </c>
      <c r="AT58" s="40">
        <f t="shared" si="45"/>
        <v>0</v>
      </c>
      <c r="AU58" s="40">
        <f t="shared" si="45"/>
        <v>0</v>
      </c>
      <c r="AV58" s="40">
        <f t="shared" si="45"/>
        <v>0</v>
      </c>
      <c r="AW58" s="40">
        <f t="shared" si="45"/>
        <v>0</v>
      </c>
      <c r="AX58" s="40">
        <f t="shared" si="45"/>
        <v>0</v>
      </c>
      <c r="AY58" s="40">
        <f t="shared" si="45"/>
        <v>0</v>
      </c>
      <c r="AZ58" s="40">
        <f t="shared" si="45"/>
        <v>0</v>
      </c>
      <c r="BA58" s="40">
        <f t="shared" si="45"/>
        <v>0</v>
      </c>
      <c r="BB58" s="40">
        <f t="shared" si="45"/>
        <v>0</v>
      </c>
      <c r="BC58" s="40">
        <f t="shared" si="45"/>
        <v>0</v>
      </c>
      <c r="BD58" s="40">
        <f t="shared" si="45"/>
        <v>0</v>
      </c>
      <c r="BE58" s="40">
        <f t="shared" si="45"/>
        <v>0</v>
      </c>
      <c r="BF58" s="40">
        <f t="shared" si="45"/>
        <v>0</v>
      </c>
      <c r="BG58" s="40">
        <f t="shared" si="45"/>
        <v>0</v>
      </c>
      <c r="BH58" s="40">
        <f t="shared" si="45"/>
        <v>0</v>
      </c>
      <c r="BI58" s="40">
        <f t="shared" si="45"/>
        <v>0</v>
      </c>
      <c r="BJ58" s="40">
        <f t="shared" si="45"/>
        <v>0</v>
      </c>
      <c r="BK58" s="40">
        <f t="shared" si="45"/>
        <v>0</v>
      </c>
      <c r="BL58" s="40">
        <f t="shared" si="45"/>
        <v>0</v>
      </c>
      <c r="BM58" s="40">
        <f t="shared" si="45"/>
        <v>0</v>
      </c>
      <c r="BN58" s="40">
        <f t="shared" si="45"/>
        <v>0</v>
      </c>
    </row>
    <row r="59" spans="1:66">
      <c r="A59" s="46" t="str">
        <v>9,7,8,11 series terrace pipe repairs</v>
      </c>
      <c r="B59" s="46">
        <v>0</v>
      </c>
      <c r="C59" s="40">
        <f t="shared" ref="C59:BN59" si="46">$B59/64</f>
        <v>0</v>
      </c>
      <c r="D59" s="40">
        <f t="shared" si="46"/>
        <v>0</v>
      </c>
      <c r="E59" s="40">
        <f t="shared" si="46"/>
        <v>0</v>
      </c>
      <c r="F59" s="40">
        <f t="shared" si="46"/>
        <v>0</v>
      </c>
      <c r="G59" s="40">
        <f t="shared" si="46"/>
        <v>0</v>
      </c>
      <c r="H59" s="40">
        <f t="shared" si="46"/>
        <v>0</v>
      </c>
      <c r="I59" s="40">
        <f t="shared" si="46"/>
        <v>0</v>
      </c>
      <c r="J59" s="40">
        <f t="shared" si="46"/>
        <v>0</v>
      </c>
      <c r="K59" s="40">
        <f t="shared" si="46"/>
        <v>0</v>
      </c>
      <c r="L59" s="40">
        <f t="shared" si="46"/>
        <v>0</v>
      </c>
      <c r="M59" s="40">
        <f t="shared" si="46"/>
        <v>0</v>
      </c>
      <c r="N59" s="40">
        <f t="shared" si="46"/>
        <v>0</v>
      </c>
      <c r="O59" s="40">
        <f t="shared" si="46"/>
        <v>0</v>
      </c>
      <c r="P59" s="40">
        <f t="shared" si="46"/>
        <v>0</v>
      </c>
      <c r="Q59" s="40">
        <f t="shared" si="46"/>
        <v>0</v>
      </c>
      <c r="R59" s="40">
        <f t="shared" si="46"/>
        <v>0</v>
      </c>
      <c r="S59" s="40">
        <f t="shared" si="46"/>
        <v>0</v>
      </c>
      <c r="T59" s="40">
        <f t="shared" si="46"/>
        <v>0</v>
      </c>
      <c r="U59" s="40">
        <f t="shared" si="46"/>
        <v>0</v>
      </c>
      <c r="V59" s="40">
        <f t="shared" si="46"/>
        <v>0</v>
      </c>
      <c r="W59" s="40">
        <f t="shared" si="46"/>
        <v>0</v>
      </c>
      <c r="X59" s="40">
        <f t="shared" si="46"/>
        <v>0</v>
      </c>
      <c r="Y59" s="40">
        <f t="shared" si="46"/>
        <v>0</v>
      </c>
      <c r="Z59" s="40">
        <f t="shared" si="46"/>
        <v>0</v>
      </c>
      <c r="AA59" s="40">
        <f t="shared" si="46"/>
        <v>0</v>
      </c>
      <c r="AB59" s="40">
        <f t="shared" si="46"/>
        <v>0</v>
      </c>
      <c r="AC59" s="40">
        <f t="shared" si="46"/>
        <v>0</v>
      </c>
      <c r="AD59" s="40">
        <f t="shared" si="46"/>
        <v>0</v>
      </c>
      <c r="AE59" s="40">
        <f t="shared" si="46"/>
        <v>0</v>
      </c>
      <c r="AF59" s="40">
        <f t="shared" si="46"/>
        <v>0</v>
      </c>
      <c r="AG59" s="40">
        <f t="shared" si="46"/>
        <v>0</v>
      </c>
      <c r="AH59" s="40">
        <f t="shared" si="46"/>
        <v>0</v>
      </c>
      <c r="AI59" s="40">
        <f t="shared" si="46"/>
        <v>0</v>
      </c>
      <c r="AJ59" s="40">
        <f t="shared" si="46"/>
        <v>0</v>
      </c>
      <c r="AK59" s="40">
        <f t="shared" si="46"/>
        <v>0</v>
      </c>
      <c r="AL59" s="40">
        <f t="shared" si="46"/>
        <v>0</v>
      </c>
      <c r="AM59" s="40">
        <f t="shared" si="46"/>
        <v>0</v>
      </c>
      <c r="AN59" s="40">
        <f t="shared" si="46"/>
        <v>0</v>
      </c>
      <c r="AO59" s="40">
        <f t="shared" si="46"/>
        <v>0</v>
      </c>
      <c r="AP59" s="40">
        <f t="shared" si="46"/>
        <v>0</v>
      </c>
      <c r="AQ59" s="40">
        <f t="shared" si="46"/>
        <v>0</v>
      </c>
      <c r="AR59" s="40">
        <f t="shared" si="46"/>
        <v>0</v>
      </c>
      <c r="AS59" s="40">
        <f t="shared" si="46"/>
        <v>0</v>
      </c>
      <c r="AT59" s="40">
        <f t="shared" si="46"/>
        <v>0</v>
      </c>
      <c r="AU59" s="40">
        <f t="shared" si="46"/>
        <v>0</v>
      </c>
      <c r="AV59" s="40">
        <f t="shared" si="46"/>
        <v>0</v>
      </c>
      <c r="AW59" s="40">
        <f t="shared" si="46"/>
        <v>0</v>
      </c>
      <c r="AX59" s="40">
        <f t="shared" si="46"/>
        <v>0</v>
      </c>
      <c r="AY59" s="40">
        <f t="shared" si="46"/>
        <v>0</v>
      </c>
      <c r="AZ59" s="40">
        <f t="shared" si="46"/>
        <v>0</v>
      </c>
      <c r="BA59" s="40">
        <f t="shared" si="46"/>
        <v>0</v>
      </c>
      <c r="BB59" s="40">
        <f t="shared" si="46"/>
        <v>0</v>
      </c>
      <c r="BC59" s="40">
        <f t="shared" si="46"/>
        <v>0</v>
      </c>
      <c r="BD59" s="40">
        <f t="shared" si="46"/>
        <v>0</v>
      </c>
      <c r="BE59" s="40">
        <f t="shared" si="46"/>
        <v>0</v>
      </c>
      <c r="BF59" s="40">
        <f t="shared" si="46"/>
        <v>0</v>
      </c>
      <c r="BG59" s="40">
        <f t="shared" si="46"/>
        <v>0</v>
      </c>
      <c r="BH59" s="40">
        <f t="shared" si="46"/>
        <v>0</v>
      </c>
      <c r="BI59" s="40">
        <f t="shared" si="46"/>
        <v>0</v>
      </c>
      <c r="BJ59" s="40">
        <f t="shared" si="46"/>
        <v>0</v>
      </c>
      <c r="BK59" s="40">
        <f t="shared" si="46"/>
        <v>0</v>
      </c>
      <c r="BL59" s="40">
        <f t="shared" si="46"/>
        <v>0</v>
      </c>
      <c r="BM59" s="40">
        <f t="shared" si="46"/>
        <v>0</v>
      </c>
      <c r="BN59" s="40">
        <f t="shared" si="46"/>
        <v>0</v>
      </c>
    </row>
    <row r="60" spans="1:66">
      <c r="A60" s="46" t="str">
        <v>Speed Breaker near the gate</v>
      </c>
      <c r="B60" s="46">
        <v>6000</v>
      </c>
      <c r="C60" s="40">
        <f t="shared" ref="C60:BN60" si="47">$B60/64</f>
        <v>93.75</v>
      </c>
      <c r="D60" s="40">
        <f t="shared" si="47"/>
        <v>93.75</v>
      </c>
      <c r="E60" s="40">
        <f t="shared" si="47"/>
        <v>93.75</v>
      </c>
      <c r="F60" s="40">
        <f t="shared" si="47"/>
        <v>93.75</v>
      </c>
      <c r="G60" s="40">
        <f t="shared" si="47"/>
        <v>93.75</v>
      </c>
      <c r="H60" s="40">
        <f t="shared" si="47"/>
        <v>93.75</v>
      </c>
      <c r="I60" s="40">
        <f t="shared" si="47"/>
        <v>93.75</v>
      </c>
      <c r="J60" s="40">
        <f t="shared" si="47"/>
        <v>93.75</v>
      </c>
      <c r="K60" s="40">
        <f t="shared" si="47"/>
        <v>93.75</v>
      </c>
      <c r="L60" s="40">
        <f t="shared" si="47"/>
        <v>93.75</v>
      </c>
      <c r="M60" s="40">
        <f t="shared" si="47"/>
        <v>93.75</v>
      </c>
      <c r="N60" s="40">
        <f t="shared" si="47"/>
        <v>93.75</v>
      </c>
      <c r="O60" s="40">
        <f t="shared" si="47"/>
        <v>93.75</v>
      </c>
      <c r="P60" s="40">
        <f t="shared" si="47"/>
        <v>93.75</v>
      </c>
      <c r="Q60" s="40">
        <f t="shared" si="47"/>
        <v>93.75</v>
      </c>
      <c r="R60" s="40">
        <f t="shared" si="47"/>
        <v>93.75</v>
      </c>
      <c r="S60" s="40">
        <f t="shared" si="47"/>
        <v>93.75</v>
      </c>
      <c r="T60" s="40">
        <f t="shared" si="47"/>
        <v>93.75</v>
      </c>
      <c r="U60" s="40">
        <f t="shared" si="47"/>
        <v>93.75</v>
      </c>
      <c r="V60" s="40">
        <f t="shared" si="47"/>
        <v>93.75</v>
      </c>
      <c r="W60" s="40">
        <f t="shared" si="47"/>
        <v>93.75</v>
      </c>
      <c r="X60" s="40">
        <f t="shared" si="47"/>
        <v>93.75</v>
      </c>
      <c r="Y60" s="40">
        <f t="shared" si="47"/>
        <v>93.75</v>
      </c>
      <c r="Z60" s="40">
        <f t="shared" si="47"/>
        <v>93.75</v>
      </c>
      <c r="AA60" s="40">
        <f t="shared" si="47"/>
        <v>93.75</v>
      </c>
      <c r="AB60" s="40">
        <f t="shared" si="47"/>
        <v>93.75</v>
      </c>
      <c r="AC60" s="40">
        <f t="shared" si="47"/>
        <v>93.75</v>
      </c>
      <c r="AD60" s="40">
        <f t="shared" si="47"/>
        <v>93.75</v>
      </c>
      <c r="AE60" s="40">
        <f t="shared" si="47"/>
        <v>93.75</v>
      </c>
      <c r="AF60" s="40">
        <f t="shared" si="47"/>
        <v>93.75</v>
      </c>
      <c r="AG60" s="40">
        <f t="shared" si="47"/>
        <v>93.75</v>
      </c>
      <c r="AH60" s="40">
        <f t="shared" si="47"/>
        <v>93.75</v>
      </c>
      <c r="AI60" s="40">
        <f t="shared" si="47"/>
        <v>93.75</v>
      </c>
      <c r="AJ60" s="40">
        <f t="shared" si="47"/>
        <v>93.75</v>
      </c>
      <c r="AK60" s="40">
        <f t="shared" si="47"/>
        <v>93.75</v>
      </c>
      <c r="AL60" s="40">
        <f t="shared" si="47"/>
        <v>93.75</v>
      </c>
      <c r="AM60" s="40">
        <f t="shared" si="47"/>
        <v>93.75</v>
      </c>
      <c r="AN60" s="40">
        <f t="shared" si="47"/>
        <v>93.75</v>
      </c>
      <c r="AO60" s="40">
        <f t="shared" si="47"/>
        <v>93.75</v>
      </c>
      <c r="AP60" s="40">
        <f t="shared" si="47"/>
        <v>93.75</v>
      </c>
      <c r="AQ60" s="40">
        <f t="shared" si="47"/>
        <v>93.75</v>
      </c>
      <c r="AR60" s="40">
        <f t="shared" si="47"/>
        <v>93.75</v>
      </c>
      <c r="AS60" s="40">
        <f t="shared" si="47"/>
        <v>93.75</v>
      </c>
      <c r="AT60" s="40">
        <f t="shared" si="47"/>
        <v>93.75</v>
      </c>
      <c r="AU60" s="40">
        <f t="shared" si="47"/>
        <v>93.75</v>
      </c>
      <c r="AV60" s="40">
        <f t="shared" si="47"/>
        <v>93.75</v>
      </c>
      <c r="AW60" s="40">
        <f t="shared" si="47"/>
        <v>93.75</v>
      </c>
      <c r="AX60" s="40">
        <f t="shared" si="47"/>
        <v>93.75</v>
      </c>
      <c r="AY60" s="40">
        <f t="shared" si="47"/>
        <v>93.75</v>
      </c>
      <c r="AZ60" s="40">
        <f t="shared" si="47"/>
        <v>93.75</v>
      </c>
      <c r="BA60" s="40">
        <f t="shared" si="47"/>
        <v>93.75</v>
      </c>
      <c r="BB60" s="40">
        <f t="shared" si="47"/>
        <v>93.75</v>
      </c>
      <c r="BC60" s="40">
        <f t="shared" si="47"/>
        <v>93.75</v>
      </c>
      <c r="BD60" s="40">
        <f t="shared" si="47"/>
        <v>93.75</v>
      </c>
      <c r="BE60" s="40">
        <f t="shared" si="47"/>
        <v>93.75</v>
      </c>
      <c r="BF60" s="40">
        <f t="shared" si="47"/>
        <v>93.75</v>
      </c>
      <c r="BG60" s="40">
        <f t="shared" si="47"/>
        <v>93.75</v>
      </c>
      <c r="BH60" s="40">
        <f t="shared" si="47"/>
        <v>93.75</v>
      </c>
      <c r="BI60" s="40">
        <f t="shared" si="47"/>
        <v>93.75</v>
      </c>
      <c r="BJ60" s="40">
        <f t="shared" si="47"/>
        <v>93.75</v>
      </c>
      <c r="BK60" s="40">
        <f t="shared" si="47"/>
        <v>93.75</v>
      </c>
      <c r="BL60" s="40">
        <f t="shared" si="47"/>
        <v>93.75</v>
      </c>
      <c r="BM60" s="40">
        <f t="shared" si="47"/>
        <v>93.75</v>
      </c>
      <c r="BN60" s="40">
        <f t="shared" si="47"/>
        <v>93.75</v>
      </c>
    </row>
    <row r="61" spans="1:66">
      <c r="A61" s="93" t="str">
        <v>Gym Equipment Repairs</v>
      </c>
      <c r="B61" s="94">
        <v>0</v>
      </c>
      <c r="C61" s="95">
        <f t="shared" ref="C61:BN61" si="48">SUM(C6,C13:C60)</f>
        <v>5496.7149229277738</v>
      </c>
      <c r="D61" s="95">
        <f t="shared" si="48"/>
        <v>6759.7325735036775</v>
      </c>
      <c r="E61" s="95">
        <f t="shared" si="48"/>
        <v>6779.5715685937757</v>
      </c>
      <c r="F61" s="95">
        <f t="shared" si="48"/>
        <v>5553.5667606509269</v>
      </c>
      <c r="G61" s="95">
        <f t="shared" si="48"/>
        <v>5172.3924418298766</v>
      </c>
      <c r="H61" s="95">
        <f t="shared" si="48"/>
        <v>5465.1979739096405</v>
      </c>
      <c r="I61" s="95">
        <f t="shared" si="48"/>
        <v>5188.6243469035935</v>
      </c>
      <c r="J61" s="95">
        <f t="shared" si="48"/>
        <v>5121.2619408476694</v>
      </c>
      <c r="K61" s="95">
        <f t="shared" si="48"/>
        <v>5433.8113721070631</v>
      </c>
      <c r="L61" s="95">
        <f t="shared" si="48"/>
        <v>5398.3315427309699</v>
      </c>
      <c r="M61" s="95">
        <f t="shared" si="48"/>
        <v>5217.9319532866921</v>
      </c>
      <c r="N61" s="95">
        <f t="shared" si="48"/>
        <v>5108.005885037468</v>
      </c>
      <c r="O61" s="95">
        <f t="shared" si="48"/>
        <v>6235.7125713738633</v>
      </c>
      <c r="P61" s="95">
        <f t="shared" si="48"/>
        <v>5438.8162095047919</v>
      </c>
      <c r="Q61" s="95">
        <f t="shared" si="48"/>
        <v>5736.5364017318761</v>
      </c>
      <c r="R61" s="95">
        <f t="shared" si="48"/>
        <v>6265.0701850422265</v>
      </c>
      <c r="S61" s="95">
        <f t="shared" si="48"/>
        <v>6041.7462244030103</v>
      </c>
      <c r="T61" s="95">
        <f t="shared" si="48"/>
        <v>6478.8755271031769</v>
      </c>
      <c r="U61" s="95">
        <f t="shared" si="48"/>
        <v>6557.6904439611117</v>
      </c>
      <c r="V61" s="95">
        <f t="shared" si="48"/>
        <v>7081.1693825884686</v>
      </c>
      <c r="W61" s="95">
        <f t="shared" si="48"/>
        <v>5495.9484162992921</v>
      </c>
      <c r="X61" s="95">
        <f t="shared" si="48"/>
        <v>5781.8103000975225</v>
      </c>
      <c r="Y61" s="95">
        <f t="shared" si="48"/>
        <v>5634.7762933047734</v>
      </c>
      <c r="Z61" s="95">
        <f t="shared" si="48"/>
        <v>5956.9345203928406</v>
      </c>
      <c r="AA61" s="95">
        <f t="shared" si="48"/>
        <v>5869.0920411738352</v>
      </c>
      <c r="AB61" s="95">
        <f t="shared" si="48"/>
        <v>6007.7944896238196</v>
      </c>
      <c r="AC61" s="95">
        <f t="shared" si="48"/>
        <v>5376.7791798830904</v>
      </c>
      <c r="AD61" s="95">
        <f t="shared" si="48"/>
        <v>6120.0200777584869</v>
      </c>
      <c r="AE61" s="95">
        <f t="shared" si="48"/>
        <v>5925.0068550878068</v>
      </c>
      <c r="AF61" s="95">
        <f t="shared" si="48"/>
        <v>5790.2369543507548</v>
      </c>
      <c r="AG61" s="95">
        <f t="shared" si="48"/>
        <v>5225.6822781618539</v>
      </c>
      <c r="AH61" s="95">
        <f t="shared" si="48"/>
        <v>5297.3781108974945</v>
      </c>
      <c r="AI61" s="95">
        <f t="shared" si="48"/>
        <v>5177.8030768544486</v>
      </c>
      <c r="AJ61" s="95">
        <f t="shared" si="48"/>
        <v>8300.9970488782637</v>
      </c>
      <c r="AK61" s="95">
        <f t="shared" si="48"/>
        <v>5457.3476344639521</v>
      </c>
      <c r="AL61" s="95">
        <f t="shared" si="48"/>
        <v>5289.848310488298</v>
      </c>
      <c r="AM61" s="95">
        <f t="shared" si="48"/>
        <v>5848.8570857770119</v>
      </c>
      <c r="AN61" s="95">
        <f t="shared" si="48"/>
        <v>5134.9237942847149</v>
      </c>
      <c r="AO61" s="95">
        <f t="shared" si="48"/>
        <v>5167.9286679346051</v>
      </c>
      <c r="AP61" s="95">
        <f t="shared" si="48"/>
        <v>6830.0306588579697</v>
      </c>
      <c r="AQ61" s="95">
        <f t="shared" si="48"/>
        <v>5443.1447175244502</v>
      </c>
      <c r="AR61" s="95">
        <f t="shared" si="48"/>
        <v>5156.5212457577982</v>
      </c>
      <c r="AS61" s="95">
        <f t="shared" si="48"/>
        <v>5912.2967814401209</v>
      </c>
      <c r="AT61" s="95">
        <f t="shared" si="48"/>
        <v>5904.9473355317441</v>
      </c>
      <c r="AU61" s="95">
        <f t="shared" si="48"/>
        <v>5522.3203433840226</v>
      </c>
      <c r="AV61" s="95">
        <f t="shared" si="48"/>
        <v>5695.641018671151</v>
      </c>
      <c r="AW61" s="95">
        <f t="shared" si="48"/>
        <v>6502.3667008348621</v>
      </c>
      <c r="AX61" s="95">
        <f t="shared" si="48"/>
        <v>5525.932352060463</v>
      </c>
      <c r="AY61" s="95">
        <f t="shared" si="48"/>
        <v>6417.8304472359796</v>
      </c>
      <c r="AZ61" s="95">
        <f t="shared" si="48"/>
        <v>6598.9014473982697</v>
      </c>
      <c r="BA61" s="95">
        <f t="shared" si="48"/>
        <v>6114.8750558250849</v>
      </c>
      <c r="BB61" s="95">
        <f t="shared" si="48"/>
        <v>6261.4130877405805</v>
      </c>
      <c r="BC61" s="95">
        <f t="shared" si="48"/>
        <v>5301.4811757911284</v>
      </c>
      <c r="BD61" s="95">
        <f t="shared" si="48"/>
        <v>6295.5050070554444</v>
      </c>
      <c r="BE61" s="95">
        <f t="shared" si="48"/>
        <v>5248.1413321738873</v>
      </c>
      <c r="BF61" s="95">
        <f t="shared" si="48"/>
        <v>5200.4826553324474</v>
      </c>
      <c r="BG61" s="95">
        <f t="shared" si="48"/>
        <v>5839.6991762003854</v>
      </c>
      <c r="BH61" s="95">
        <f t="shared" si="48"/>
        <v>5135.059060160329</v>
      </c>
      <c r="BI61" s="95">
        <f t="shared" si="48"/>
        <v>5351.2590180171919</v>
      </c>
      <c r="BJ61" s="95">
        <f t="shared" si="48"/>
        <v>5218.6984599151738</v>
      </c>
      <c r="BK61" s="95">
        <f t="shared" si="48"/>
        <v>5534.9451584413582</v>
      </c>
      <c r="BL61" s="95">
        <f t="shared" si="48"/>
        <v>5513.3927955934787</v>
      </c>
      <c r="BM61" s="95">
        <f t="shared" si="48"/>
        <v>6160.9556307843577</v>
      </c>
      <c r="BN61" s="95">
        <f t="shared" si="48"/>
        <v>5875.2339315218014</v>
      </c>
    </row>
    <row r="62" spans="1:66">
      <c r="A62" s="46" t="str">
        <v>Additional Waste Disposal</v>
      </c>
      <c r="B62" s="46">
        <v>0</v>
      </c>
    </row>
    <row r="63" spans="1:66">
      <c r="A63" s="46" t="str">
        <v>Swimming Pool Cleaning</v>
      </c>
      <c r="B63" s="46">
        <v>0</v>
      </c>
    </row>
    <row r="64" spans="1:66">
      <c r="A64" s="46" t="str">
        <v>HOUSE KEEPING MATERIALS</v>
      </c>
      <c r="B64" s="46">
        <v>0</v>
      </c>
    </row>
  </sheetData>
  <customSheetViews>
    <customSheetView guid="{A291B9CC-9FDF-46C9-BFD4-774D92B85D47}" filter="1" showAutoFilter="1">
      <pageMargins left="0.7" right="0.7" top="0.75" bottom="0.75" header="0.3" footer="0.3"/>
      <autoFilter ref="A1:BN61" xr:uid="{69E1D0E4-1130-D449-8665-D00C4218231C}">
        <filterColumn colId="2">
          <filters>
            <filter val="0.98%"/>
            <filter val="103.125"/>
            <filter val="109.375"/>
            <filter val="140.625"/>
            <filter val="156.25"/>
            <filter val="2360"/>
            <filter val="25"/>
            <filter val="353.43"/>
            <filter val="4,320.91"/>
            <filter val="452.8125"/>
            <filter val="458.734375"/>
            <filter val="46.875"/>
            <filter val="468.75"/>
            <filter val="5,496.71"/>
            <filter val="5.52"/>
            <filter val="51.5625"/>
            <filter val="748.61"/>
            <filter val="78.125"/>
            <filter val="93.75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I66"/>
  <sheetViews>
    <sheetView workbookViewId="0"/>
  </sheetViews>
  <sheetFormatPr baseColWidth="10" defaultColWidth="14.5" defaultRowHeight="15" customHeight="1"/>
  <cols>
    <col min="2" max="2" width="24.33203125" customWidth="1"/>
    <col min="3" max="3" width="30.83203125" customWidth="1"/>
    <col min="4" max="4" width="16" customWidth="1"/>
    <col min="5" max="5" width="32.6640625" customWidth="1"/>
    <col min="6" max="6" width="24.5" customWidth="1"/>
    <col min="7" max="7" width="18.5" customWidth="1"/>
    <col min="8" max="8" width="20.5" customWidth="1"/>
    <col min="9" max="9" width="20.33203125" customWidth="1"/>
    <col min="10" max="10" width="13.5" customWidth="1"/>
    <col min="11" max="11" width="16.1640625" customWidth="1"/>
    <col min="12" max="12" width="20.5" customWidth="1"/>
    <col min="13" max="13" width="17.5" customWidth="1"/>
    <col min="14" max="14" width="14.33203125" customWidth="1"/>
    <col min="15" max="15" width="10.5" customWidth="1"/>
    <col min="16" max="16" width="15.5" customWidth="1"/>
    <col min="17" max="17" width="17.1640625" customWidth="1"/>
    <col min="18" max="18" width="17.5" customWidth="1"/>
    <col min="19" max="19" width="18.5" customWidth="1"/>
    <col min="20" max="20" width="11.5" customWidth="1"/>
    <col min="21" max="21" width="23.1640625" customWidth="1"/>
    <col min="22" max="22" width="14.1640625" customWidth="1"/>
    <col min="23" max="23" width="19.5" customWidth="1"/>
    <col min="24" max="24" width="20.5" customWidth="1"/>
    <col min="59" max="60" width="25.1640625" customWidth="1"/>
  </cols>
  <sheetData>
    <row r="1" spans="1:61">
      <c r="A1" s="40" t="str">
        <f t="array" ref="A1:BI66">TRANSPOSE('July2025-EXPENSE-Flatwise'!A1:BN61)</f>
        <v>Expense Head</v>
      </c>
      <c r="B1" s="40" t="str">
        <v>Water consumption (Litres)</v>
      </c>
      <c r="C1" s="40" t="str">
        <v>Water consumption (%age of total)</v>
      </c>
      <c r="D1" s="40" t="str">
        <v>Water meter rent</v>
      </c>
      <c r="E1" s="40" t="str">
        <v>Common meter rent (eq. distributed)</v>
      </c>
      <c r="F1" s="40" t="str">
        <v>Total water related expense</v>
      </c>
      <c r="G1" s="40" t="str">
        <v>Society Parking Rent</v>
      </c>
      <c r="H1" s="40" t="str">
        <v>Clubhouse booking fee</v>
      </c>
      <c r="I1" s="40" t="str">
        <v>Moving in/out charges</v>
      </c>
      <c r="J1" s="40" t="str">
        <v>Gym usage fee</v>
      </c>
      <c r="K1" s="46" t="str">
        <v>DRINKING WATER
SLN WATER SUP</v>
      </c>
      <c r="L1" s="46" t="str">
        <v>STP SLUDGE CLEANING
BALAJI</v>
      </c>
      <c r="M1" s="46" t="str">
        <v>STP MAINTENANCE</v>
      </c>
      <c r="N1" s="46" t="str">
        <v>STP MATERIALS</v>
      </c>
      <c r="O1" s="46" t="str">
        <v>STP REPAIR</v>
      </c>
      <c r="P1" s="46" t="str">
        <v xml:space="preserve">COMMON 
ELECTRICITY BILL
</v>
      </c>
      <c r="Q1" s="46" t="str">
        <v>BECOM Service tax</v>
      </c>
      <c r="R1" s="46" t="str">
        <v>SECURITY SERVICES</v>
      </c>
      <c r="S1" s="46" t="str">
        <v>GARBAGE REMOVAL</v>
      </c>
      <c r="T1" s="46" t="str">
        <v>PETTY CASH</v>
      </c>
      <c r="U1" s="46" t="str">
        <v>ELEVATOR MAINTENANCE</v>
      </c>
      <c r="V1" s="46" t="str">
        <v>MOTOR REPAIR</v>
      </c>
      <c r="W1" s="46" t="str">
        <v>PLUMBING MATERIAL</v>
      </c>
      <c r="X1" s="46" t="str">
        <v>ELECTRICITY MATERIAL</v>
      </c>
      <c r="Y1" s="46" t="str">
        <v>ELECTRICITY MATERIAL</v>
      </c>
      <c r="Z1" s="46" t="str">
        <v>TRANSFORMER REPAIR</v>
      </c>
      <c r="AA1" s="46" t="str">
        <v>GENERATOR MAINTENANCE
EPITOME</v>
      </c>
      <c r="AB1" s="46" t="str">
        <v>GARDENING</v>
      </c>
      <c r="AC1" s="46" t="str">
        <v>PLUMBER WAGE</v>
      </c>
      <c r="AD1" s="46" t="str">
        <v>ELECTRICIAN WAGE</v>
      </c>
      <c r="AE1" s="46" t="str">
        <v>MANAGER WAGE</v>
      </c>
      <c r="AF1" s="46" t="str">
        <v>TANK AND SUMP CLEANING</v>
      </c>
      <c r="AG1" s="46" t="str">
        <v>SECURITY WATER EXPENSES GREENMART</v>
      </c>
      <c r="AH1" s="46" t="str">
        <v>SWIMMING POOL MOTOR REPAIR</v>
      </c>
      <c r="AI1" s="46" t="str">
        <v>CCTV REPAIR</v>
      </c>
      <c r="AJ1" s="46" t="str">
        <v>CCTV monitor</v>
      </c>
      <c r="AK1" s="46" t="str">
        <v xml:space="preserve">WATER PIPE </v>
      </c>
      <c r="AL1" s="46" t="str">
        <v>RAILING FOR STAIRCASE</v>
      </c>
      <c r="AM1" s="46" t="str">
        <v>Play area sand</v>
      </c>
      <c r="AN1" s="46" t="str">
        <v>BARBED WIRE REPAIR</v>
      </c>
      <c r="AO1" s="46" t="str">
        <v>DRIED LEAVES REMOVAL</v>
      </c>
      <c r="AP1" s="46" t="str">
        <v>DRAIN CLEANING</v>
      </c>
      <c r="AQ1" s="46" t="str">
        <v>Security room &amp; Play area painting</v>
      </c>
      <c r="AR1" s="46" t="str">
        <v>Play area sand removal &amp; cracks filling</v>
      </c>
      <c r="AS1" s="46" t="str">
        <v>Front garden cleaning and red soil filling</v>
      </c>
      <c r="AT1" s="46" t="str">
        <v>Landscaping work for STP water disposal</v>
      </c>
      <c r="AU1" s="46" t="str">
        <v>ACCOUNTING</v>
      </c>
      <c r="AV1" s="46" t="str">
        <v>Lift Painting</v>
      </c>
      <c r="AW1" s="46" t="str">
        <v>Lift wiring sepration</v>
      </c>
      <c r="AX1" s="46" t="str">
        <v>Earthing repair</v>
      </c>
      <c r="AY1" s="46" t="str">
        <v>Pest Control</v>
      </c>
      <c r="AZ1" s="46" t="str">
        <v>Freshwater pipe repair</v>
      </c>
      <c r="BA1" s="46" t="str">
        <v>NBH device replacement</v>
      </c>
      <c r="BB1" s="46" t="str">
        <v>NBH VMS</v>
      </c>
      <c r="BC1" s="46" t="str">
        <v>REPAIRS</v>
      </c>
      <c r="BD1" s="46" t="str">
        <v>Cricket Net</v>
      </c>
      <c r="BE1" s="46" t="str">
        <v>LOOK AHEAD EXPENSE</v>
      </c>
      <c r="BF1" s="46" t="str">
        <v>Rear bondary cleaning</v>
      </c>
      <c r="BG1" s="46" t="str">
        <v>9,7,8,11 series terrace pipe repairs</v>
      </c>
      <c r="BH1" s="46" t="str">
        <v>Speed Breaker near the gate</v>
      </c>
      <c r="BI1" s="46" t="str">
        <v>Gym Equipment Repairs</v>
      </c>
    </row>
    <row r="2" spans="1:61">
      <c r="A2" s="40">
        <v>0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6">
        <v>16800</v>
      </c>
      <c r="L2" s="46">
        <v>23000</v>
      </c>
      <c r="M2" s="46">
        <v>30000</v>
      </c>
      <c r="N2" s="46">
        <v>1600</v>
      </c>
      <c r="O2" s="46">
        <v>0</v>
      </c>
      <c r="P2" s="46">
        <v>29359</v>
      </c>
      <c r="Q2" s="46">
        <v>0</v>
      </c>
      <c r="R2" s="46">
        <v>151040</v>
      </c>
      <c r="S2" s="46">
        <v>6600</v>
      </c>
      <c r="T2" s="46">
        <v>10000</v>
      </c>
      <c r="U2" s="46">
        <v>28980</v>
      </c>
      <c r="V2" s="46">
        <v>0</v>
      </c>
      <c r="W2" s="46">
        <v>0</v>
      </c>
      <c r="X2" s="46">
        <v>0</v>
      </c>
      <c r="Y2" s="46">
        <v>0</v>
      </c>
      <c r="Z2" s="46">
        <v>0</v>
      </c>
      <c r="AA2" s="46">
        <v>0</v>
      </c>
      <c r="AB2" s="46">
        <v>3000</v>
      </c>
      <c r="AC2" s="46">
        <v>7000</v>
      </c>
      <c r="AD2" s="46">
        <v>6000</v>
      </c>
      <c r="AE2" s="46">
        <v>9000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3300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5000</v>
      </c>
      <c r="AV2" s="46">
        <v>0</v>
      </c>
      <c r="AW2" s="46">
        <v>0</v>
      </c>
      <c r="AX2" s="46">
        <v>0</v>
      </c>
      <c r="AY2" s="46">
        <v>7000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6000</v>
      </c>
      <c r="BI2" s="40">
        <v>0</v>
      </c>
    </row>
    <row r="3" spans="1:61">
      <c r="A3" s="40" t="str">
        <v>F1</v>
      </c>
      <c r="B3" s="46">
        <v>4320.9140625</v>
      </c>
      <c r="C3" s="96">
        <v>9.790154507842928E-3</v>
      </c>
      <c r="D3" s="46">
        <v>353.434977</v>
      </c>
      <c r="E3" s="46">
        <v>5.5224215156250001</v>
      </c>
      <c r="F3" s="46">
        <v>748.60554792777361</v>
      </c>
      <c r="G3" s="46">
        <v>0</v>
      </c>
      <c r="H3" s="46">
        <v>0</v>
      </c>
      <c r="I3" s="46">
        <v>0</v>
      </c>
      <c r="J3" s="46">
        <v>0</v>
      </c>
      <c r="K3" s="40">
        <v>0</v>
      </c>
      <c r="L3" s="40">
        <v>0</v>
      </c>
      <c r="M3" s="40">
        <v>468.75</v>
      </c>
      <c r="N3" s="40">
        <v>25</v>
      </c>
      <c r="O3" s="40">
        <v>0</v>
      </c>
      <c r="P3" s="40">
        <v>458.734375</v>
      </c>
      <c r="Q3" s="40">
        <v>0</v>
      </c>
      <c r="R3" s="40">
        <v>2360</v>
      </c>
      <c r="S3" s="40">
        <v>103.125</v>
      </c>
      <c r="T3" s="40">
        <v>156.25</v>
      </c>
      <c r="U3" s="40">
        <v>452.8125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46.875</v>
      </c>
      <c r="AC3" s="40">
        <v>109.375</v>
      </c>
      <c r="AD3" s="40">
        <v>93.75</v>
      </c>
      <c r="AE3" s="40">
        <v>140.625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51.5625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78.125</v>
      </c>
      <c r="AV3" s="40">
        <v>0</v>
      </c>
      <c r="AW3" s="40">
        <v>0</v>
      </c>
      <c r="AX3" s="40">
        <v>0</v>
      </c>
      <c r="AY3" s="40">
        <v>109.375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93.75</v>
      </c>
      <c r="BI3" s="46">
        <v>5496.7149229277738</v>
      </c>
    </row>
    <row r="4" spans="1:61">
      <c r="A4" s="40" t="str">
        <v>F2</v>
      </c>
      <c r="B4" s="46">
        <v>17020.4140625</v>
      </c>
      <c r="C4" s="96">
        <v>3.856417439668474E-2</v>
      </c>
      <c r="D4" s="46">
        <v>471.24663600000002</v>
      </c>
      <c r="E4" s="46">
        <v>5.5224215156250001</v>
      </c>
      <c r="F4" s="46">
        <v>2011.6231985036777</v>
      </c>
      <c r="G4" s="46">
        <v>0</v>
      </c>
      <c r="H4" s="46">
        <v>0</v>
      </c>
      <c r="I4" s="46">
        <v>0</v>
      </c>
      <c r="J4" s="46">
        <v>0</v>
      </c>
      <c r="K4" s="40">
        <v>0</v>
      </c>
      <c r="L4" s="40">
        <v>0</v>
      </c>
      <c r="M4" s="40">
        <v>468.75</v>
      </c>
      <c r="N4" s="40">
        <v>25</v>
      </c>
      <c r="O4" s="40">
        <v>0</v>
      </c>
      <c r="P4" s="40">
        <v>458.734375</v>
      </c>
      <c r="Q4" s="40">
        <v>0</v>
      </c>
      <c r="R4" s="40">
        <v>2360</v>
      </c>
      <c r="S4" s="40">
        <v>103.125</v>
      </c>
      <c r="T4" s="40">
        <v>156.25</v>
      </c>
      <c r="U4" s="40">
        <v>452.8125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46.875</v>
      </c>
      <c r="AC4" s="40">
        <v>109.375</v>
      </c>
      <c r="AD4" s="40">
        <v>93.75</v>
      </c>
      <c r="AE4" s="40">
        <v>140.625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51.5625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78.125</v>
      </c>
      <c r="AV4" s="40">
        <v>0</v>
      </c>
      <c r="AW4" s="40">
        <v>0</v>
      </c>
      <c r="AX4" s="40">
        <v>0</v>
      </c>
      <c r="AY4" s="40">
        <v>109.375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93.75</v>
      </c>
      <c r="BI4" s="46">
        <v>6759.7325735036775</v>
      </c>
    </row>
    <row r="5" spans="1:61">
      <c r="A5" s="40" t="str">
        <v>F3</v>
      </c>
      <c r="B5" s="46">
        <v>17240.4140625</v>
      </c>
      <c r="C5" s="96">
        <v>3.9062641610003786E-2</v>
      </c>
      <c r="D5" s="46">
        <v>471.24663600000002</v>
      </c>
      <c r="E5" s="46">
        <v>5.5224215156250001</v>
      </c>
      <c r="F5" s="46">
        <v>2031.4621935937757</v>
      </c>
      <c r="G5" s="46">
        <v>750</v>
      </c>
      <c r="H5" s="46">
        <v>0</v>
      </c>
      <c r="I5" s="46">
        <v>0</v>
      </c>
      <c r="J5" s="46">
        <v>0</v>
      </c>
      <c r="K5" s="40">
        <v>0</v>
      </c>
      <c r="L5" s="40">
        <v>0</v>
      </c>
      <c r="M5" s="40">
        <v>468.75</v>
      </c>
      <c r="N5" s="40">
        <v>25</v>
      </c>
      <c r="O5" s="40">
        <v>0</v>
      </c>
      <c r="P5" s="40">
        <v>458.734375</v>
      </c>
      <c r="Q5" s="40">
        <v>0</v>
      </c>
      <c r="R5" s="40">
        <v>2360</v>
      </c>
      <c r="S5" s="40">
        <v>103.125</v>
      </c>
      <c r="T5" s="40">
        <v>156.25</v>
      </c>
      <c r="U5" s="40">
        <v>452.8125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46.875</v>
      </c>
      <c r="AC5" s="40">
        <v>109.375</v>
      </c>
      <c r="AD5" s="40">
        <v>93.75</v>
      </c>
      <c r="AE5" s="40">
        <v>140.625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51.5625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78.125</v>
      </c>
      <c r="AV5" s="40">
        <v>0</v>
      </c>
      <c r="AW5" s="40">
        <v>0</v>
      </c>
      <c r="AX5" s="40">
        <v>0</v>
      </c>
      <c r="AY5" s="40">
        <v>109.375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93.75</v>
      </c>
      <c r="BI5" s="46">
        <v>6779.5715685937757</v>
      </c>
    </row>
    <row r="6" spans="1:61">
      <c r="A6" s="40" t="str">
        <v>F4</v>
      </c>
      <c r="B6" s="46">
        <v>3644.9140625</v>
      </c>
      <c r="C6" s="96">
        <v>8.2585007069171396E-3</v>
      </c>
      <c r="D6" s="46">
        <v>471.24663600000002</v>
      </c>
      <c r="E6" s="46">
        <v>5.5224215156250001</v>
      </c>
      <c r="F6" s="46">
        <v>805.45738565092711</v>
      </c>
      <c r="G6" s="46">
        <v>0</v>
      </c>
      <c r="H6" s="46">
        <v>0</v>
      </c>
      <c r="I6" s="46">
        <v>0</v>
      </c>
      <c r="J6" s="46">
        <v>0</v>
      </c>
      <c r="K6" s="40">
        <v>0</v>
      </c>
      <c r="L6" s="40">
        <v>0</v>
      </c>
      <c r="M6" s="40">
        <v>468.75</v>
      </c>
      <c r="N6" s="40">
        <v>25</v>
      </c>
      <c r="O6" s="40">
        <v>0</v>
      </c>
      <c r="P6" s="40">
        <v>458.734375</v>
      </c>
      <c r="Q6" s="40">
        <v>0</v>
      </c>
      <c r="R6" s="40">
        <v>2360</v>
      </c>
      <c r="S6" s="40">
        <v>103.125</v>
      </c>
      <c r="T6" s="40">
        <v>156.25</v>
      </c>
      <c r="U6" s="40">
        <v>452.8125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46.875</v>
      </c>
      <c r="AC6" s="40">
        <v>109.375</v>
      </c>
      <c r="AD6" s="40">
        <v>93.75</v>
      </c>
      <c r="AE6" s="40">
        <v>140.625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51.5625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78.125</v>
      </c>
      <c r="AV6" s="40">
        <v>0</v>
      </c>
      <c r="AW6" s="40">
        <v>0</v>
      </c>
      <c r="AX6" s="40">
        <v>0</v>
      </c>
      <c r="AY6" s="40">
        <v>109.375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93.75</v>
      </c>
      <c r="BI6" s="46">
        <v>5553.5667606509269</v>
      </c>
    </row>
    <row r="7" spans="1:61">
      <c r="A7" s="40" t="str">
        <v>F5</v>
      </c>
      <c r="B7" s="46">
        <v>724.4140625</v>
      </c>
      <c r="C7" s="96">
        <v>1.6413484501068307E-3</v>
      </c>
      <c r="D7" s="46">
        <v>353.434977</v>
      </c>
      <c r="E7" s="46">
        <v>5.5224215156250001</v>
      </c>
      <c r="F7" s="46">
        <v>424.28306682987687</v>
      </c>
      <c r="G7" s="46">
        <v>0</v>
      </c>
      <c r="H7" s="46">
        <v>0</v>
      </c>
      <c r="I7" s="46">
        <v>0</v>
      </c>
      <c r="J7" s="46">
        <v>0</v>
      </c>
      <c r="K7" s="40">
        <v>0</v>
      </c>
      <c r="L7" s="40">
        <v>0</v>
      </c>
      <c r="M7" s="40">
        <v>468.75</v>
      </c>
      <c r="N7" s="40">
        <v>25</v>
      </c>
      <c r="O7" s="40">
        <v>0</v>
      </c>
      <c r="P7" s="40">
        <v>458.734375</v>
      </c>
      <c r="Q7" s="40">
        <v>0</v>
      </c>
      <c r="R7" s="40">
        <v>2360</v>
      </c>
      <c r="S7" s="40">
        <v>103.125</v>
      </c>
      <c r="T7" s="40">
        <v>156.25</v>
      </c>
      <c r="U7" s="40">
        <v>452.8125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46.875</v>
      </c>
      <c r="AC7" s="40">
        <v>109.375</v>
      </c>
      <c r="AD7" s="40">
        <v>93.75</v>
      </c>
      <c r="AE7" s="40">
        <v>140.625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51.5625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78.125</v>
      </c>
      <c r="AV7" s="40">
        <v>0</v>
      </c>
      <c r="AW7" s="40">
        <v>0</v>
      </c>
      <c r="AX7" s="40">
        <v>0</v>
      </c>
      <c r="AY7" s="40">
        <v>109.375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93.75</v>
      </c>
      <c r="BI7" s="46">
        <v>5172.3924418298766</v>
      </c>
    </row>
    <row r="8" spans="1:61">
      <c r="A8" s="40" t="str">
        <v>F6</v>
      </c>
      <c r="B8" s="46">
        <v>3971.4140625</v>
      </c>
      <c r="C8" s="96">
        <v>8.9982713666838104E-3</v>
      </c>
      <c r="D8" s="46">
        <v>353.434977</v>
      </c>
      <c r="E8" s="46">
        <v>5.5224215156250001</v>
      </c>
      <c r="F8" s="46">
        <v>717.08859890964072</v>
      </c>
      <c r="G8" s="46">
        <v>0</v>
      </c>
      <c r="H8" s="46">
        <v>0</v>
      </c>
      <c r="I8" s="46">
        <v>0</v>
      </c>
      <c r="J8" s="46">
        <v>0</v>
      </c>
      <c r="K8" s="40">
        <v>0</v>
      </c>
      <c r="L8" s="40">
        <v>0</v>
      </c>
      <c r="M8" s="40">
        <v>468.75</v>
      </c>
      <c r="N8" s="40">
        <v>25</v>
      </c>
      <c r="O8" s="40">
        <v>0</v>
      </c>
      <c r="P8" s="40">
        <v>458.734375</v>
      </c>
      <c r="Q8" s="40">
        <v>0</v>
      </c>
      <c r="R8" s="40">
        <v>2360</v>
      </c>
      <c r="S8" s="40">
        <v>103.125</v>
      </c>
      <c r="T8" s="40">
        <v>156.25</v>
      </c>
      <c r="U8" s="40">
        <v>452.8125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46.875</v>
      </c>
      <c r="AC8" s="40">
        <v>109.375</v>
      </c>
      <c r="AD8" s="40">
        <v>93.75</v>
      </c>
      <c r="AE8" s="40">
        <v>140.625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51.5625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78.125</v>
      </c>
      <c r="AV8" s="40">
        <v>0</v>
      </c>
      <c r="AW8" s="40">
        <v>0</v>
      </c>
      <c r="AX8" s="40">
        <v>0</v>
      </c>
      <c r="AY8" s="40">
        <v>109.375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93.75</v>
      </c>
      <c r="BI8" s="46">
        <v>5465.1979739096405</v>
      </c>
    </row>
    <row r="9" spans="1:61">
      <c r="A9" s="40" t="str">
        <v>F7</v>
      </c>
      <c r="B9" s="46">
        <v>904.4140625</v>
      </c>
      <c r="C9" s="96">
        <v>2.0491852610042302E-3</v>
      </c>
      <c r="D9" s="46">
        <v>353.434977</v>
      </c>
      <c r="E9" s="46">
        <v>5.5224215156250001</v>
      </c>
      <c r="F9" s="46">
        <v>440.51497190359339</v>
      </c>
      <c r="G9" s="46">
        <v>750</v>
      </c>
      <c r="H9" s="46">
        <v>0</v>
      </c>
      <c r="I9" s="46">
        <v>0</v>
      </c>
      <c r="J9" s="46">
        <v>0</v>
      </c>
      <c r="K9" s="40">
        <v>0</v>
      </c>
      <c r="L9" s="40">
        <v>0</v>
      </c>
      <c r="M9" s="40">
        <v>468.75</v>
      </c>
      <c r="N9" s="40">
        <v>25</v>
      </c>
      <c r="O9" s="40">
        <v>0</v>
      </c>
      <c r="P9" s="40">
        <v>458.734375</v>
      </c>
      <c r="Q9" s="40">
        <v>0</v>
      </c>
      <c r="R9" s="40">
        <v>2360</v>
      </c>
      <c r="S9" s="40">
        <v>103.125</v>
      </c>
      <c r="T9" s="40">
        <v>156.25</v>
      </c>
      <c r="U9" s="40">
        <v>452.8125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46.875</v>
      </c>
      <c r="AC9" s="40">
        <v>109.375</v>
      </c>
      <c r="AD9" s="40">
        <v>93.75</v>
      </c>
      <c r="AE9" s="40">
        <v>140.625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51.5625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78.125</v>
      </c>
      <c r="AV9" s="40">
        <v>0</v>
      </c>
      <c r="AW9" s="40">
        <v>0</v>
      </c>
      <c r="AX9" s="40">
        <v>0</v>
      </c>
      <c r="AY9" s="40">
        <v>109.375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93.75</v>
      </c>
      <c r="BI9" s="46">
        <v>5188.6243469035935</v>
      </c>
    </row>
    <row r="10" spans="1:61">
      <c r="A10" s="40" t="str">
        <v>F8</v>
      </c>
      <c r="B10" s="46">
        <v>157.4140625</v>
      </c>
      <c r="C10" s="96">
        <v>3.566624957800219E-4</v>
      </c>
      <c r="D10" s="46">
        <v>353.434977</v>
      </c>
      <c r="E10" s="46">
        <v>5.5224215156250001</v>
      </c>
      <c r="F10" s="46">
        <v>373.15256584766985</v>
      </c>
      <c r="G10" s="46">
        <v>0</v>
      </c>
      <c r="H10" s="46">
        <v>0</v>
      </c>
      <c r="I10" s="46">
        <v>0</v>
      </c>
      <c r="J10" s="46">
        <v>0</v>
      </c>
      <c r="K10" s="40">
        <v>0</v>
      </c>
      <c r="L10" s="40">
        <v>0</v>
      </c>
      <c r="M10" s="40">
        <v>468.75</v>
      </c>
      <c r="N10" s="40">
        <v>25</v>
      </c>
      <c r="O10" s="40">
        <v>0</v>
      </c>
      <c r="P10" s="40">
        <v>458.734375</v>
      </c>
      <c r="Q10" s="40">
        <v>0</v>
      </c>
      <c r="R10" s="40">
        <v>2360</v>
      </c>
      <c r="S10" s="40">
        <v>103.125</v>
      </c>
      <c r="T10" s="40">
        <v>156.25</v>
      </c>
      <c r="U10" s="40">
        <v>452.8125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46.875</v>
      </c>
      <c r="AC10" s="40">
        <v>109.375</v>
      </c>
      <c r="AD10" s="40">
        <v>93.75</v>
      </c>
      <c r="AE10" s="40">
        <v>140.625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51.5625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78.125</v>
      </c>
      <c r="AV10" s="40">
        <v>0</v>
      </c>
      <c r="AW10" s="40">
        <v>0</v>
      </c>
      <c r="AX10" s="40">
        <v>0</v>
      </c>
      <c r="AY10" s="40">
        <v>109.375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93.75</v>
      </c>
      <c r="BI10" s="46">
        <v>5121.2619408476694</v>
      </c>
    </row>
    <row r="11" spans="1:61">
      <c r="A11" s="40" t="str">
        <v>F9</v>
      </c>
      <c r="B11" s="46">
        <v>2316.9140625</v>
      </c>
      <c r="C11" s="96">
        <v>5.2495713465185462E-3</v>
      </c>
      <c r="D11" s="46">
        <v>471.24663600000002</v>
      </c>
      <c r="E11" s="46">
        <v>5.5224215156250001</v>
      </c>
      <c r="F11" s="46">
        <v>685.70199710706311</v>
      </c>
      <c r="G11" s="46">
        <v>0</v>
      </c>
      <c r="H11" s="46">
        <v>0</v>
      </c>
      <c r="I11" s="46">
        <v>0</v>
      </c>
      <c r="J11" s="46">
        <v>0</v>
      </c>
      <c r="K11" s="40">
        <v>0</v>
      </c>
      <c r="L11" s="40">
        <v>0</v>
      </c>
      <c r="M11" s="40">
        <v>468.75</v>
      </c>
      <c r="N11" s="40">
        <v>25</v>
      </c>
      <c r="O11" s="40">
        <v>0</v>
      </c>
      <c r="P11" s="40">
        <v>458.734375</v>
      </c>
      <c r="Q11" s="40">
        <v>0</v>
      </c>
      <c r="R11" s="40">
        <v>2360</v>
      </c>
      <c r="S11" s="40">
        <v>103.125</v>
      </c>
      <c r="T11" s="40">
        <v>156.25</v>
      </c>
      <c r="U11" s="40">
        <v>452.8125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46.875</v>
      </c>
      <c r="AC11" s="40">
        <v>109.375</v>
      </c>
      <c r="AD11" s="40">
        <v>93.75</v>
      </c>
      <c r="AE11" s="40">
        <v>140.625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51.5625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78.125</v>
      </c>
      <c r="AV11" s="40">
        <v>0</v>
      </c>
      <c r="AW11" s="40">
        <v>0</v>
      </c>
      <c r="AX11" s="40">
        <v>0</v>
      </c>
      <c r="AY11" s="40">
        <v>109.375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93.75</v>
      </c>
      <c r="BI11" s="46">
        <v>5433.8113721070631</v>
      </c>
    </row>
    <row r="12" spans="1:61">
      <c r="A12" s="40" t="str">
        <v>F10</v>
      </c>
      <c r="B12" s="46">
        <v>3229.9140625</v>
      </c>
      <c r="C12" s="96">
        <v>7.3182102817925783E-3</v>
      </c>
      <c r="D12" s="46">
        <v>353.434977</v>
      </c>
      <c r="E12" s="46">
        <v>5.5224215156250001</v>
      </c>
      <c r="F12" s="46">
        <v>650.22216773096966</v>
      </c>
      <c r="G12" s="46">
        <v>0</v>
      </c>
      <c r="H12" s="46">
        <v>0</v>
      </c>
      <c r="I12" s="46">
        <v>0</v>
      </c>
      <c r="J12" s="46">
        <v>0</v>
      </c>
      <c r="K12" s="40">
        <v>0</v>
      </c>
      <c r="L12" s="40">
        <v>0</v>
      </c>
      <c r="M12" s="40">
        <v>468.75</v>
      </c>
      <c r="N12" s="40">
        <v>25</v>
      </c>
      <c r="O12" s="40">
        <v>0</v>
      </c>
      <c r="P12" s="40">
        <v>458.734375</v>
      </c>
      <c r="Q12" s="40">
        <v>0</v>
      </c>
      <c r="R12" s="40">
        <v>2360</v>
      </c>
      <c r="S12" s="40">
        <v>103.125</v>
      </c>
      <c r="T12" s="40">
        <v>156.25</v>
      </c>
      <c r="U12" s="40">
        <v>452.8125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46.875</v>
      </c>
      <c r="AC12" s="40">
        <v>109.375</v>
      </c>
      <c r="AD12" s="40">
        <v>93.75</v>
      </c>
      <c r="AE12" s="40">
        <v>140.625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51.5625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78.125</v>
      </c>
      <c r="AV12" s="40">
        <v>0</v>
      </c>
      <c r="AW12" s="40">
        <v>0</v>
      </c>
      <c r="AX12" s="40">
        <v>0</v>
      </c>
      <c r="AY12" s="40">
        <v>109.375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93.75</v>
      </c>
      <c r="BI12" s="46">
        <v>5398.3315427309699</v>
      </c>
    </row>
    <row r="13" spans="1:61">
      <c r="A13" s="40" t="str">
        <v>F11</v>
      </c>
      <c r="B13" s="46">
        <v>1229.4140625</v>
      </c>
      <c r="C13" s="96">
        <v>2.7855572806800904E-3</v>
      </c>
      <c r="D13" s="46">
        <v>353.434977</v>
      </c>
      <c r="E13" s="46">
        <v>5.5224215156250001</v>
      </c>
      <c r="F13" s="46">
        <v>469.82257828669259</v>
      </c>
      <c r="G13" s="46">
        <v>0</v>
      </c>
      <c r="H13" s="46">
        <v>0</v>
      </c>
      <c r="I13" s="46">
        <v>0</v>
      </c>
      <c r="J13" s="46">
        <v>0</v>
      </c>
      <c r="K13" s="40">
        <v>0</v>
      </c>
      <c r="L13" s="40">
        <v>0</v>
      </c>
      <c r="M13" s="40">
        <v>468.75</v>
      </c>
      <c r="N13" s="40">
        <v>25</v>
      </c>
      <c r="O13" s="40">
        <v>0</v>
      </c>
      <c r="P13" s="40">
        <v>458.734375</v>
      </c>
      <c r="Q13" s="40">
        <v>0</v>
      </c>
      <c r="R13" s="40">
        <v>2360</v>
      </c>
      <c r="S13" s="40">
        <v>103.125</v>
      </c>
      <c r="T13" s="40">
        <v>156.25</v>
      </c>
      <c r="U13" s="40">
        <v>452.8125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46.875</v>
      </c>
      <c r="AC13" s="40">
        <v>109.375</v>
      </c>
      <c r="AD13" s="40">
        <v>93.75</v>
      </c>
      <c r="AE13" s="40">
        <v>140.625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51.5625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78.125</v>
      </c>
      <c r="AV13" s="40">
        <v>0</v>
      </c>
      <c r="AW13" s="40">
        <v>0</v>
      </c>
      <c r="AX13" s="40">
        <v>0</v>
      </c>
      <c r="AY13" s="40">
        <v>109.375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93.75</v>
      </c>
      <c r="BI13" s="46">
        <v>5217.9319532866921</v>
      </c>
    </row>
    <row r="14" spans="1:61">
      <c r="A14" s="40" t="str">
        <v>F12</v>
      </c>
      <c r="B14" s="46">
        <v>10.4140625</v>
      </c>
      <c r="C14" s="96">
        <v>2.3595766880478893E-5</v>
      </c>
      <c r="D14" s="46">
        <v>353.434977</v>
      </c>
      <c r="E14" s="46">
        <v>5.5224215156250001</v>
      </c>
      <c r="F14" s="46">
        <v>359.89651003746809</v>
      </c>
      <c r="G14" s="46">
        <v>0</v>
      </c>
      <c r="H14" s="46">
        <v>0</v>
      </c>
      <c r="I14" s="46">
        <v>0</v>
      </c>
      <c r="J14" s="46">
        <v>0</v>
      </c>
      <c r="K14" s="40">
        <v>0</v>
      </c>
      <c r="L14" s="40">
        <v>0</v>
      </c>
      <c r="M14" s="40">
        <v>468.75</v>
      </c>
      <c r="N14" s="40">
        <v>25</v>
      </c>
      <c r="O14" s="40">
        <v>0</v>
      </c>
      <c r="P14" s="40">
        <v>458.734375</v>
      </c>
      <c r="Q14" s="40">
        <v>0</v>
      </c>
      <c r="R14" s="40">
        <v>2360</v>
      </c>
      <c r="S14" s="40">
        <v>103.125</v>
      </c>
      <c r="T14" s="40">
        <v>156.25</v>
      </c>
      <c r="U14" s="40">
        <v>452.8125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46.875</v>
      </c>
      <c r="AC14" s="40">
        <v>109.375</v>
      </c>
      <c r="AD14" s="40">
        <v>93.75</v>
      </c>
      <c r="AE14" s="40">
        <v>140.625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51.5625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78.125</v>
      </c>
      <c r="AV14" s="40">
        <v>0</v>
      </c>
      <c r="AW14" s="40">
        <v>0</v>
      </c>
      <c r="AX14" s="40">
        <v>0</v>
      </c>
      <c r="AY14" s="40">
        <v>109.375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93.75</v>
      </c>
      <c r="BI14" s="46">
        <v>5108.005885037468</v>
      </c>
    </row>
    <row r="15" spans="1:61">
      <c r="A15" s="40" t="str">
        <v>F13</v>
      </c>
      <c r="B15" s="46">
        <v>11209.4140625</v>
      </c>
      <c r="C15" s="96">
        <v>2.5397842684880358E-2</v>
      </c>
      <c r="D15" s="46">
        <v>471.24663600000002</v>
      </c>
      <c r="E15" s="46">
        <v>5.5224215156250001</v>
      </c>
      <c r="F15" s="46">
        <v>1487.6031963738633</v>
      </c>
      <c r="G15" s="46">
        <v>0</v>
      </c>
      <c r="H15" s="46">
        <v>0</v>
      </c>
      <c r="I15" s="46">
        <v>0</v>
      </c>
      <c r="J15" s="46">
        <v>0</v>
      </c>
      <c r="K15" s="40">
        <v>0</v>
      </c>
      <c r="L15" s="40">
        <v>0</v>
      </c>
      <c r="M15" s="40">
        <v>468.75</v>
      </c>
      <c r="N15" s="40">
        <v>25</v>
      </c>
      <c r="O15" s="40">
        <v>0</v>
      </c>
      <c r="P15" s="40">
        <v>458.734375</v>
      </c>
      <c r="Q15" s="40">
        <v>0</v>
      </c>
      <c r="R15" s="40">
        <v>2360</v>
      </c>
      <c r="S15" s="40">
        <v>103.125</v>
      </c>
      <c r="T15" s="40">
        <v>156.25</v>
      </c>
      <c r="U15" s="40">
        <v>452.8125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46.875</v>
      </c>
      <c r="AC15" s="40">
        <v>109.375</v>
      </c>
      <c r="AD15" s="40">
        <v>93.75</v>
      </c>
      <c r="AE15" s="40">
        <v>140.625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51.5625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78.125</v>
      </c>
      <c r="AV15" s="40">
        <v>0</v>
      </c>
      <c r="AW15" s="40">
        <v>0</v>
      </c>
      <c r="AX15" s="40">
        <v>0</v>
      </c>
      <c r="AY15" s="40">
        <v>109.375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93.75</v>
      </c>
      <c r="BI15" s="46">
        <v>6235.7125713738633</v>
      </c>
    </row>
    <row r="16" spans="1:61">
      <c r="A16" s="40" t="str">
        <v>F14</v>
      </c>
      <c r="B16" s="46">
        <v>2372.4140625</v>
      </c>
      <c r="C16" s="96">
        <v>5.3753210298785777E-3</v>
      </c>
      <c r="D16" s="46">
        <v>471.24663600000002</v>
      </c>
      <c r="E16" s="46">
        <v>5.5224215156250001</v>
      </c>
      <c r="F16" s="46">
        <v>690.70683450479237</v>
      </c>
      <c r="G16" s="46">
        <v>0</v>
      </c>
      <c r="H16" s="46">
        <v>0</v>
      </c>
      <c r="I16" s="46">
        <v>0</v>
      </c>
      <c r="J16" s="46">
        <v>0</v>
      </c>
      <c r="K16" s="40">
        <v>0</v>
      </c>
      <c r="L16" s="40">
        <v>0</v>
      </c>
      <c r="M16" s="40">
        <v>468.75</v>
      </c>
      <c r="N16" s="40">
        <v>25</v>
      </c>
      <c r="O16" s="40">
        <v>0</v>
      </c>
      <c r="P16" s="40">
        <v>458.734375</v>
      </c>
      <c r="Q16" s="40">
        <v>0</v>
      </c>
      <c r="R16" s="40">
        <v>2360</v>
      </c>
      <c r="S16" s="40">
        <v>103.125</v>
      </c>
      <c r="T16" s="40">
        <v>156.25</v>
      </c>
      <c r="U16" s="40">
        <v>452.8125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46.875</v>
      </c>
      <c r="AC16" s="40">
        <v>109.375</v>
      </c>
      <c r="AD16" s="40">
        <v>93.75</v>
      </c>
      <c r="AE16" s="40">
        <v>140.625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51.5625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78.125</v>
      </c>
      <c r="AV16" s="40">
        <v>0</v>
      </c>
      <c r="AW16" s="40">
        <v>0</v>
      </c>
      <c r="AX16" s="40">
        <v>0</v>
      </c>
      <c r="AY16" s="40">
        <v>109.375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93.75</v>
      </c>
      <c r="BI16" s="46">
        <v>5438.8162095047919</v>
      </c>
    </row>
    <row r="17" spans="1:61">
      <c r="A17" s="40" t="str">
        <v>F15</v>
      </c>
      <c r="B17" s="46">
        <v>5673.9140625</v>
      </c>
      <c r="C17" s="96">
        <v>1.2855727869755048E-2</v>
      </c>
      <c r="D17" s="46">
        <v>471.24663600000002</v>
      </c>
      <c r="E17" s="46">
        <v>5.5224215156250001</v>
      </c>
      <c r="F17" s="46">
        <v>988.42702673187591</v>
      </c>
      <c r="G17" s="46">
        <v>750</v>
      </c>
      <c r="H17" s="46">
        <v>0</v>
      </c>
      <c r="I17" s="46">
        <v>0</v>
      </c>
      <c r="J17" s="46">
        <v>0</v>
      </c>
      <c r="K17" s="40">
        <v>0</v>
      </c>
      <c r="L17" s="40">
        <v>0</v>
      </c>
      <c r="M17" s="40">
        <v>468.75</v>
      </c>
      <c r="N17" s="40">
        <v>25</v>
      </c>
      <c r="O17" s="40">
        <v>0</v>
      </c>
      <c r="P17" s="40">
        <v>458.734375</v>
      </c>
      <c r="Q17" s="40">
        <v>0</v>
      </c>
      <c r="R17" s="40">
        <v>2360</v>
      </c>
      <c r="S17" s="40">
        <v>103.125</v>
      </c>
      <c r="T17" s="40">
        <v>156.25</v>
      </c>
      <c r="U17" s="40">
        <v>452.8125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46.875</v>
      </c>
      <c r="AC17" s="40">
        <v>109.375</v>
      </c>
      <c r="AD17" s="40">
        <v>93.75</v>
      </c>
      <c r="AE17" s="40">
        <v>140.625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51.5625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78.125</v>
      </c>
      <c r="AV17" s="40">
        <v>0</v>
      </c>
      <c r="AW17" s="40">
        <v>0</v>
      </c>
      <c r="AX17" s="40">
        <v>0</v>
      </c>
      <c r="AY17" s="40">
        <v>109.375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93.75</v>
      </c>
      <c r="BI17" s="46">
        <v>5736.5364017318761</v>
      </c>
    </row>
    <row r="18" spans="1:61">
      <c r="A18" s="40" t="str">
        <v>F16</v>
      </c>
      <c r="B18" s="46">
        <v>12841.4140625</v>
      </c>
      <c r="C18" s="96">
        <v>2.9095563103683445E-2</v>
      </c>
      <c r="D18" s="46">
        <v>353.434977</v>
      </c>
      <c r="E18" s="46">
        <v>5.5224215156250001</v>
      </c>
      <c r="F18" s="46">
        <v>1516.9608100422261</v>
      </c>
      <c r="G18" s="46">
        <v>0</v>
      </c>
      <c r="H18" s="46">
        <v>0</v>
      </c>
      <c r="I18" s="46">
        <v>0</v>
      </c>
      <c r="J18" s="46">
        <v>0</v>
      </c>
      <c r="K18" s="40">
        <v>0</v>
      </c>
      <c r="L18" s="40">
        <v>0</v>
      </c>
      <c r="M18" s="40">
        <v>468.75</v>
      </c>
      <c r="N18" s="40">
        <v>25</v>
      </c>
      <c r="O18" s="40">
        <v>0</v>
      </c>
      <c r="P18" s="40">
        <v>458.734375</v>
      </c>
      <c r="Q18" s="40">
        <v>0</v>
      </c>
      <c r="R18" s="40">
        <v>2360</v>
      </c>
      <c r="S18" s="40">
        <v>103.125</v>
      </c>
      <c r="T18" s="40">
        <v>156.25</v>
      </c>
      <c r="U18" s="40">
        <v>452.8125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46.875</v>
      </c>
      <c r="AC18" s="40">
        <v>109.375</v>
      </c>
      <c r="AD18" s="40">
        <v>93.75</v>
      </c>
      <c r="AE18" s="40">
        <v>140.625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51.5625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78.125</v>
      </c>
      <c r="AV18" s="40">
        <v>0</v>
      </c>
      <c r="AW18" s="40">
        <v>0</v>
      </c>
      <c r="AX18" s="40">
        <v>0</v>
      </c>
      <c r="AY18" s="40">
        <v>109.375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93.75</v>
      </c>
      <c r="BI18" s="46">
        <v>6265.0701850422265</v>
      </c>
    </row>
    <row r="19" spans="1:61">
      <c r="A19" s="40" t="str">
        <v>G1</v>
      </c>
      <c r="B19" s="46">
        <v>10364.9140625</v>
      </c>
      <c r="C19" s="96">
        <v>2.348440831375339E-2</v>
      </c>
      <c r="D19" s="46">
        <v>353.434977</v>
      </c>
      <c r="E19" s="46">
        <v>5.5224215156250001</v>
      </c>
      <c r="F19" s="46">
        <v>1293.6368494030098</v>
      </c>
      <c r="G19" s="46">
        <v>0</v>
      </c>
      <c r="H19" s="46">
        <v>0</v>
      </c>
      <c r="I19" s="46">
        <v>0</v>
      </c>
      <c r="J19" s="46">
        <v>0</v>
      </c>
      <c r="K19" s="40">
        <v>0</v>
      </c>
      <c r="L19" s="40">
        <v>0</v>
      </c>
      <c r="M19" s="40">
        <v>468.75</v>
      </c>
      <c r="N19" s="40">
        <v>25</v>
      </c>
      <c r="O19" s="40">
        <v>0</v>
      </c>
      <c r="P19" s="40">
        <v>458.734375</v>
      </c>
      <c r="Q19" s="40">
        <v>0</v>
      </c>
      <c r="R19" s="40">
        <v>2360</v>
      </c>
      <c r="S19" s="40">
        <v>103.125</v>
      </c>
      <c r="T19" s="40">
        <v>156.25</v>
      </c>
      <c r="U19" s="40">
        <v>452.8125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46.875</v>
      </c>
      <c r="AC19" s="40">
        <v>109.375</v>
      </c>
      <c r="AD19" s="40">
        <v>93.75</v>
      </c>
      <c r="AE19" s="40">
        <v>140.625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51.5625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78.125</v>
      </c>
      <c r="AV19" s="40">
        <v>0</v>
      </c>
      <c r="AW19" s="40">
        <v>0</v>
      </c>
      <c r="AX19" s="40">
        <v>0</v>
      </c>
      <c r="AY19" s="40">
        <v>109.375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93.75</v>
      </c>
      <c r="BI19" s="46">
        <v>6041.7462244030103</v>
      </c>
    </row>
    <row r="20" spans="1:61">
      <c r="A20" s="40" t="str">
        <v>G2</v>
      </c>
      <c r="B20" s="46">
        <v>13905.9140625</v>
      </c>
      <c r="C20" s="96">
        <v>3.1507464688129455E-2</v>
      </c>
      <c r="D20" s="46">
        <v>471.24663600000002</v>
      </c>
      <c r="E20" s="46">
        <v>5.5224215156250001</v>
      </c>
      <c r="F20" s="46">
        <v>1730.7661521031773</v>
      </c>
      <c r="G20" s="46">
        <v>0</v>
      </c>
      <c r="H20" s="46">
        <v>0</v>
      </c>
      <c r="I20" s="46">
        <v>0</v>
      </c>
      <c r="J20" s="46">
        <v>0</v>
      </c>
      <c r="K20" s="40">
        <v>0</v>
      </c>
      <c r="L20" s="40">
        <v>0</v>
      </c>
      <c r="M20" s="40">
        <v>468.75</v>
      </c>
      <c r="N20" s="40">
        <v>25</v>
      </c>
      <c r="O20" s="40">
        <v>0</v>
      </c>
      <c r="P20" s="40">
        <v>458.734375</v>
      </c>
      <c r="Q20" s="40">
        <v>0</v>
      </c>
      <c r="R20" s="40">
        <v>2360</v>
      </c>
      <c r="S20" s="40">
        <v>103.125</v>
      </c>
      <c r="T20" s="40">
        <v>156.25</v>
      </c>
      <c r="U20" s="40">
        <v>452.8125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46.875</v>
      </c>
      <c r="AC20" s="40">
        <v>109.375</v>
      </c>
      <c r="AD20" s="40">
        <v>93.75</v>
      </c>
      <c r="AE20" s="40">
        <v>140.625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51.5625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78.125</v>
      </c>
      <c r="AV20" s="40">
        <v>0</v>
      </c>
      <c r="AW20" s="40">
        <v>0</v>
      </c>
      <c r="AX20" s="40">
        <v>0</v>
      </c>
      <c r="AY20" s="40">
        <v>109.375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93.75</v>
      </c>
      <c r="BI20" s="46">
        <v>6478.8755271031769</v>
      </c>
    </row>
    <row r="21" spans="1:61">
      <c r="A21" s="40" t="str">
        <v>G3</v>
      </c>
      <c r="B21" s="46">
        <v>14779.9140625</v>
      </c>
      <c r="C21" s="96">
        <v>3.3487738981042382E-2</v>
      </c>
      <c r="D21" s="46">
        <v>471.24663600000002</v>
      </c>
      <c r="E21" s="46">
        <v>5.5224215156250001</v>
      </c>
      <c r="F21" s="46">
        <v>1809.5810689611119</v>
      </c>
      <c r="G21" s="46">
        <v>0</v>
      </c>
      <c r="H21" s="46">
        <v>0</v>
      </c>
      <c r="I21" s="46">
        <v>0</v>
      </c>
      <c r="J21" s="46">
        <v>0</v>
      </c>
      <c r="K21" s="40">
        <v>0</v>
      </c>
      <c r="L21" s="40">
        <v>0</v>
      </c>
      <c r="M21" s="40">
        <v>468.75</v>
      </c>
      <c r="N21" s="40">
        <v>25</v>
      </c>
      <c r="O21" s="40">
        <v>0</v>
      </c>
      <c r="P21" s="40">
        <v>458.734375</v>
      </c>
      <c r="Q21" s="40">
        <v>0</v>
      </c>
      <c r="R21" s="40">
        <v>2360</v>
      </c>
      <c r="S21" s="40">
        <v>103.125</v>
      </c>
      <c r="T21" s="40">
        <v>156.25</v>
      </c>
      <c r="U21" s="40">
        <v>452.8125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46.875</v>
      </c>
      <c r="AC21" s="40">
        <v>109.375</v>
      </c>
      <c r="AD21" s="40">
        <v>93.75</v>
      </c>
      <c r="AE21" s="40">
        <v>140.625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51.5625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78.125</v>
      </c>
      <c r="AV21" s="40">
        <v>0</v>
      </c>
      <c r="AW21" s="40">
        <v>0</v>
      </c>
      <c r="AX21" s="40">
        <v>0</v>
      </c>
      <c r="AY21" s="40">
        <v>109.375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93.75</v>
      </c>
      <c r="BI21" s="46">
        <v>6557.6904439611117</v>
      </c>
    </row>
    <row r="22" spans="1:61">
      <c r="A22" s="40" t="str">
        <v>G4</v>
      </c>
      <c r="B22" s="46">
        <v>20584.9140625</v>
      </c>
      <c r="C22" s="96">
        <v>4.6640476132483524E-2</v>
      </c>
      <c r="D22" s="46">
        <v>471.24663600000002</v>
      </c>
      <c r="E22" s="46">
        <v>5.5224215156250001</v>
      </c>
      <c r="F22" s="46">
        <v>2333.060007588469</v>
      </c>
      <c r="G22" s="46">
        <v>0</v>
      </c>
      <c r="H22" s="46">
        <v>0</v>
      </c>
      <c r="I22" s="46">
        <v>0</v>
      </c>
      <c r="J22" s="46">
        <v>0</v>
      </c>
      <c r="K22" s="40">
        <v>0</v>
      </c>
      <c r="L22" s="40">
        <v>0</v>
      </c>
      <c r="M22" s="40">
        <v>468.75</v>
      </c>
      <c r="N22" s="40">
        <v>25</v>
      </c>
      <c r="O22" s="40">
        <v>0</v>
      </c>
      <c r="P22" s="40">
        <v>458.734375</v>
      </c>
      <c r="Q22" s="40">
        <v>0</v>
      </c>
      <c r="R22" s="40">
        <v>2360</v>
      </c>
      <c r="S22" s="40">
        <v>103.125</v>
      </c>
      <c r="T22" s="40">
        <v>156.25</v>
      </c>
      <c r="U22" s="40">
        <v>452.8125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46.875</v>
      </c>
      <c r="AC22" s="40">
        <v>109.375</v>
      </c>
      <c r="AD22" s="40">
        <v>93.75</v>
      </c>
      <c r="AE22" s="40">
        <v>140.625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51.5625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78.125</v>
      </c>
      <c r="AV22" s="40">
        <v>0</v>
      </c>
      <c r="AW22" s="40">
        <v>0</v>
      </c>
      <c r="AX22" s="40">
        <v>0</v>
      </c>
      <c r="AY22" s="40">
        <v>109.375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93.75</v>
      </c>
      <c r="BI22" s="46">
        <v>7081.1693825884686</v>
      </c>
    </row>
    <row r="23" spans="1:61">
      <c r="A23" s="40" t="str">
        <v>G5</v>
      </c>
      <c r="B23" s="46">
        <v>4312.4140625</v>
      </c>
      <c r="C23" s="96">
        <v>9.7708955473283284E-3</v>
      </c>
      <c r="D23" s="46">
        <v>353.434977</v>
      </c>
      <c r="E23" s="46">
        <v>5.5224215156250001</v>
      </c>
      <c r="F23" s="46">
        <v>747.83904129929249</v>
      </c>
      <c r="G23" s="46">
        <v>0</v>
      </c>
      <c r="H23" s="46">
        <v>0</v>
      </c>
      <c r="I23" s="46">
        <v>0</v>
      </c>
      <c r="J23" s="46">
        <v>0</v>
      </c>
      <c r="K23" s="40">
        <v>0</v>
      </c>
      <c r="L23" s="40">
        <v>0</v>
      </c>
      <c r="M23" s="40">
        <v>468.75</v>
      </c>
      <c r="N23" s="40">
        <v>25</v>
      </c>
      <c r="O23" s="40">
        <v>0</v>
      </c>
      <c r="P23" s="40">
        <v>458.734375</v>
      </c>
      <c r="Q23" s="40">
        <v>0</v>
      </c>
      <c r="R23" s="40">
        <v>2360</v>
      </c>
      <c r="S23" s="40">
        <v>103.125</v>
      </c>
      <c r="T23" s="40">
        <v>156.25</v>
      </c>
      <c r="U23" s="40">
        <v>452.8125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46.875</v>
      </c>
      <c r="AC23" s="40">
        <v>109.375</v>
      </c>
      <c r="AD23" s="40">
        <v>93.75</v>
      </c>
      <c r="AE23" s="40">
        <v>140.625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51.5625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78.125</v>
      </c>
      <c r="AV23" s="40">
        <v>0</v>
      </c>
      <c r="AW23" s="40">
        <v>0</v>
      </c>
      <c r="AX23" s="40">
        <v>0</v>
      </c>
      <c r="AY23" s="40">
        <v>109.375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93.75</v>
      </c>
      <c r="BI23" s="46">
        <v>5495.9484162992921</v>
      </c>
    </row>
    <row r="24" spans="1:61">
      <c r="A24" s="40" t="str">
        <v>G6</v>
      </c>
      <c r="B24" s="46">
        <v>7482.4140625</v>
      </c>
      <c r="C24" s="96">
        <v>1.6953354939243645E-2</v>
      </c>
      <c r="D24" s="46">
        <v>353.434977</v>
      </c>
      <c r="E24" s="46">
        <v>5.5224215156250001</v>
      </c>
      <c r="F24" s="46">
        <v>1033.700925097522</v>
      </c>
      <c r="G24" s="46">
        <v>0</v>
      </c>
      <c r="H24" s="46">
        <v>0</v>
      </c>
      <c r="I24" s="46">
        <v>0</v>
      </c>
      <c r="J24" s="46">
        <v>0</v>
      </c>
      <c r="K24" s="40">
        <v>0</v>
      </c>
      <c r="L24" s="40">
        <v>0</v>
      </c>
      <c r="M24" s="40">
        <v>468.75</v>
      </c>
      <c r="N24" s="40">
        <v>25</v>
      </c>
      <c r="O24" s="40">
        <v>0</v>
      </c>
      <c r="P24" s="40">
        <v>458.734375</v>
      </c>
      <c r="Q24" s="40">
        <v>0</v>
      </c>
      <c r="R24" s="40">
        <v>2360</v>
      </c>
      <c r="S24" s="40">
        <v>103.125</v>
      </c>
      <c r="T24" s="40">
        <v>156.25</v>
      </c>
      <c r="U24" s="40">
        <v>452.8125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46.875</v>
      </c>
      <c r="AC24" s="40">
        <v>109.375</v>
      </c>
      <c r="AD24" s="40">
        <v>93.75</v>
      </c>
      <c r="AE24" s="40">
        <v>140.625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51.5625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78.125</v>
      </c>
      <c r="AV24" s="40">
        <v>0</v>
      </c>
      <c r="AW24" s="40">
        <v>0</v>
      </c>
      <c r="AX24" s="40">
        <v>0</v>
      </c>
      <c r="AY24" s="40">
        <v>109.375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93.75</v>
      </c>
      <c r="BI24" s="46">
        <v>5781.8103000975225</v>
      </c>
    </row>
    <row r="25" spans="1:61">
      <c r="A25" s="40" t="str">
        <v>G7</v>
      </c>
      <c r="B25" s="46">
        <v>5851.9140625</v>
      </c>
      <c r="C25" s="96">
        <v>1.3259033160531366E-2</v>
      </c>
      <c r="D25" s="46">
        <v>353.434977</v>
      </c>
      <c r="E25" s="46">
        <v>5.5224215156250001</v>
      </c>
      <c r="F25" s="46">
        <v>886.66691830477328</v>
      </c>
      <c r="G25" s="46">
        <v>0</v>
      </c>
      <c r="H25" s="46">
        <v>0</v>
      </c>
      <c r="I25" s="46">
        <v>0</v>
      </c>
      <c r="J25" s="46">
        <v>0</v>
      </c>
      <c r="K25" s="40">
        <v>0</v>
      </c>
      <c r="L25" s="40">
        <v>0</v>
      </c>
      <c r="M25" s="40">
        <v>468.75</v>
      </c>
      <c r="N25" s="40">
        <v>25</v>
      </c>
      <c r="O25" s="40">
        <v>0</v>
      </c>
      <c r="P25" s="40">
        <v>458.734375</v>
      </c>
      <c r="Q25" s="40">
        <v>0</v>
      </c>
      <c r="R25" s="40">
        <v>2360</v>
      </c>
      <c r="S25" s="40">
        <v>103.125</v>
      </c>
      <c r="T25" s="40">
        <v>156.25</v>
      </c>
      <c r="U25" s="40">
        <v>452.8125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46.875</v>
      </c>
      <c r="AC25" s="40">
        <v>109.375</v>
      </c>
      <c r="AD25" s="40">
        <v>93.75</v>
      </c>
      <c r="AE25" s="40">
        <v>140.625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51.5625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78.125</v>
      </c>
      <c r="AV25" s="40">
        <v>0</v>
      </c>
      <c r="AW25" s="40">
        <v>0</v>
      </c>
      <c r="AX25" s="40">
        <v>0</v>
      </c>
      <c r="AY25" s="40">
        <v>109.375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93.75</v>
      </c>
      <c r="BI25" s="46">
        <v>5634.7762933047734</v>
      </c>
    </row>
    <row r="26" spans="1:61">
      <c r="A26" s="40" t="str">
        <v>G8</v>
      </c>
      <c r="B26" s="46">
        <v>9424.4140625</v>
      </c>
      <c r="C26" s="96">
        <v>2.1353460976814478E-2</v>
      </c>
      <c r="D26" s="46">
        <v>353.434977</v>
      </c>
      <c r="E26" s="46">
        <v>5.5224215156250001</v>
      </c>
      <c r="F26" s="46">
        <v>1208.825145392841</v>
      </c>
      <c r="G26" s="46">
        <v>0</v>
      </c>
      <c r="H26" s="46">
        <v>0</v>
      </c>
      <c r="I26" s="46">
        <v>0</v>
      </c>
      <c r="J26" s="46">
        <v>0</v>
      </c>
      <c r="K26" s="40">
        <v>0</v>
      </c>
      <c r="L26" s="40">
        <v>0</v>
      </c>
      <c r="M26" s="40">
        <v>468.75</v>
      </c>
      <c r="N26" s="40">
        <v>25</v>
      </c>
      <c r="O26" s="40">
        <v>0</v>
      </c>
      <c r="P26" s="40">
        <v>458.734375</v>
      </c>
      <c r="Q26" s="40">
        <v>0</v>
      </c>
      <c r="R26" s="40">
        <v>2360</v>
      </c>
      <c r="S26" s="40">
        <v>103.125</v>
      </c>
      <c r="T26" s="40">
        <v>156.25</v>
      </c>
      <c r="U26" s="40">
        <v>452.8125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46.875</v>
      </c>
      <c r="AC26" s="40">
        <v>109.375</v>
      </c>
      <c r="AD26" s="40">
        <v>93.75</v>
      </c>
      <c r="AE26" s="40">
        <v>140.625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51.5625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78.125</v>
      </c>
      <c r="AV26" s="40">
        <v>0</v>
      </c>
      <c r="AW26" s="40">
        <v>0</v>
      </c>
      <c r="AX26" s="40">
        <v>0</v>
      </c>
      <c r="AY26" s="40">
        <v>109.375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93.75</v>
      </c>
      <c r="BI26" s="46">
        <v>5956.9345203928406</v>
      </c>
    </row>
    <row r="27" spans="1:61">
      <c r="A27" s="40" t="str">
        <v>G9</v>
      </c>
      <c r="B27" s="46">
        <v>5837.4140625</v>
      </c>
      <c r="C27" s="96">
        <v>1.322617963965352E-2</v>
      </c>
      <c r="D27" s="46">
        <v>589.05829500000004</v>
      </c>
      <c r="E27" s="46">
        <v>5.5224215156250001</v>
      </c>
      <c r="F27" s="46">
        <v>1120.9826661738352</v>
      </c>
      <c r="G27" s="46">
        <v>0</v>
      </c>
      <c r="H27" s="46">
        <v>0</v>
      </c>
      <c r="I27" s="46">
        <v>0</v>
      </c>
      <c r="J27" s="46">
        <v>0</v>
      </c>
      <c r="K27" s="40">
        <v>0</v>
      </c>
      <c r="L27" s="40">
        <v>0</v>
      </c>
      <c r="M27" s="40">
        <v>468.75</v>
      </c>
      <c r="N27" s="40">
        <v>25</v>
      </c>
      <c r="O27" s="40">
        <v>0</v>
      </c>
      <c r="P27" s="40">
        <v>458.734375</v>
      </c>
      <c r="Q27" s="40">
        <v>0</v>
      </c>
      <c r="R27" s="40">
        <v>2360</v>
      </c>
      <c r="S27" s="40">
        <v>103.125</v>
      </c>
      <c r="T27" s="40">
        <v>156.25</v>
      </c>
      <c r="U27" s="40">
        <v>452.8125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46.875</v>
      </c>
      <c r="AC27" s="40">
        <v>109.375</v>
      </c>
      <c r="AD27" s="40">
        <v>93.75</v>
      </c>
      <c r="AE27" s="40">
        <v>140.625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51.5625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78.125</v>
      </c>
      <c r="AV27" s="40">
        <v>0</v>
      </c>
      <c r="AW27" s="40">
        <v>0</v>
      </c>
      <c r="AX27" s="40">
        <v>0</v>
      </c>
      <c r="AY27" s="40">
        <v>109.375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93.75</v>
      </c>
      <c r="BI27" s="46">
        <v>5869.0920411738352</v>
      </c>
    </row>
    <row r="28" spans="1:61">
      <c r="A28" s="40" t="str">
        <v>G10</v>
      </c>
      <c r="B28" s="46">
        <v>9988.4140625</v>
      </c>
      <c r="C28" s="96">
        <v>2.2631349650959663E-2</v>
      </c>
      <c r="D28" s="46">
        <v>353.434977</v>
      </c>
      <c r="E28" s="46">
        <v>5.5224215156250001</v>
      </c>
      <c r="F28" s="46">
        <v>1259.6851146238196</v>
      </c>
      <c r="G28" s="46">
        <v>0</v>
      </c>
      <c r="H28" s="46">
        <v>0</v>
      </c>
      <c r="I28" s="46">
        <v>0</v>
      </c>
      <c r="J28" s="46">
        <v>0</v>
      </c>
      <c r="K28" s="40">
        <v>0</v>
      </c>
      <c r="L28" s="40">
        <v>0</v>
      </c>
      <c r="M28" s="40">
        <v>468.75</v>
      </c>
      <c r="N28" s="40">
        <v>25</v>
      </c>
      <c r="O28" s="40">
        <v>0</v>
      </c>
      <c r="P28" s="40">
        <v>458.734375</v>
      </c>
      <c r="Q28" s="40">
        <v>0</v>
      </c>
      <c r="R28" s="40">
        <v>2360</v>
      </c>
      <c r="S28" s="40">
        <v>103.125</v>
      </c>
      <c r="T28" s="40">
        <v>156.25</v>
      </c>
      <c r="U28" s="40">
        <v>452.8125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46.875</v>
      </c>
      <c r="AC28" s="40">
        <v>109.375</v>
      </c>
      <c r="AD28" s="40">
        <v>93.75</v>
      </c>
      <c r="AE28" s="40">
        <v>140.625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51.5625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78.125</v>
      </c>
      <c r="AV28" s="40">
        <v>0</v>
      </c>
      <c r="AW28" s="40">
        <v>0</v>
      </c>
      <c r="AX28" s="40">
        <v>0</v>
      </c>
      <c r="AY28" s="40">
        <v>109.375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93.75</v>
      </c>
      <c r="BI28" s="46">
        <v>6007.7944896238196</v>
      </c>
    </row>
    <row r="29" spans="1:61">
      <c r="A29" s="40" t="str">
        <v>G11</v>
      </c>
      <c r="B29" s="46">
        <v>2990.9140625</v>
      </c>
      <c r="C29" s="96">
        <v>6.7766936273232535E-3</v>
      </c>
      <c r="D29" s="46">
        <v>353.434977</v>
      </c>
      <c r="E29" s="46">
        <v>5.5224215156250001</v>
      </c>
      <c r="F29" s="46">
        <v>628.66980488309059</v>
      </c>
      <c r="G29" s="46">
        <v>0</v>
      </c>
      <c r="H29" s="46">
        <v>0</v>
      </c>
      <c r="I29" s="46">
        <v>0</v>
      </c>
      <c r="J29" s="46">
        <v>0</v>
      </c>
      <c r="K29" s="40">
        <v>0</v>
      </c>
      <c r="L29" s="40">
        <v>0</v>
      </c>
      <c r="M29" s="40">
        <v>468.75</v>
      </c>
      <c r="N29" s="40">
        <v>25</v>
      </c>
      <c r="O29" s="40">
        <v>0</v>
      </c>
      <c r="P29" s="40">
        <v>458.734375</v>
      </c>
      <c r="Q29" s="40">
        <v>0</v>
      </c>
      <c r="R29" s="40">
        <v>2360</v>
      </c>
      <c r="S29" s="40">
        <v>103.125</v>
      </c>
      <c r="T29" s="40">
        <v>156.25</v>
      </c>
      <c r="U29" s="40">
        <v>452.8125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46.875</v>
      </c>
      <c r="AC29" s="40">
        <v>109.375</v>
      </c>
      <c r="AD29" s="40">
        <v>93.75</v>
      </c>
      <c r="AE29" s="40">
        <v>140.625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51.5625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78.125</v>
      </c>
      <c r="AV29" s="40">
        <v>0</v>
      </c>
      <c r="AW29" s="40">
        <v>0</v>
      </c>
      <c r="AX29" s="40">
        <v>0</v>
      </c>
      <c r="AY29" s="40">
        <v>109.375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93.75</v>
      </c>
      <c r="BI29" s="46">
        <v>5376.7791798830904</v>
      </c>
    </row>
    <row r="30" spans="1:61">
      <c r="A30" s="40" t="str">
        <v>G12</v>
      </c>
      <c r="B30" s="46">
        <v>11232.9140625</v>
      </c>
      <c r="C30" s="96">
        <v>2.5451088046303073E-2</v>
      </c>
      <c r="D30" s="46">
        <v>353.434977</v>
      </c>
      <c r="E30" s="46">
        <v>5.5224215156250001</v>
      </c>
      <c r="F30" s="46">
        <v>1371.9107027584873</v>
      </c>
      <c r="G30" s="46">
        <v>0</v>
      </c>
      <c r="H30" s="46">
        <v>0</v>
      </c>
      <c r="I30" s="46">
        <v>0</v>
      </c>
      <c r="J30" s="46">
        <v>0</v>
      </c>
      <c r="K30" s="40">
        <v>0</v>
      </c>
      <c r="L30" s="40">
        <v>0</v>
      </c>
      <c r="M30" s="40">
        <v>468.75</v>
      </c>
      <c r="N30" s="40">
        <v>25</v>
      </c>
      <c r="O30" s="40">
        <v>0</v>
      </c>
      <c r="P30" s="40">
        <v>458.734375</v>
      </c>
      <c r="Q30" s="40">
        <v>0</v>
      </c>
      <c r="R30" s="40">
        <v>2360</v>
      </c>
      <c r="S30" s="40">
        <v>103.125</v>
      </c>
      <c r="T30" s="40">
        <v>156.25</v>
      </c>
      <c r="U30" s="40">
        <v>452.8125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46.875</v>
      </c>
      <c r="AC30" s="40">
        <v>109.375</v>
      </c>
      <c r="AD30" s="40">
        <v>93.75</v>
      </c>
      <c r="AE30" s="40">
        <v>140.625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51.5625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78.125</v>
      </c>
      <c r="AV30" s="40">
        <v>0</v>
      </c>
      <c r="AW30" s="40">
        <v>0</v>
      </c>
      <c r="AX30" s="40">
        <v>0</v>
      </c>
      <c r="AY30" s="40">
        <v>109.375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93.75</v>
      </c>
      <c r="BI30" s="46">
        <v>6120.0200777584869</v>
      </c>
    </row>
    <row r="31" spans="1:61">
      <c r="A31" s="40" t="str">
        <v>G13</v>
      </c>
      <c r="B31" s="46">
        <v>7763.9140625</v>
      </c>
      <c r="C31" s="96">
        <v>1.7591166396285968E-2</v>
      </c>
      <c r="D31" s="46">
        <v>471.24663600000002</v>
      </c>
      <c r="E31" s="46">
        <v>5.5224215156250001</v>
      </c>
      <c r="F31" s="46">
        <v>1176.8974800878066</v>
      </c>
      <c r="G31" s="46">
        <v>0</v>
      </c>
      <c r="H31" s="46">
        <v>0</v>
      </c>
      <c r="I31" s="46">
        <v>0</v>
      </c>
      <c r="J31" s="46">
        <v>0</v>
      </c>
      <c r="K31" s="40">
        <v>0</v>
      </c>
      <c r="L31" s="40">
        <v>0</v>
      </c>
      <c r="M31" s="40">
        <v>468.75</v>
      </c>
      <c r="N31" s="40">
        <v>25</v>
      </c>
      <c r="O31" s="40">
        <v>0</v>
      </c>
      <c r="P31" s="40">
        <v>458.734375</v>
      </c>
      <c r="Q31" s="40">
        <v>0</v>
      </c>
      <c r="R31" s="40">
        <v>2360</v>
      </c>
      <c r="S31" s="40">
        <v>103.125</v>
      </c>
      <c r="T31" s="40">
        <v>156.25</v>
      </c>
      <c r="U31" s="40">
        <v>452.8125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46.875</v>
      </c>
      <c r="AC31" s="40">
        <v>109.375</v>
      </c>
      <c r="AD31" s="40">
        <v>93.75</v>
      </c>
      <c r="AE31" s="40">
        <v>140.625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51.5625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78.125</v>
      </c>
      <c r="AV31" s="40">
        <v>0</v>
      </c>
      <c r="AW31" s="40">
        <v>0</v>
      </c>
      <c r="AX31" s="40">
        <v>0</v>
      </c>
      <c r="AY31" s="40">
        <v>109.375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93.75</v>
      </c>
      <c r="BI31" s="46">
        <v>5925.0068550878068</v>
      </c>
    </row>
    <row r="32" spans="1:61">
      <c r="A32" s="40" t="str">
        <v>G14</v>
      </c>
      <c r="B32" s="46">
        <v>6269.4140625</v>
      </c>
      <c r="C32" s="96">
        <v>1.4204987985807278E-2</v>
      </c>
      <c r="D32" s="46">
        <v>471.24663600000002</v>
      </c>
      <c r="E32" s="46">
        <v>5.5224215156250001</v>
      </c>
      <c r="F32" s="46">
        <v>1042.1275793507546</v>
      </c>
      <c r="G32" s="46">
        <v>0</v>
      </c>
      <c r="H32" s="46">
        <v>0</v>
      </c>
      <c r="I32" s="46">
        <v>0</v>
      </c>
      <c r="J32" s="46">
        <v>0</v>
      </c>
      <c r="K32" s="40">
        <v>0</v>
      </c>
      <c r="L32" s="40">
        <v>0</v>
      </c>
      <c r="M32" s="40">
        <v>468.75</v>
      </c>
      <c r="N32" s="40">
        <v>25</v>
      </c>
      <c r="O32" s="40">
        <v>0</v>
      </c>
      <c r="P32" s="40">
        <v>458.734375</v>
      </c>
      <c r="Q32" s="40">
        <v>0</v>
      </c>
      <c r="R32" s="40">
        <v>2360</v>
      </c>
      <c r="S32" s="40">
        <v>103.125</v>
      </c>
      <c r="T32" s="40">
        <v>156.25</v>
      </c>
      <c r="U32" s="40">
        <v>452.8125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46.875</v>
      </c>
      <c r="AC32" s="40">
        <v>109.375</v>
      </c>
      <c r="AD32" s="40">
        <v>93.75</v>
      </c>
      <c r="AE32" s="40">
        <v>140.625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51.5625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78.125</v>
      </c>
      <c r="AV32" s="40">
        <v>0</v>
      </c>
      <c r="AW32" s="40">
        <v>0</v>
      </c>
      <c r="AX32" s="40">
        <v>0</v>
      </c>
      <c r="AY32" s="40">
        <v>109.375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93.75</v>
      </c>
      <c r="BI32" s="46">
        <v>5790.2369543507548</v>
      </c>
    </row>
    <row r="33" spans="1:61">
      <c r="A33" s="40" t="str">
        <v>G15</v>
      </c>
      <c r="B33" s="46">
        <v>8.9140625</v>
      </c>
      <c r="C33" s="96">
        <v>2.0197126789667229E-5</v>
      </c>
      <c r="D33" s="46">
        <v>471.24663600000002</v>
      </c>
      <c r="E33" s="46">
        <v>5.5224215156250001</v>
      </c>
      <c r="F33" s="46">
        <v>477.57290316185379</v>
      </c>
      <c r="G33" s="46">
        <v>0</v>
      </c>
      <c r="H33" s="46">
        <v>0</v>
      </c>
      <c r="I33" s="46">
        <v>0</v>
      </c>
      <c r="J33" s="46">
        <v>0</v>
      </c>
      <c r="K33" s="40">
        <v>0</v>
      </c>
      <c r="L33" s="40">
        <v>0</v>
      </c>
      <c r="M33" s="40">
        <v>468.75</v>
      </c>
      <c r="N33" s="40">
        <v>25</v>
      </c>
      <c r="O33" s="40">
        <v>0</v>
      </c>
      <c r="P33" s="40">
        <v>458.734375</v>
      </c>
      <c r="Q33" s="40">
        <v>0</v>
      </c>
      <c r="R33" s="40">
        <v>2360</v>
      </c>
      <c r="S33" s="40">
        <v>103.125</v>
      </c>
      <c r="T33" s="40">
        <v>156.25</v>
      </c>
      <c r="U33" s="40">
        <v>452.8125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46.875</v>
      </c>
      <c r="AC33" s="40">
        <v>109.375</v>
      </c>
      <c r="AD33" s="40">
        <v>93.75</v>
      </c>
      <c r="AE33" s="40">
        <v>140.625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51.5625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78.125</v>
      </c>
      <c r="AV33" s="40">
        <v>0</v>
      </c>
      <c r="AW33" s="40">
        <v>0</v>
      </c>
      <c r="AX33" s="40">
        <v>0</v>
      </c>
      <c r="AY33" s="40">
        <v>109.375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93.75</v>
      </c>
      <c r="BI33" s="46">
        <v>5225.6822781618539</v>
      </c>
    </row>
    <row r="34" spans="1:61">
      <c r="A34" s="40" t="str">
        <v>G16</v>
      </c>
      <c r="B34" s="46">
        <v>2110.4140625</v>
      </c>
      <c r="C34" s="96">
        <v>4.781691894016807E-3</v>
      </c>
      <c r="D34" s="46">
        <v>353.434977</v>
      </c>
      <c r="E34" s="46">
        <v>5.5224215156250001</v>
      </c>
      <c r="F34" s="46">
        <v>549.26873589749391</v>
      </c>
      <c r="G34" s="46">
        <v>0</v>
      </c>
      <c r="H34" s="46">
        <v>0</v>
      </c>
      <c r="I34" s="46">
        <v>0</v>
      </c>
      <c r="J34" s="46">
        <v>0</v>
      </c>
      <c r="K34" s="40">
        <v>0</v>
      </c>
      <c r="L34" s="40">
        <v>0</v>
      </c>
      <c r="M34" s="40">
        <v>468.75</v>
      </c>
      <c r="N34" s="40">
        <v>25</v>
      </c>
      <c r="O34" s="40">
        <v>0</v>
      </c>
      <c r="P34" s="40">
        <v>458.734375</v>
      </c>
      <c r="Q34" s="40">
        <v>0</v>
      </c>
      <c r="R34" s="40">
        <v>2360</v>
      </c>
      <c r="S34" s="40">
        <v>103.125</v>
      </c>
      <c r="T34" s="40">
        <v>156.25</v>
      </c>
      <c r="U34" s="40">
        <v>452.8125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46.875</v>
      </c>
      <c r="AC34" s="40">
        <v>109.375</v>
      </c>
      <c r="AD34" s="40">
        <v>93.75</v>
      </c>
      <c r="AE34" s="40">
        <v>140.625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51.5625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78.125</v>
      </c>
      <c r="AV34" s="40">
        <v>0</v>
      </c>
      <c r="AW34" s="40">
        <v>0</v>
      </c>
      <c r="AX34" s="40">
        <v>0</v>
      </c>
      <c r="AY34" s="40">
        <v>109.375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93.75</v>
      </c>
      <c r="BI34" s="46">
        <v>5297.3781108974945</v>
      </c>
    </row>
    <row r="35" spans="1:61">
      <c r="A35" s="40" t="str">
        <v>S1</v>
      </c>
      <c r="B35" s="46">
        <v>784.4140625</v>
      </c>
      <c r="C35" s="96">
        <v>1.7772940537392971E-3</v>
      </c>
      <c r="D35" s="46">
        <v>353.434977</v>
      </c>
      <c r="E35" s="46">
        <v>5.5224215156250001</v>
      </c>
      <c r="F35" s="46">
        <v>429.69370185444905</v>
      </c>
      <c r="G35" s="46">
        <v>0</v>
      </c>
      <c r="H35" s="46">
        <v>0</v>
      </c>
      <c r="I35" s="46">
        <v>0</v>
      </c>
      <c r="J35" s="46">
        <v>0</v>
      </c>
      <c r="K35" s="40">
        <v>0</v>
      </c>
      <c r="L35" s="40">
        <v>0</v>
      </c>
      <c r="M35" s="40">
        <v>468.75</v>
      </c>
      <c r="N35" s="40">
        <v>25</v>
      </c>
      <c r="O35" s="40">
        <v>0</v>
      </c>
      <c r="P35" s="40">
        <v>458.734375</v>
      </c>
      <c r="Q35" s="40">
        <v>0</v>
      </c>
      <c r="R35" s="40">
        <v>2360</v>
      </c>
      <c r="S35" s="40">
        <v>103.125</v>
      </c>
      <c r="T35" s="40">
        <v>156.25</v>
      </c>
      <c r="U35" s="40">
        <v>452.8125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46.875</v>
      </c>
      <c r="AC35" s="40">
        <v>109.375</v>
      </c>
      <c r="AD35" s="40">
        <v>93.75</v>
      </c>
      <c r="AE35" s="40">
        <v>140.625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51.5625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78.125</v>
      </c>
      <c r="AV35" s="40">
        <v>0</v>
      </c>
      <c r="AW35" s="40">
        <v>0</v>
      </c>
      <c r="AX35" s="40">
        <v>0</v>
      </c>
      <c r="AY35" s="40">
        <v>109.375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93.75</v>
      </c>
      <c r="BI35" s="46">
        <v>5177.8030768544486</v>
      </c>
    </row>
    <row r="36" spans="1:61">
      <c r="A36" s="40" t="str">
        <v>S2</v>
      </c>
      <c r="B36" s="46">
        <v>34111.9140625</v>
      </c>
      <c r="C36" s="96">
        <v>7.7289412471423097E-2</v>
      </c>
      <c r="D36" s="46">
        <v>471.24663600000002</v>
      </c>
      <c r="E36" s="46">
        <v>5.5224215156250001</v>
      </c>
      <c r="F36" s="46">
        <v>3552.8876738782642</v>
      </c>
      <c r="G36" s="46">
        <v>0</v>
      </c>
      <c r="H36" s="46">
        <v>0</v>
      </c>
      <c r="I36" s="46">
        <v>0</v>
      </c>
      <c r="J36" s="46">
        <v>0</v>
      </c>
      <c r="K36" s="40">
        <v>0</v>
      </c>
      <c r="L36" s="40">
        <v>0</v>
      </c>
      <c r="M36" s="40">
        <v>468.75</v>
      </c>
      <c r="N36" s="40">
        <v>25</v>
      </c>
      <c r="O36" s="40">
        <v>0</v>
      </c>
      <c r="P36" s="40">
        <v>458.734375</v>
      </c>
      <c r="Q36" s="40">
        <v>0</v>
      </c>
      <c r="R36" s="40">
        <v>2360</v>
      </c>
      <c r="S36" s="40">
        <v>103.125</v>
      </c>
      <c r="T36" s="40">
        <v>156.25</v>
      </c>
      <c r="U36" s="40">
        <v>452.8125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46.875</v>
      </c>
      <c r="AC36" s="40">
        <v>109.375</v>
      </c>
      <c r="AD36" s="40">
        <v>93.75</v>
      </c>
      <c r="AE36" s="40">
        <v>140.625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51.5625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78.125</v>
      </c>
      <c r="AV36" s="40">
        <v>0</v>
      </c>
      <c r="AW36" s="40">
        <v>0</v>
      </c>
      <c r="AX36" s="40">
        <v>0</v>
      </c>
      <c r="AY36" s="40">
        <v>109.375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93.75</v>
      </c>
      <c r="BI36" s="46">
        <v>8300.9970488782637</v>
      </c>
    </row>
    <row r="37" spans="1:61">
      <c r="A37" s="40" t="str">
        <v>S3</v>
      </c>
      <c r="B37" s="46">
        <v>2577.9140625</v>
      </c>
      <c r="C37" s="96">
        <v>5.8409347223197759E-3</v>
      </c>
      <c r="D37" s="46">
        <v>471.24663600000002</v>
      </c>
      <c r="E37" s="46">
        <v>5.5224215156250001</v>
      </c>
      <c r="F37" s="46">
        <v>709.23825946395209</v>
      </c>
      <c r="G37" s="46">
        <v>0</v>
      </c>
      <c r="H37" s="46">
        <v>0</v>
      </c>
      <c r="I37" s="46">
        <v>0</v>
      </c>
      <c r="J37" s="46">
        <v>0</v>
      </c>
      <c r="K37" s="40">
        <v>0</v>
      </c>
      <c r="L37" s="40">
        <v>0</v>
      </c>
      <c r="M37" s="40">
        <v>468.75</v>
      </c>
      <c r="N37" s="40">
        <v>25</v>
      </c>
      <c r="O37" s="40">
        <v>0</v>
      </c>
      <c r="P37" s="40">
        <v>458.734375</v>
      </c>
      <c r="Q37" s="40">
        <v>0</v>
      </c>
      <c r="R37" s="40">
        <v>2360</v>
      </c>
      <c r="S37" s="40">
        <v>103.125</v>
      </c>
      <c r="T37" s="40">
        <v>156.25</v>
      </c>
      <c r="U37" s="40">
        <v>452.8125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46.875</v>
      </c>
      <c r="AC37" s="40">
        <v>109.375</v>
      </c>
      <c r="AD37" s="40">
        <v>93.75</v>
      </c>
      <c r="AE37" s="40">
        <v>140.625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51.5625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78.125</v>
      </c>
      <c r="AV37" s="40">
        <v>0</v>
      </c>
      <c r="AW37" s="40">
        <v>0</v>
      </c>
      <c r="AX37" s="40">
        <v>0</v>
      </c>
      <c r="AY37" s="40">
        <v>109.375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93.75</v>
      </c>
      <c r="BI37" s="46">
        <v>5457.3476344639521</v>
      </c>
    </row>
    <row r="38" spans="1:61">
      <c r="A38" s="40" t="str">
        <v>S4</v>
      </c>
      <c r="B38" s="46">
        <v>2026.9140625</v>
      </c>
      <c r="C38" s="96">
        <v>4.5925009289616249E-3</v>
      </c>
      <c r="D38" s="46">
        <v>353.434977</v>
      </c>
      <c r="E38" s="46">
        <v>5.5224215156250001</v>
      </c>
      <c r="F38" s="46">
        <v>541.73893548829767</v>
      </c>
      <c r="G38" s="46">
        <v>0</v>
      </c>
      <c r="H38" s="46">
        <v>0</v>
      </c>
      <c r="I38" s="46">
        <v>0</v>
      </c>
      <c r="J38" s="46">
        <v>0</v>
      </c>
      <c r="K38" s="40">
        <v>0</v>
      </c>
      <c r="L38" s="40">
        <v>0</v>
      </c>
      <c r="M38" s="40">
        <v>468.75</v>
      </c>
      <c r="N38" s="40">
        <v>25</v>
      </c>
      <c r="O38" s="40">
        <v>0</v>
      </c>
      <c r="P38" s="40">
        <v>458.734375</v>
      </c>
      <c r="Q38" s="40">
        <v>0</v>
      </c>
      <c r="R38" s="40">
        <v>2360</v>
      </c>
      <c r="S38" s="40">
        <v>103.125</v>
      </c>
      <c r="T38" s="40">
        <v>156.25</v>
      </c>
      <c r="U38" s="40">
        <v>452.8125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46.875</v>
      </c>
      <c r="AC38" s="40">
        <v>109.375</v>
      </c>
      <c r="AD38" s="40">
        <v>93.75</v>
      </c>
      <c r="AE38" s="40">
        <v>140.625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51.5625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78.125</v>
      </c>
      <c r="AV38" s="40">
        <v>0</v>
      </c>
      <c r="AW38" s="40">
        <v>0</v>
      </c>
      <c r="AX38" s="40">
        <v>0</v>
      </c>
      <c r="AY38" s="40">
        <v>109.375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93.75</v>
      </c>
      <c r="BI38" s="46">
        <v>5289.848310488298</v>
      </c>
    </row>
    <row r="39" spans="1:61">
      <c r="A39" s="40" t="str">
        <v>S5</v>
      </c>
      <c r="B39" s="46">
        <v>8225.9140625</v>
      </c>
      <c r="C39" s="96">
        <v>1.8637947544255958E-2</v>
      </c>
      <c r="D39" s="46">
        <v>353.434977</v>
      </c>
      <c r="E39" s="46">
        <v>5.5224215156250001</v>
      </c>
      <c r="F39" s="46">
        <v>1100.7477107770121</v>
      </c>
      <c r="G39" s="46">
        <v>0</v>
      </c>
      <c r="H39" s="46">
        <v>0</v>
      </c>
      <c r="I39" s="46">
        <v>0</v>
      </c>
      <c r="J39" s="46">
        <v>0</v>
      </c>
      <c r="K39" s="40">
        <v>0</v>
      </c>
      <c r="L39" s="40">
        <v>0</v>
      </c>
      <c r="M39" s="40">
        <v>468.75</v>
      </c>
      <c r="N39" s="40">
        <v>25</v>
      </c>
      <c r="O39" s="40">
        <v>0</v>
      </c>
      <c r="P39" s="40">
        <v>458.734375</v>
      </c>
      <c r="Q39" s="40">
        <v>0</v>
      </c>
      <c r="R39" s="40">
        <v>2360</v>
      </c>
      <c r="S39" s="40">
        <v>103.125</v>
      </c>
      <c r="T39" s="40">
        <v>156.25</v>
      </c>
      <c r="U39" s="40">
        <v>452.8125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46.875</v>
      </c>
      <c r="AC39" s="40">
        <v>109.375</v>
      </c>
      <c r="AD39" s="40">
        <v>93.75</v>
      </c>
      <c r="AE39" s="40">
        <v>140.625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51.5625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78.125</v>
      </c>
      <c r="AV39" s="40">
        <v>0</v>
      </c>
      <c r="AW39" s="40">
        <v>0</v>
      </c>
      <c r="AX39" s="40">
        <v>0</v>
      </c>
      <c r="AY39" s="40">
        <v>109.375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93.75</v>
      </c>
      <c r="BI39" s="46">
        <v>5848.8570857770119</v>
      </c>
    </row>
    <row r="40" spans="1:61">
      <c r="A40" s="40" t="str">
        <v>S6</v>
      </c>
      <c r="B40" s="46">
        <v>308.9140625</v>
      </c>
      <c r="C40" s="96">
        <v>6.9992514495199984E-4</v>
      </c>
      <c r="D40" s="46">
        <v>353.434977</v>
      </c>
      <c r="E40" s="46">
        <v>5.5224215156250001</v>
      </c>
      <c r="F40" s="46">
        <v>386.81441928471457</v>
      </c>
      <c r="G40" s="46">
        <v>0</v>
      </c>
      <c r="H40" s="46">
        <v>0</v>
      </c>
      <c r="I40" s="46">
        <v>0</v>
      </c>
      <c r="J40" s="46">
        <v>0</v>
      </c>
      <c r="K40" s="40">
        <v>0</v>
      </c>
      <c r="L40" s="40">
        <v>0</v>
      </c>
      <c r="M40" s="40">
        <v>468.75</v>
      </c>
      <c r="N40" s="40">
        <v>25</v>
      </c>
      <c r="O40" s="40">
        <v>0</v>
      </c>
      <c r="P40" s="40">
        <v>458.734375</v>
      </c>
      <c r="Q40" s="40">
        <v>0</v>
      </c>
      <c r="R40" s="40">
        <v>2360</v>
      </c>
      <c r="S40" s="40">
        <v>103.125</v>
      </c>
      <c r="T40" s="40">
        <v>156.25</v>
      </c>
      <c r="U40" s="40">
        <v>452.8125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46.875</v>
      </c>
      <c r="AC40" s="40">
        <v>109.375</v>
      </c>
      <c r="AD40" s="40">
        <v>93.75</v>
      </c>
      <c r="AE40" s="40">
        <v>140.625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51.5625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78.125</v>
      </c>
      <c r="AV40" s="40">
        <v>0</v>
      </c>
      <c r="AW40" s="40">
        <v>0</v>
      </c>
      <c r="AX40" s="40">
        <v>0</v>
      </c>
      <c r="AY40" s="40">
        <v>109.375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93.75</v>
      </c>
      <c r="BI40" s="46">
        <v>5134.9237942847149</v>
      </c>
    </row>
    <row r="41" spans="1:61">
      <c r="A41" s="40" t="str">
        <v>S7</v>
      </c>
      <c r="B41" s="46">
        <v>674.9140625</v>
      </c>
      <c r="C41" s="96">
        <v>1.5291933271100457E-3</v>
      </c>
      <c r="D41" s="46">
        <v>353.434977</v>
      </c>
      <c r="E41" s="46">
        <v>5.5224215156250001</v>
      </c>
      <c r="F41" s="46">
        <v>419.81929293460485</v>
      </c>
      <c r="G41" s="46">
        <v>0</v>
      </c>
      <c r="H41" s="46">
        <v>0</v>
      </c>
      <c r="I41" s="46">
        <v>0</v>
      </c>
      <c r="J41" s="46">
        <v>0</v>
      </c>
      <c r="K41" s="40">
        <v>0</v>
      </c>
      <c r="L41" s="40">
        <v>0</v>
      </c>
      <c r="M41" s="40">
        <v>468.75</v>
      </c>
      <c r="N41" s="40">
        <v>25</v>
      </c>
      <c r="O41" s="40">
        <v>0</v>
      </c>
      <c r="P41" s="40">
        <v>458.734375</v>
      </c>
      <c r="Q41" s="40">
        <v>0</v>
      </c>
      <c r="R41" s="40">
        <v>2360</v>
      </c>
      <c r="S41" s="40">
        <v>103.125</v>
      </c>
      <c r="T41" s="40">
        <v>156.25</v>
      </c>
      <c r="U41" s="40">
        <v>452.8125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46.875</v>
      </c>
      <c r="AC41" s="40">
        <v>109.375</v>
      </c>
      <c r="AD41" s="40">
        <v>93.75</v>
      </c>
      <c r="AE41" s="40">
        <v>140.625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51.5625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78.125</v>
      </c>
      <c r="AV41" s="40">
        <v>0</v>
      </c>
      <c r="AW41" s="40">
        <v>0</v>
      </c>
      <c r="AX41" s="40">
        <v>0</v>
      </c>
      <c r="AY41" s="40">
        <v>109.375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93.75</v>
      </c>
      <c r="BI41" s="46">
        <v>5167.9286679346051</v>
      </c>
    </row>
    <row r="42" spans="1:61">
      <c r="A42" s="40" t="str">
        <v>S8</v>
      </c>
      <c r="B42" s="46">
        <v>19106.4140625</v>
      </c>
      <c r="C42" s="96">
        <v>4.3290549882973491E-2</v>
      </c>
      <c r="D42" s="46">
        <v>353.434977</v>
      </c>
      <c r="E42" s="46">
        <v>5.5224215156250001</v>
      </c>
      <c r="F42" s="46">
        <v>2081.9212838579697</v>
      </c>
      <c r="G42" s="46">
        <v>0</v>
      </c>
      <c r="H42" s="46">
        <v>0</v>
      </c>
      <c r="I42" s="46">
        <v>0</v>
      </c>
      <c r="J42" s="46">
        <v>0</v>
      </c>
      <c r="K42" s="40">
        <v>0</v>
      </c>
      <c r="L42" s="40">
        <v>0</v>
      </c>
      <c r="M42" s="40">
        <v>468.75</v>
      </c>
      <c r="N42" s="40">
        <v>25</v>
      </c>
      <c r="O42" s="40">
        <v>0</v>
      </c>
      <c r="P42" s="40">
        <v>458.734375</v>
      </c>
      <c r="Q42" s="40">
        <v>0</v>
      </c>
      <c r="R42" s="40">
        <v>2360</v>
      </c>
      <c r="S42" s="40">
        <v>103.125</v>
      </c>
      <c r="T42" s="40">
        <v>156.25</v>
      </c>
      <c r="U42" s="40">
        <v>452.8125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46.875</v>
      </c>
      <c r="AC42" s="40">
        <v>109.375</v>
      </c>
      <c r="AD42" s="40">
        <v>93.75</v>
      </c>
      <c r="AE42" s="40">
        <v>140.625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51.5625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78.125</v>
      </c>
      <c r="AV42" s="40">
        <v>0</v>
      </c>
      <c r="AW42" s="40">
        <v>0</v>
      </c>
      <c r="AX42" s="40">
        <v>0</v>
      </c>
      <c r="AY42" s="40">
        <v>109.375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93.75</v>
      </c>
      <c r="BI42" s="46">
        <v>6830.0306588579697</v>
      </c>
    </row>
    <row r="43" spans="1:61">
      <c r="A43" s="40" t="str">
        <v>S9</v>
      </c>
      <c r="B43" s="46">
        <v>2420.4140625</v>
      </c>
      <c r="C43" s="96">
        <v>5.4840775127845513E-3</v>
      </c>
      <c r="D43" s="46">
        <v>471.24663600000002</v>
      </c>
      <c r="E43" s="46">
        <v>5.5224215156250001</v>
      </c>
      <c r="F43" s="46">
        <v>695.03534252445024</v>
      </c>
      <c r="G43" s="46">
        <v>0</v>
      </c>
      <c r="H43" s="46">
        <v>0</v>
      </c>
      <c r="I43" s="46">
        <v>0</v>
      </c>
      <c r="J43" s="46">
        <v>0</v>
      </c>
      <c r="K43" s="40">
        <v>0</v>
      </c>
      <c r="L43" s="40">
        <v>0</v>
      </c>
      <c r="M43" s="40">
        <v>468.75</v>
      </c>
      <c r="N43" s="40">
        <v>25</v>
      </c>
      <c r="O43" s="40">
        <v>0</v>
      </c>
      <c r="P43" s="40">
        <v>458.734375</v>
      </c>
      <c r="Q43" s="40">
        <v>0</v>
      </c>
      <c r="R43" s="40">
        <v>2360</v>
      </c>
      <c r="S43" s="40">
        <v>103.125</v>
      </c>
      <c r="T43" s="40">
        <v>156.25</v>
      </c>
      <c r="U43" s="40">
        <v>452.8125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46.875</v>
      </c>
      <c r="AC43" s="40">
        <v>109.375</v>
      </c>
      <c r="AD43" s="40">
        <v>93.75</v>
      </c>
      <c r="AE43" s="40">
        <v>140.625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51.5625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78.125</v>
      </c>
      <c r="AV43" s="40">
        <v>0</v>
      </c>
      <c r="AW43" s="40">
        <v>0</v>
      </c>
      <c r="AX43" s="40">
        <v>0</v>
      </c>
      <c r="AY43" s="40">
        <v>109.375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93.75</v>
      </c>
      <c r="BI43" s="46">
        <v>5443.1447175244502</v>
      </c>
    </row>
    <row r="44" spans="1:61">
      <c r="A44" s="40" t="str">
        <v>S10</v>
      </c>
      <c r="B44" s="46">
        <v>548.4140625</v>
      </c>
      <c r="C44" s="96">
        <v>1.2425746794515954E-3</v>
      </c>
      <c r="D44" s="46">
        <v>353.434977</v>
      </c>
      <c r="E44" s="46">
        <v>5.5224215156250001</v>
      </c>
      <c r="F44" s="46">
        <v>408.41187075779851</v>
      </c>
      <c r="G44" s="46">
        <v>0</v>
      </c>
      <c r="H44" s="46">
        <v>0</v>
      </c>
      <c r="I44" s="46">
        <v>0</v>
      </c>
      <c r="J44" s="46">
        <v>0</v>
      </c>
      <c r="K44" s="40">
        <v>0</v>
      </c>
      <c r="L44" s="40">
        <v>0</v>
      </c>
      <c r="M44" s="40">
        <v>468.75</v>
      </c>
      <c r="N44" s="40">
        <v>25</v>
      </c>
      <c r="O44" s="40">
        <v>0</v>
      </c>
      <c r="P44" s="40">
        <v>458.734375</v>
      </c>
      <c r="Q44" s="40">
        <v>0</v>
      </c>
      <c r="R44" s="40">
        <v>2360</v>
      </c>
      <c r="S44" s="40">
        <v>103.125</v>
      </c>
      <c r="T44" s="40">
        <v>156.25</v>
      </c>
      <c r="U44" s="40">
        <v>452.8125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46.875</v>
      </c>
      <c r="AC44" s="40">
        <v>109.375</v>
      </c>
      <c r="AD44" s="40">
        <v>93.75</v>
      </c>
      <c r="AE44" s="40">
        <v>140.625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51.5625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78.125</v>
      </c>
      <c r="AV44" s="40">
        <v>0</v>
      </c>
      <c r="AW44" s="40">
        <v>0</v>
      </c>
      <c r="AX44" s="40">
        <v>0</v>
      </c>
      <c r="AY44" s="40">
        <v>109.375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93.75</v>
      </c>
      <c r="BI44" s="46">
        <v>5156.5212457577982</v>
      </c>
    </row>
    <row r="45" spans="1:61">
      <c r="A45" s="40" t="str">
        <v>S11</v>
      </c>
      <c r="B45" s="46">
        <v>8929.4140625</v>
      </c>
      <c r="C45" s="96">
        <v>2.0231909746846629E-2</v>
      </c>
      <c r="D45" s="46">
        <v>353.434977</v>
      </c>
      <c r="E45" s="46">
        <v>5.5224215156250001</v>
      </c>
      <c r="F45" s="46">
        <v>1164.1874064401209</v>
      </c>
      <c r="G45" s="46">
        <v>0</v>
      </c>
      <c r="H45" s="46">
        <v>0</v>
      </c>
      <c r="I45" s="46">
        <v>0</v>
      </c>
      <c r="J45" s="46">
        <v>0</v>
      </c>
      <c r="K45" s="40">
        <v>0</v>
      </c>
      <c r="L45" s="40">
        <v>0</v>
      </c>
      <c r="M45" s="40">
        <v>468.75</v>
      </c>
      <c r="N45" s="40">
        <v>25</v>
      </c>
      <c r="O45" s="40">
        <v>0</v>
      </c>
      <c r="P45" s="40">
        <v>458.734375</v>
      </c>
      <c r="Q45" s="40">
        <v>0</v>
      </c>
      <c r="R45" s="40">
        <v>2360</v>
      </c>
      <c r="S45" s="40">
        <v>103.125</v>
      </c>
      <c r="T45" s="40">
        <v>156.25</v>
      </c>
      <c r="U45" s="40">
        <v>452.8125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46.875</v>
      </c>
      <c r="AC45" s="40">
        <v>109.375</v>
      </c>
      <c r="AD45" s="40">
        <v>93.75</v>
      </c>
      <c r="AE45" s="40">
        <v>140.625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51.5625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78.125</v>
      </c>
      <c r="AV45" s="40">
        <v>0</v>
      </c>
      <c r="AW45" s="40">
        <v>0</v>
      </c>
      <c r="AX45" s="40">
        <v>0</v>
      </c>
      <c r="AY45" s="40">
        <v>109.375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93.75</v>
      </c>
      <c r="BI45" s="46">
        <v>5912.2967814401209</v>
      </c>
    </row>
    <row r="46" spans="1:61">
      <c r="A46" s="40" t="str">
        <v>S12</v>
      </c>
      <c r="B46" s="46">
        <v>8847.9140625</v>
      </c>
      <c r="C46" s="96">
        <v>2.0047250301912529E-2</v>
      </c>
      <c r="D46" s="46">
        <v>353.434977</v>
      </c>
      <c r="E46" s="46">
        <v>5.5224215156250001</v>
      </c>
      <c r="F46" s="46">
        <v>1156.8379605317436</v>
      </c>
      <c r="G46" s="46">
        <v>0</v>
      </c>
      <c r="H46" s="46">
        <v>0</v>
      </c>
      <c r="I46" s="46">
        <v>0</v>
      </c>
      <c r="J46" s="46">
        <v>0</v>
      </c>
      <c r="K46" s="40">
        <v>0</v>
      </c>
      <c r="L46" s="40">
        <v>0</v>
      </c>
      <c r="M46" s="40">
        <v>468.75</v>
      </c>
      <c r="N46" s="40">
        <v>25</v>
      </c>
      <c r="O46" s="40">
        <v>0</v>
      </c>
      <c r="P46" s="40">
        <v>458.734375</v>
      </c>
      <c r="Q46" s="40">
        <v>0</v>
      </c>
      <c r="R46" s="40">
        <v>2360</v>
      </c>
      <c r="S46" s="40">
        <v>103.125</v>
      </c>
      <c r="T46" s="40">
        <v>156.25</v>
      </c>
      <c r="U46" s="40">
        <v>452.8125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46.875</v>
      </c>
      <c r="AC46" s="40">
        <v>109.375</v>
      </c>
      <c r="AD46" s="40">
        <v>93.75</v>
      </c>
      <c r="AE46" s="40">
        <v>140.625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51.5625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78.125</v>
      </c>
      <c r="AV46" s="40">
        <v>0</v>
      </c>
      <c r="AW46" s="40">
        <v>0</v>
      </c>
      <c r="AX46" s="40">
        <v>0</v>
      </c>
      <c r="AY46" s="40">
        <v>109.375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93.75</v>
      </c>
      <c r="BI46" s="46">
        <v>5904.9473355317441</v>
      </c>
    </row>
    <row r="47" spans="1:61">
      <c r="A47" s="40" t="str">
        <v>S13</v>
      </c>
      <c r="B47" s="46">
        <v>3298.4140625</v>
      </c>
      <c r="C47" s="96">
        <v>7.473414845939645E-3</v>
      </c>
      <c r="D47" s="46">
        <v>471.24663600000002</v>
      </c>
      <c r="E47" s="46">
        <v>5.5224215156250001</v>
      </c>
      <c r="F47" s="46">
        <v>774.21096838402286</v>
      </c>
      <c r="G47" s="46">
        <v>0</v>
      </c>
      <c r="H47" s="46">
        <v>0</v>
      </c>
      <c r="I47" s="46">
        <v>0</v>
      </c>
      <c r="J47" s="46">
        <v>0</v>
      </c>
      <c r="K47" s="40">
        <v>0</v>
      </c>
      <c r="L47" s="40">
        <v>0</v>
      </c>
      <c r="M47" s="40">
        <v>468.75</v>
      </c>
      <c r="N47" s="40">
        <v>25</v>
      </c>
      <c r="O47" s="40">
        <v>0</v>
      </c>
      <c r="P47" s="40">
        <v>458.734375</v>
      </c>
      <c r="Q47" s="40">
        <v>0</v>
      </c>
      <c r="R47" s="40">
        <v>2360</v>
      </c>
      <c r="S47" s="40">
        <v>103.125</v>
      </c>
      <c r="T47" s="40">
        <v>156.25</v>
      </c>
      <c r="U47" s="40">
        <v>452.8125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46.875</v>
      </c>
      <c r="AC47" s="40">
        <v>109.375</v>
      </c>
      <c r="AD47" s="40">
        <v>93.75</v>
      </c>
      <c r="AE47" s="40">
        <v>140.625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51.5625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78.125</v>
      </c>
      <c r="AV47" s="40">
        <v>0</v>
      </c>
      <c r="AW47" s="40">
        <v>0</v>
      </c>
      <c r="AX47" s="40">
        <v>0</v>
      </c>
      <c r="AY47" s="40">
        <v>109.375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93.75</v>
      </c>
      <c r="BI47" s="46">
        <v>5522.3203433840226</v>
      </c>
    </row>
    <row r="48" spans="1:61">
      <c r="A48" s="40" t="str">
        <v>S14</v>
      </c>
      <c r="B48" s="46">
        <v>5220.4140625</v>
      </c>
      <c r="C48" s="96">
        <v>1.1828205682299656E-2</v>
      </c>
      <c r="D48" s="46">
        <v>471.24663600000002</v>
      </c>
      <c r="E48" s="46">
        <v>5.5224215156250001</v>
      </c>
      <c r="F48" s="46">
        <v>947.53164367115141</v>
      </c>
      <c r="G48" s="46">
        <v>0</v>
      </c>
      <c r="H48" s="46">
        <v>0</v>
      </c>
      <c r="I48" s="46">
        <v>0</v>
      </c>
      <c r="J48" s="46">
        <v>0</v>
      </c>
      <c r="K48" s="40">
        <v>0</v>
      </c>
      <c r="L48" s="40">
        <v>0</v>
      </c>
      <c r="M48" s="40">
        <v>468.75</v>
      </c>
      <c r="N48" s="40">
        <v>25</v>
      </c>
      <c r="O48" s="40">
        <v>0</v>
      </c>
      <c r="P48" s="40">
        <v>458.734375</v>
      </c>
      <c r="Q48" s="40">
        <v>0</v>
      </c>
      <c r="R48" s="40">
        <v>2360</v>
      </c>
      <c r="S48" s="40">
        <v>103.125</v>
      </c>
      <c r="T48" s="40">
        <v>156.25</v>
      </c>
      <c r="U48" s="40">
        <v>452.8125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46.875</v>
      </c>
      <c r="AC48" s="40">
        <v>109.375</v>
      </c>
      <c r="AD48" s="40">
        <v>93.75</v>
      </c>
      <c r="AE48" s="40">
        <v>140.625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51.5625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78.125</v>
      </c>
      <c r="AV48" s="40">
        <v>0</v>
      </c>
      <c r="AW48" s="40">
        <v>0</v>
      </c>
      <c r="AX48" s="40">
        <v>0</v>
      </c>
      <c r="AY48" s="40">
        <v>109.375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93.75</v>
      </c>
      <c r="BI48" s="46">
        <v>5695.641018671151</v>
      </c>
    </row>
    <row r="49" spans="1:61">
      <c r="A49" s="40" t="str">
        <v>S15</v>
      </c>
      <c r="B49" s="46">
        <v>14166.4140625</v>
      </c>
      <c r="C49" s="96">
        <v>3.2097695183900418E-2</v>
      </c>
      <c r="D49" s="46">
        <v>471.24663600000002</v>
      </c>
      <c r="E49" s="46">
        <v>5.5224215156250001</v>
      </c>
      <c r="F49" s="46">
        <v>1754.2573258348616</v>
      </c>
      <c r="G49" s="46">
        <v>0</v>
      </c>
      <c r="H49" s="46">
        <v>0</v>
      </c>
      <c r="I49" s="46">
        <v>0</v>
      </c>
      <c r="J49" s="46">
        <v>0</v>
      </c>
      <c r="K49" s="40">
        <v>0</v>
      </c>
      <c r="L49" s="40">
        <v>0</v>
      </c>
      <c r="M49" s="40">
        <v>468.75</v>
      </c>
      <c r="N49" s="40">
        <v>25</v>
      </c>
      <c r="O49" s="40">
        <v>0</v>
      </c>
      <c r="P49" s="40">
        <v>458.734375</v>
      </c>
      <c r="Q49" s="40">
        <v>0</v>
      </c>
      <c r="R49" s="40">
        <v>2360</v>
      </c>
      <c r="S49" s="40">
        <v>103.125</v>
      </c>
      <c r="T49" s="40">
        <v>156.25</v>
      </c>
      <c r="U49" s="40">
        <v>452.8125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46.875</v>
      </c>
      <c r="AC49" s="40">
        <v>109.375</v>
      </c>
      <c r="AD49" s="40">
        <v>93.75</v>
      </c>
      <c r="AE49" s="40">
        <v>140.625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51.5625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78.125</v>
      </c>
      <c r="AV49" s="40">
        <v>0</v>
      </c>
      <c r="AW49" s="40">
        <v>0</v>
      </c>
      <c r="AX49" s="40">
        <v>0</v>
      </c>
      <c r="AY49" s="40">
        <v>109.375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93.75</v>
      </c>
      <c r="BI49" s="46">
        <v>6502.3667008348621</v>
      </c>
    </row>
    <row r="50" spans="1:61">
      <c r="A50" s="40" t="str">
        <v>S16</v>
      </c>
      <c r="B50" s="46">
        <v>4644.9140625</v>
      </c>
      <c r="C50" s="96">
        <v>1.0524260767458249E-2</v>
      </c>
      <c r="D50" s="46">
        <v>353.434977</v>
      </c>
      <c r="E50" s="46">
        <v>5.5224215156250001</v>
      </c>
      <c r="F50" s="46">
        <v>777.82297706046324</v>
      </c>
      <c r="G50" s="46">
        <v>0</v>
      </c>
      <c r="H50" s="46">
        <v>0</v>
      </c>
      <c r="I50" s="46">
        <v>0</v>
      </c>
      <c r="J50" s="46">
        <v>0</v>
      </c>
      <c r="K50" s="40">
        <v>0</v>
      </c>
      <c r="L50" s="40">
        <v>0</v>
      </c>
      <c r="M50" s="40">
        <v>468.75</v>
      </c>
      <c r="N50" s="40">
        <v>25</v>
      </c>
      <c r="O50" s="40">
        <v>0</v>
      </c>
      <c r="P50" s="40">
        <v>458.734375</v>
      </c>
      <c r="Q50" s="40">
        <v>0</v>
      </c>
      <c r="R50" s="40">
        <v>2360</v>
      </c>
      <c r="S50" s="40">
        <v>103.125</v>
      </c>
      <c r="T50" s="40">
        <v>156.25</v>
      </c>
      <c r="U50" s="40">
        <v>452.8125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46.875</v>
      </c>
      <c r="AC50" s="40">
        <v>109.375</v>
      </c>
      <c r="AD50" s="40">
        <v>93.75</v>
      </c>
      <c r="AE50" s="40">
        <v>140.625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51.5625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78.125</v>
      </c>
      <c r="AV50" s="40">
        <v>0</v>
      </c>
      <c r="AW50" s="40">
        <v>0</v>
      </c>
      <c r="AX50" s="40">
        <v>0</v>
      </c>
      <c r="AY50" s="40">
        <v>109.375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93.75</v>
      </c>
      <c r="BI50" s="46">
        <v>5525.932352060463</v>
      </c>
    </row>
    <row r="51" spans="1:61">
      <c r="A51" s="40" t="str">
        <v>T1</v>
      </c>
      <c r="B51" s="46">
        <v>14535.4140625</v>
      </c>
      <c r="C51" s="96">
        <v>3.2933760646240082E-2</v>
      </c>
      <c r="D51" s="46">
        <v>353.434977</v>
      </c>
      <c r="E51" s="46">
        <v>5.5224215156250001</v>
      </c>
      <c r="F51" s="46">
        <v>1669.72107223598</v>
      </c>
      <c r="G51" s="46">
        <v>0</v>
      </c>
      <c r="H51" s="46">
        <v>0</v>
      </c>
      <c r="I51" s="46">
        <v>0</v>
      </c>
      <c r="J51" s="46">
        <v>0</v>
      </c>
      <c r="K51" s="40">
        <v>0</v>
      </c>
      <c r="L51" s="40">
        <v>0</v>
      </c>
      <c r="M51" s="40">
        <v>468.75</v>
      </c>
      <c r="N51" s="40">
        <v>25</v>
      </c>
      <c r="O51" s="40">
        <v>0</v>
      </c>
      <c r="P51" s="40">
        <v>458.734375</v>
      </c>
      <c r="Q51" s="40">
        <v>0</v>
      </c>
      <c r="R51" s="40">
        <v>2360</v>
      </c>
      <c r="S51" s="40">
        <v>103.125</v>
      </c>
      <c r="T51" s="40">
        <v>156.25</v>
      </c>
      <c r="U51" s="40">
        <v>452.8125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46.875</v>
      </c>
      <c r="AC51" s="40">
        <v>109.375</v>
      </c>
      <c r="AD51" s="40">
        <v>93.75</v>
      </c>
      <c r="AE51" s="40">
        <v>140.625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51.5625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78.125</v>
      </c>
      <c r="AV51" s="40">
        <v>0</v>
      </c>
      <c r="AW51" s="40">
        <v>0</v>
      </c>
      <c r="AX51" s="40">
        <v>0</v>
      </c>
      <c r="AY51" s="40">
        <v>109.375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93.75</v>
      </c>
      <c r="BI51" s="46">
        <v>6417.8304472359796</v>
      </c>
    </row>
    <row r="52" spans="1:61">
      <c r="A52" s="40" t="str">
        <v>T2</v>
      </c>
      <c r="B52" s="46">
        <v>15236.9140625</v>
      </c>
      <c r="C52" s="96">
        <v>3.4523191328709672E-2</v>
      </c>
      <c r="D52" s="46">
        <v>471.24663600000002</v>
      </c>
      <c r="E52" s="46">
        <v>5.5224215156250001</v>
      </c>
      <c r="F52" s="46">
        <v>1850.79207239827</v>
      </c>
      <c r="G52" s="46">
        <v>0</v>
      </c>
      <c r="H52" s="46">
        <v>0</v>
      </c>
      <c r="I52" s="46">
        <v>0</v>
      </c>
      <c r="J52" s="46">
        <v>0</v>
      </c>
      <c r="K52" s="40">
        <v>0</v>
      </c>
      <c r="L52" s="40">
        <v>0</v>
      </c>
      <c r="M52" s="40">
        <v>468.75</v>
      </c>
      <c r="N52" s="40">
        <v>25</v>
      </c>
      <c r="O52" s="40">
        <v>0</v>
      </c>
      <c r="P52" s="40">
        <v>458.734375</v>
      </c>
      <c r="Q52" s="40">
        <v>0</v>
      </c>
      <c r="R52" s="40">
        <v>2360</v>
      </c>
      <c r="S52" s="40">
        <v>103.125</v>
      </c>
      <c r="T52" s="40">
        <v>156.25</v>
      </c>
      <c r="U52" s="40">
        <v>452.8125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46.875</v>
      </c>
      <c r="AC52" s="40">
        <v>109.375</v>
      </c>
      <c r="AD52" s="40">
        <v>93.75</v>
      </c>
      <c r="AE52" s="40">
        <v>140.625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51.5625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78.125</v>
      </c>
      <c r="AV52" s="40">
        <v>0</v>
      </c>
      <c r="AW52" s="40">
        <v>0</v>
      </c>
      <c r="AX52" s="40">
        <v>0</v>
      </c>
      <c r="AY52" s="40">
        <v>109.375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93.75</v>
      </c>
      <c r="BI52" s="46">
        <v>6598.9014473982697</v>
      </c>
    </row>
    <row r="53" spans="1:61">
      <c r="A53" s="40" t="str">
        <v>T3</v>
      </c>
      <c r="B53" s="46">
        <v>9869.4140625</v>
      </c>
      <c r="C53" s="96">
        <v>2.2361724203755269E-2</v>
      </c>
      <c r="D53" s="46">
        <v>471.24663600000002</v>
      </c>
      <c r="E53" s="46">
        <v>5.5224215156250001</v>
      </c>
      <c r="F53" s="46">
        <v>1366.7656808250847</v>
      </c>
      <c r="G53" s="46">
        <v>0</v>
      </c>
      <c r="H53" s="46">
        <v>0</v>
      </c>
      <c r="I53" s="46">
        <v>0</v>
      </c>
      <c r="J53" s="46">
        <v>0</v>
      </c>
      <c r="K53" s="40">
        <v>0</v>
      </c>
      <c r="L53" s="40">
        <v>0</v>
      </c>
      <c r="M53" s="40">
        <v>468.75</v>
      </c>
      <c r="N53" s="40">
        <v>25</v>
      </c>
      <c r="O53" s="40">
        <v>0</v>
      </c>
      <c r="P53" s="40">
        <v>458.734375</v>
      </c>
      <c r="Q53" s="40">
        <v>0</v>
      </c>
      <c r="R53" s="40">
        <v>2360</v>
      </c>
      <c r="S53" s="40">
        <v>103.125</v>
      </c>
      <c r="T53" s="40">
        <v>156.25</v>
      </c>
      <c r="U53" s="40">
        <v>452.8125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46.875</v>
      </c>
      <c r="AC53" s="40">
        <v>109.375</v>
      </c>
      <c r="AD53" s="40">
        <v>93.75</v>
      </c>
      <c r="AE53" s="40">
        <v>140.625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51.5625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78.125</v>
      </c>
      <c r="AV53" s="40">
        <v>0</v>
      </c>
      <c r="AW53" s="40">
        <v>0</v>
      </c>
      <c r="AX53" s="40">
        <v>0</v>
      </c>
      <c r="AY53" s="40">
        <v>109.375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93.75</v>
      </c>
      <c r="BI53" s="46">
        <v>6114.8750558250849</v>
      </c>
    </row>
    <row r="54" spans="1:61">
      <c r="A54" s="40" t="str">
        <v>T4</v>
      </c>
      <c r="B54" s="46">
        <v>11494.4140625</v>
      </c>
      <c r="C54" s="96">
        <v>2.6043584302134572E-2</v>
      </c>
      <c r="D54" s="46">
        <v>471.24663600000002</v>
      </c>
      <c r="E54" s="46">
        <v>5.5224215156250001</v>
      </c>
      <c r="F54" s="46">
        <v>1513.303712740581</v>
      </c>
      <c r="G54" s="46">
        <v>0</v>
      </c>
      <c r="H54" s="46">
        <v>0</v>
      </c>
      <c r="I54" s="46">
        <v>0</v>
      </c>
      <c r="J54" s="46">
        <v>0</v>
      </c>
      <c r="K54" s="40">
        <v>0</v>
      </c>
      <c r="L54" s="40">
        <v>0</v>
      </c>
      <c r="M54" s="40">
        <v>468.75</v>
      </c>
      <c r="N54" s="40">
        <v>25</v>
      </c>
      <c r="O54" s="40">
        <v>0</v>
      </c>
      <c r="P54" s="40">
        <v>458.734375</v>
      </c>
      <c r="Q54" s="40">
        <v>0</v>
      </c>
      <c r="R54" s="40">
        <v>2360</v>
      </c>
      <c r="S54" s="40">
        <v>103.125</v>
      </c>
      <c r="T54" s="40">
        <v>156.25</v>
      </c>
      <c r="U54" s="40">
        <v>452.8125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46.875</v>
      </c>
      <c r="AC54" s="40">
        <v>109.375</v>
      </c>
      <c r="AD54" s="40">
        <v>93.75</v>
      </c>
      <c r="AE54" s="40">
        <v>140.625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51.5625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78.125</v>
      </c>
      <c r="AV54" s="40">
        <v>0</v>
      </c>
      <c r="AW54" s="40">
        <v>0</v>
      </c>
      <c r="AX54" s="40">
        <v>0</v>
      </c>
      <c r="AY54" s="40">
        <v>109.375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93.75</v>
      </c>
      <c r="BI54" s="46">
        <v>6261.4130877405805</v>
      </c>
    </row>
    <row r="55" spans="1:61">
      <c r="A55" s="40" t="str">
        <v>T5</v>
      </c>
      <c r="B55" s="46">
        <v>2155.9140625</v>
      </c>
      <c r="C55" s="96">
        <v>4.8847839767714278E-3</v>
      </c>
      <c r="D55" s="46">
        <v>353.434977</v>
      </c>
      <c r="E55" s="46">
        <v>5.5224215156250001</v>
      </c>
      <c r="F55" s="46">
        <v>553.37180079112784</v>
      </c>
      <c r="G55" s="46">
        <v>0</v>
      </c>
      <c r="H55" s="46">
        <v>0</v>
      </c>
      <c r="I55" s="46">
        <v>0</v>
      </c>
      <c r="J55" s="46">
        <v>0</v>
      </c>
      <c r="K55" s="40">
        <v>0</v>
      </c>
      <c r="L55" s="40">
        <v>0</v>
      </c>
      <c r="M55" s="40">
        <v>468.75</v>
      </c>
      <c r="N55" s="40">
        <v>25</v>
      </c>
      <c r="O55" s="40">
        <v>0</v>
      </c>
      <c r="P55" s="40">
        <v>458.734375</v>
      </c>
      <c r="Q55" s="40">
        <v>0</v>
      </c>
      <c r="R55" s="40">
        <v>2360</v>
      </c>
      <c r="S55" s="40">
        <v>103.125</v>
      </c>
      <c r="T55" s="40">
        <v>156.25</v>
      </c>
      <c r="U55" s="40">
        <v>452.8125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46.875</v>
      </c>
      <c r="AC55" s="40">
        <v>109.375</v>
      </c>
      <c r="AD55" s="40">
        <v>93.75</v>
      </c>
      <c r="AE55" s="40">
        <v>140.625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51.5625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78.125</v>
      </c>
      <c r="AV55" s="40">
        <v>0</v>
      </c>
      <c r="AW55" s="40">
        <v>0</v>
      </c>
      <c r="AX55" s="40">
        <v>0</v>
      </c>
      <c r="AY55" s="40">
        <v>109.375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93.75</v>
      </c>
      <c r="BI55" s="46">
        <v>5301.4811757911284</v>
      </c>
    </row>
    <row r="56" spans="1:61">
      <c r="A56" s="40" t="str">
        <v>T6</v>
      </c>
      <c r="B56" s="46">
        <v>13178.9140625</v>
      </c>
      <c r="C56" s="96">
        <v>2.9860257124116069E-2</v>
      </c>
      <c r="D56" s="46">
        <v>353.434977</v>
      </c>
      <c r="E56" s="46">
        <v>5.5224215156250001</v>
      </c>
      <c r="F56" s="46">
        <v>1547.3956320554444</v>
      </c>
      <c r="G56" s="46">
        <v>0</v>
      </c>
      <c r="H56" s="46">
        <v>0</v>
      </c>
      <c r="I56" s="46">
        <v>0</v>
      </c>
      <c r="J56" s="46">
        <v>0</v>
      </c>
      <c r="K56" s="40">
        <v>0</v>
      </c>
      <c r="L56" s="40">
        <v>0</v>
      </c>
      <c r="M56" s="40">
        <v>468.75</v>
      </c>
      <c r="N56" s="40">
        <v>25</v>
      </c>
      <c r="O56" s="40">
        <v>0</v>
      </c>
      <c r="P56" s="40">
        <v>458.734375</v>
      </c>
      <c r="Q56" s="40">
        <v>0</v>
      </c>
      <c r="R56" s="40">
        <v>2360</v>
      </c>
      <c r="S56" s="40">
        <v>103.125</v>
      </c>
      <c r="T56" s="40">
        <v>156.25</v>
      </c>
      <c r="U56" s="40">
        <v>452.8125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46.875</v>
      </c>
      <c r="AC56" s="40">
        <v>109.375</v>
      </c>
      <c r="AD56" s="40">
        <v>93.75</v>
      </c>
      <c r="AE56" s="40">
        <v>140.625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51.5625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78.125</v>
      </c>
      <c r="AV56" s="40">
        <v>0</v>
      </c>
      <c r="AW56" s="40">
        <v>0</v>
      </c>
      <c r="AX56" s="40">
        <v>0</v>
      </c>
      <c r="AY56" s="40">
        <v>109.375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93.75</v>
      </c>
      <c r="BI56" s="46">
        <v>6295.5050070554444</v>
      </c>
    </row>
    <row r="57" spans="1:61">
      <c r="A57" s="40" t="str">
        <v>T7</v>
      </c>
      <c r="B57" s="46">
        <v>1564.4140625</v>
      </c>
      <c r="C57" s="96">
        <v>3.5445869009613621E-3</v>
      </c>
      <c r="D57" s="46">
        <v>353.434977</v>
      </c>
      <c r="E57" s="46">
        <v>5.5224215156250001</v>
      </c>
      <c r="F57" s="46">
        <v>500.03195717388724</v>
      </c>
      <c r="G57" s="46">
        <v>0</v>
      </c>
      <c r="H57" s="46">
        <v>0</v>
      </c>
      <c r="I57" s="46">
        <v>0</v>
      </c>
      <c r="J57" s="46">
        <v>0</v>
      </c>
      <c r="K57" s="40">
        <v>0</v>
      </c>
      <c r="L57" s="40">
        <v>0</v>
      </c>
      <c r="M57" s="40">
        <v>468.75</v>
      </c>
      <c r="N57" s="40">
        <v>25</v>
      </c>
      <c r="O57" s="40">
        <v>0</v>
      </c>
      <c r="P57" s="40">
        <v>458.734375</v>
      </c>
      <c r="Q57" s="40">
        <v>0</v>
      </c>
      <c r="R57" s="40">
        <v>2360</v>
      </c>
      <c r="S57" s="40">
        <v>103.125</v>
      </c>
      <c r="T57" s="40">
        <v>156.25</v>
      </c>
      <c r="U57" s="40">
        <v>452.8125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46.875</v>
      </c>
      <c r="AC57" s="40">
        <v>109.375</v>
      </c>
      <c r="AD57" s="40">
        <v>93.75</v>
      </c>
      <c r="AE57" s="40">
        <v>140.625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51.5625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78.125</v>
      </c>
      <c r="AV57" s="40">
        <v>0</v>
      </c>
      <c r="AW57" s="40">
        <v>0</v>
      </c>
      <c r="AX57" s="40">
        <v>0</v>
      </c>
      <c r="AY57" s="40">
        <v>109.375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93.75</v>
      </c>
      <c r="BI57" s="46">
        <v>5248.1413321738873</v>
      </c>
    </row>
    <row r="58" spans="1:61">
      <c r="A58" s="40" t="str">
        <v>T8</v>
      </c>
      <c r="B58" s="46">
        <v>1035.9140625</v>
      </c>
      <c r="C58" s="96">
        <v>2.347132708965386E-3</v>
      </c>
      <c r="D58" s="46">
        <v>353.434977</v>
      </c>
      <c r="E58" s="46">
        <v>5.5224215156250001</v>
      </c>
      <c r="F58" s="46">
        <v>452.37328033244739</v>
      </c>
      <c r="G58" s="46">
        <v>0</v>
      </c>
      <c r="H58" s="46">
        <v>0</v>
      </c>
      <c r="I58" s="46">
        <v>0</v>
      </c>
      <c r="J58" s="46">
        <v>0</v>
      </c>
      <c r="K58" s="40">
        <v>0</v>
      </c>
      <c r="L58" s="40">
        <v>0</v>
      </c>
      <c r="M58" s="40">
        <v>468.75</v>
      </c>
      <c r="N58" s="40">
        <v>25</v>
      </c>
      <c r="O58" s="40">
        <v>0</v>
      </c>
      <c r="P58" s="40">
        <v>458.734375</v>
      </c>
      <c r="Q58" s="40">
        <v>0</v>
      </c>
      <c r="R58" s="40">
        <v>2360</v>
      </c>
      <c r="S58" s="40">
        <v>103.125</v>
      </c>
      <c r="T58" s="40">
        <v>156.25</v>
      </c>
      <c r="U58" s="40">
        <v>452.8125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46.875</v>
      </c>
      <c r="AC58" s="40">
        <v>109.375</v>
      </c>
      <c r="AD58" s="40">
        <v>93.75</v>
      </c>
      <c r="AE58" s="40">
        <v>140.625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51.5625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78.125</v>
      </c>
      <c r="AV58" s="40">
        <v>0</v>
      </c>
      <c r="AW58" s="40">
        <v>0</v>
      </c>
      <c r="AX58" s="40">
        <v>0</v>
      </c>
      <c r="AY58" s="40">
        <v>109.375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93.75</v>
      </c>
      <c r="BI58" s="46">
        <v>5200.4826553324474</v>
      </c>
    </row>
    <row r="59" spans="1:61">
      <c r="A59" s="40" t="str">
        <v>T9</v>
      </c>
      <c r="B59" s="46">
        <v>6817.9140625</v>
      </c>
      <c r="C59" s="96">
        <v>1.5447757379014077E-2</v>
      </c>
      <c r="D59" s="46">
        <v>471.24663600000002</v>
      </c>
      <c r="E59" s="46">
        <v>5.5224215156250001</v>
      </c>
      <c r="F59" s="46">
        <v>1091.5898012003852</v>
      </c>
      <c r="G59" s="46">
        <v>0</v>
      </c>
      <c r="H59" s="46">
        <v>0</v>
      </c>
      <c r="I59" s="46">
        <v>0</v>
      </c>
      <c r="J59" s="46">
        <v>0</v>
      </c>
      <c r="K59" s="40">
        <v>0</v>
      </c>
      <c r="L59" s="40">
        <v>0</v>
      </c>
      <c r="M59" s="40">
        <v>468.75</v>
      </c>
      <c r="N59" s="40">
        <v>25</v>
      </c>
      <c r="O59" s="40">
        <v>0</v>
      </c>
      <c r="P59" s="40">
        <v>458.734375</v>
      </c>
      <c r="Q59" s="40">
        <v>0</v>
      </c>
      <c r="R59" s="40">
        <v>2360</v>
      </c>
      <c r="S59" s="40">
        <v>103.125</v>
      </c>
      <c r="T59" s="40">
        <v>156.25</v>
      </c>
      <c r="U59" s="40">
        <v>452.8125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46.875</v>
      </c>
      <c r="AC59" s="40">
        <v>109.375</v>
      </c>
      <c r="AD59" s="40">
        <v>93.75</v>
      </c>
      <c r="AE59" s="40">
        <v>140.625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51.5625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78.125</v>
      </c>
      <c r="AV59" s="40">
        <v>0</v>
      </c>
      <c r="AW59" s="40">
        <v>0</v>
      </c>
      <c r="AX59" s="40">
        <v>0</v>
      </c>
      <c r="AY59" s="40">
        <v>109.375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93.75</v>
      </c>
      <c r="BI59" s="46">
        <v>5839.6991762003854</v>
      </c>
    </row>
    <row r="60" spans="1:61">
      <c r="A60" s="40" t="str">
        <v>T10</v>
      </c>
      <c r="B60" s="46">
        <v>310.4140625</v>
      </c>
      <c r="C60" s="96">
        <v>7.0332378504281152E-4</v>
      </c>
      <c r="D60" s="46">
        <v>353.434977</v>
      </c>
      <c r="E60" s="46">
        <v>5.5224215156250001</v>
      </c>
      <c r="F60" s="46">
        <v>386.9496851603289</v>
      </c>
      <c r="G60" s="46">
        <v>750</v>
      </c>
      <c r="H60" s="46">
        <v>0</v>
      </c>
      <c r="I60" s="46">
        <v>0</v>
      </c>
      <c r="J60" s="46">
        <v>0</v>
      </c>
      <c r="K60" s="40">
        <v>0</v>
      </c>
      <c r="L60" s="40">
        <v>0</v>
      </c>
      <c r="M60" s="40">
        <v>468.75</v>
      </c>
      <c r="N60" s="40">
        <v>25</v>
      </c>
      <c r="O60" s="40">
        <v>0</v>
      </c>
      <c r="P60" s="40">
        <v>458.734375</v>
      </c>
      <c r="Q60" s="40">
        <v>0</v>
      </c>
      <c r="R60" s="40">
        <v>2360</v>
      </c>
      <c r="S60" s="40">
        <v>103.125</v>
      </c>
      <c r="T60" s="40">
        <v>156.25</v>
      </c>
      <c r="U60" s="40">
        <v>452.8125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46.875</v>
      </c>
      <c r="AC60" s="40">
        <v>109.375</v>
      </c>
      <c r="AD60" s="40">
        <v>93.75</v>
      </c>
      <c r="AE60" s="40">
        <v>140.625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51.5625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78.125</v>
      </c>
      <c r="AV60" s="40">
        <v>0</v>
      </c>
      <c r="AW60" s="40">
        <v>0</v>
      </c>
      <c r="AX60" s="40">
        <v>0</v>
      </c>
      <c r="AY60" s="40">
        <v>109.375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93.75</v>
      </c>
      <c r="BI60" s="46">
        <v>5135.059060160329</v>
      </c>
    </row>
    <row r="61" spans="1:61">
      <c r="A61" s="40" t="str">
        <v>T11</v>
      </c>
      <c r="B61" s="46">
        <v>2707.9140625</v>
      </c>
      <c r="C61" s="96">
        <v>6.1354835301901198E-3</v>
      </c>
      <c r="D61" s="46">
        <v>353.434977</v>
      </c>
      <c r="E61" s="46">
        <v>5.5224215156250001</v>
      </c>
      <c r="F61" s="46">
        <v>603.14964301719181</v>
      </c>
      <c r="G61" s="46">
        <v>0</v>
      </c>
      <c r="H61" s="46">
        <v>0</v>
      </c>
      <c r="I61" s="46">
        <v>0</v>
      </c>
      <c r="J61" s="46">
        <v>0</v>
      </c>
      <c r="K61" s="40">
        <v>0</v>
      </c>
      <c r="L61" s="40">
        <v>0</v>
      </c>
      <c r="M61" s="40">
        <v>468.75</v>
      </c>
      <c r="N61" s="40">
        <v>25</v>
      </c>
      <c r="O61" s="40">
        <v>0</v>
      </c>
      <c r="P61" s="40">
        <v>458.734375</v>
      </c>
      <c r="Q61" s="40">
        <v>0</v>
      </c>
      <c r="R61" s="40">
        <v>2360</v>
      </c>
      <c r="S61" s="40">
        <v>103.125</v>
      </c>
      <c r="T61" s="40">
        <v>156.25</v>
      </c>
      <c r="U61" s="40">
        <v>452.8125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46.875</v>
      </c>
      <c r="AC61" s="40">
        <v>109.375</v>
      </c>
      <c r="AD61" s="40">
        <v>93.75</v>
      </c>
      <c r="AE61" s="40">
        <v>140.625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51.5625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78.125</v>
      </c>
      <c r="AV61" s="40">
        <v>0</v>
      </c>
      <c r="AW61" s="40">
        <v>0</v>
      </c>
      <c r="AX61" s="40">
        <v>0</v>
      </c>
      <c r="AY61" s="40">
        <v>109.375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93.75</v>
      </c>
      <c r="BI61" s="46">
        <v>5351.2590180171919</v>
      </c>
    </row>
    <row r="62" spans="1:61">
      <c r="A62" s="40" t="str">
        <v>T12</v>
      </c>
      <c r="B62" s="46">
        <v>1237.9140625</v>
      </c>
      <c r="C62" s="96">
        <v>2.80481624119469E-3</v>
      </c>
      <c r="D62" s="46">
        <v>353.434977</v>
      </c>
      <c r="E62" s="46">
        <v>5.5224215156250001</v>
      </c>
      <c r="F62" s="46">
        <v>470.58908491517366</v>
      </c>
      <c r="G62" s="46">
        <v>0</v>
      </c>
      <c r="H62" s="46">
        <v>0</v>
      </c>
      <c r="I62" s="46">
        <v>0</v>
      </c>
      <c r="J62" s="46">
        <v>0</v>
      </c>
      <c r="K62" s="40">
        <v>0</v>
      </c>
      <c r="L62" s="40">
        <v>0</v>
      </c>
      <c r="M62" s="40">
        <v>468.75</v>
      </c>
      <c r="N62" s="40">
        <v>25</v>
      </c>
      <c r="O62" s="40">
        <v>0</v>
      </c>
      <c r="P62" s="40">
        <v>458.734375</v>
      </c>
      <c r="Q62" s="40">
        <v>0</v>
      </c>
      <c r="R62" s="40">
        <v>2360</v>
      </c>
      <c r="S62" s="40">
        <v>103.125</v>
      </c>
      <c r="T62" s="40">
        <v>156.25</v>
      </c>
      <c r="U62" s="40">
        <v>452.8125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46.875</v>
      </c>
      <c r="AC62" s="40">
        <v>109.375</v>
      </c>
      <c r="AD62" s="40">
        <v>93.75</v>
      </c>
      <c r="AE62" s="40">
        <v>140.625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51.5625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78.125</v>
      </c>
      <c r="AV62" s="40">
        <v>0</v>
      </c>
      <c r="AW62" s="40">
        <v>0</v>
      </c>
      <c r="AX62" s="40">
        <v>0</v>
      </c>
      <c r="AY62" s="40">
        <v>109.375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93.75</v>
      </c>
      <c r="BI62" s="46">
        <v>5218.6984599151738</v>
      </c>
    </row>
    <row r="63" spans="1:61">
      <c r="A63" s="40" t="str">
        <v>T13</v>
      </c>
      <c r="B63" s="46">
        <v>3438.4140625</v>
      </c>
      <c r="C63" s="96">
        <v>7.7906212544153995E-3</v>
      </c>
      <c r="D63" s="46">
        <v>471.24663600000002</v>
      </c>
      <c r="E63" s="46">
        <v>5.5224215156250001</v>
      </c>
      <c r="F63" s="46">
        <v>786.83578344135799</v>
      </c>
      <c r="G63" s="46">
        <v>0</v>
      </c>
      <c r="H63" s="46">
        <v>0</v>
      </c>
      <c r="I63" s="46">
        <v>0</v>
      </c>
      <c r="J63" s="46">
        <v>0</v>
      </c>
      <c r="K63" s="40">
        <v>0</v>
      </c>
      <c r="L63" s="40">
        <v>0</v>
      </c>
      <c r="M63" s="40">
        <v>468.75</v>
      </c>
      <c r="N63" s="40">
        <v>25</v>
      </c>
      <c r="O63" s="40">
        <v>0</v>
      </c>
      <c r="P63" s="40">
        <v>458.734375</v>
      </c>
      <c r="Q63" s="40">
        <v>0</v>
      </c>
      <c r="R63" s="40">
        <v>2360</v>
      </c>
      <c r="S63" s="40">
        <v>103.125</v>
      </c>
      <c r="T63" s="40">
        <v>156.25</v>
      </c>
      <c r="U63" s="40">
        <v>452.8125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46.875</v>
      </c>
      <c r="AC63" s="40">
        <v>109.375</v>
      </c>
      <c r="AD63" s="40">
        <v>93.75</v>
      </c>
      <c r="AE63" s="40">
        <v>140.625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51.5625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78.125</v>
      </c>
      <c r="AV63" s="40">
        <v>0</v>
      </c>
      <c r="AW63" s="40">
        <v>0</v>
      </c>
      <c r="AX63" s="40">
        <v>0</v>
      </c>
      <c r="AY63" s="40">
        <v>109.375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93.75</v>
      </c>
      <c r="BI63" s="46">
        <v>5534.9451584413582</v>
      </c>
    </row>
    <row r="64" spans="1:61">
      <c r="A64" s="40" t="str">
        <v>T14</v>
      </c>
      <c r="B64" s="46">
        <v>3199.4140625</v>
      </c>
      <c r="C64" s="96">
        <v>7.2491045999460747E-3</v>
      </c>
      <c r="D64" s="46">
        <v>471.24663600000002</v>
      </c>
      <c r="E64" s="46">
        <v>5.5224215156250001</v>
      </c>
      <c r="F64" s="46">
        <v>765.28342059347881</v>
      </c>
      <c r="G64" s="46">
        <v>0</v>
      </c>
      <c r="H64" s="46">
        <v>0</v>
      </c>
      <c r="I64" s="46">
        <v>0</v>
      </c>
      <c r="J64" s="46">
        <v>0</v>
      </c>
      <c r="K64" s="40">
        <v>0</v>
      </c>
      <c r="L64" s="40">
        <v>0</v>
      </c>
      <c r="M64" s="40">
        <v>468.75</v>
      </c>
      <c r="N64" s="40">
        <v>25</v>
      </c>
      <c r="O64" s="40">
        <v>0</v>
      </c>
      <c r="P64" s="40">
        <v>458.734375</v>
      </c>
      <c r="Q64" s="40">
        <v>0</v>
      </c>
      <c r="R64" s="40">
        <v>2360</v>
      </c>
      <c r="S64" s="40">
        <v>103.125</v>
      </c>
      <c r="T64" s="40">
        <v>156.25</v>
      </c>
      <c r="U64" s="40">
        <v>452.8125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46.875</v>
      </c>
      <c r="AC64" s="40">
        <v>109.375</v>
      </c>
      <c r="AD64" s="40">
        <v>93.75</v>
      </c>
      <c r="AE64" s="40">
        <v>140.625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51.5625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78.125</v>
      </c>
      <c r="AV64" s="40">
        <v>0</v>
      </c>
      <c r="AW64" s="40">
        <v>0</v>
      </c>
      <c r="AX64" s="40">
        <v>0</v>
      </c>
      <c r="AY64" s="40">
        <v>109.375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93.75</v>
      </c>
      <c r="BI64" s="46">
        <v>5513.3927955934787</v>
      </c>
    </row>
    <row r="65" spans="1:61">
      <c r="A65" s="40" t="str">
        <v>T15</v>
      </c>
      <c r="B65" s="46">
        <v>10380.4140625</v>
      </c>
      <c r="C65" s="96">
        <v>2.3519527594691777E-2</v>
      </c>
      <c r="D65" s="46">
        <v>471.24663600000002</v>
      </c>
      <c r="E65" s="46">
        <v>5.5224215156250001</v>
      </c>
      <c r="F65" s="46">
        <v>1412.8462557843577</v>
      </c>
      <c r="G65" s="46">
        <v>0</v>
      </c>
      <c r="H65" s="46">
        <v>0</v>
      </c>
      <c r="I65" s="46">
        <v>0</v>
      </c>
      <c r="J65" s="46">
        <v>0</v>
      </c>
      <c r="K65" s="40">
        <v>0</v>
      </c>
      <c r="L65" s="40">
        <v>0</v>
      </c>
      <c r="M65" s="40">
        <v>468.75</v>
      </c>
      <c r="N65" s="40">
        <v>25</v>
      </c>
      <c r="O65" s="40">
        <v>0</v>
      </c>
      <c r="P65" s="40">
        <v>458.734375</v>
      </c>
      <c r="Q65" s="40">
        <v>0</v>
      </c>
      <c r="R65" s="40">
        <v>2360</v>
      </c>
      <c r="S65" s="40">
        <v>103.125</v>
      </c>
      <c r="T65" s="40">
        <v>156.25</v>
      </c>
      <c r="U65" s="40">
        <v>452.8125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46.875</v>
      </c>
      <c r="AC65" s="40">
        <v>109.375</v>
      </c>
      <c r="AD65" s="40">
        <v>93.75</v>
      </c>
      <c r="AE65" s="40">
        <v>140.625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51.5625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78.125</v>
      </c>
      <c r="AV65" s="40">
        <v>0</v>
      </c>
      <c r="AW65" s="40">
        <v>0</v>
      </c>
      <c r="AX65" s="40">
        <v>0</v>
      </c>
      <c r="AY65" s="40">
        <v>109.375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93.75</v>
      </c>
      <c r="BI65" s="46">
        <v>6160.9556307843577</v>
      </c>
    </row>
    <row r="66" spans="1:61">
      <c r="A66" s="40" t="str">
        <v>T16</v>
      </c>
      <c r="B66" s="46">
        <v>8518.4140625</v>
      </c>
      <c r="C66" s="96">
        <v>1.9300682361964232E-2</v>
      </c>
      <c r="D66" s="46">
        <v>353.434977</v>
      </c>
      <c r="E66" s="46">
        <v>5.5224215156250001</v>
      </c>
      <c r="F66" s="46">
        <v>1127.1245565218014</v>
      </c>
      <c r="G66" s="46">
        <v>0</v>
      </c>
      <c r="H66" s="46">
        <v>0</v>
      </c>
      <c r="I66" s="46">
        <v>0</v>
      </c>
      <c r="J66" s="46">
        <v>0</v>
      </c>
      <c r="K66" s="40">
        <v>0</v>
      </c>
      <c r="L66" s="40">
        <v>0</v>
      </c>
      <c r="M66" s="40">
        <v>468.75</v>
      </c>
      <c r="N66" s="40">
        <v>25</v>
      </c>
      <c r="O66" s="40">
        <v>0</v>
      </c>
      <c r="P66" s="40">
        <v>458.734375</v>
      </c>
      <c r="Q66" s="40">
        <v>0</v>
      </c>
      <c r="R66" s="40">
        <v>2360</v>
      </c>
      <c r="S66" s="40">
        <v>103.125</v>
      </c>
      <c r="T66" s="40">
        <v>156.25</v>
      </c>
      <c r="U66" s="40">
        <v>452.8125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46.875</v>
      </c>
      <c r="AC66" s="40">
        <v>109.375</v>
      </c>
      <c r="AD66" s="40">
        <v>93.75</v>
      </c>
      <c r="AE66" s="40">
        <v>140.625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51.5625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78.125</v>
      </c>
      <c r="AV66" s="40">
        <v>0</v>
      </c>
      <c r="AW66" s="40">
        <v>0</v>
      </c>
      <c r="AX66" s="40">
        <v>0</v>
      </c>
      <c r="AY66" s="40">
        <v>109.375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93.75</v>
      </c>
      <c r="BI66" s="46">
        <v>5875.2339315218014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45839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/>
      <c r="D5" s="87"/>
      <c r="F5" s="86"/>
      <c r="H5" s="72"/>
      <c r="K5" s="46">
        <f t="shared" si="0"/>
        <v>0</v>
      </c>
    </row>
    <row r="6" spans="1:11" ht="15" customHeight="1">
      <c r="A6" s="41" t="s">
        <v>35</v>
      </c>
      <c r="B6" s="13" t="s">
        <v>36</v>
      </c>
      <c r="C6" s="42">
        <v>323</v>
      </c>
      <c r="D6" s="86">
        <v>45863</v>
      </c>
      <c r="F6" s="86"/>
      <c r="H6" s="71"/>
      <c r="K6" s="40">
        <f t="shared" si="0"/>
        <v>323</v>
      </c>
    </row>
    <row r="7" spans="1:11" ht="15" customHeight="1">
      <c r="A7" s="41" t="s">
        <v>37</v>
      </c>
      <c r="B7" s="13" t="s">
        <v>38</v>
      </c>
      <c r="C7" s="40">
        <v>1288</v>
      </c>
      <c r="D7" s="87">
        <v>45864</v>
      </c>
      <c r="F7" s="86"/>
      <c r="H7" s="72"/>
      <c r="K7" s="40">
        <f t="shared" si="0"/>
        <v>1288</v>
      </c>
    </row>
    <row r="8" spans="1:11" ht="15" customHeight="1">
      <c r="A8" s="41" t="s">
        <v>40</v>
      </c>
      <c r="B8" s="13" t="s">
        <v>41</v>
      </c>
      <c r="C8" s="40">
        <v>5050.91</v>
      </c>
      <c r="D8" s="86">
        <v>45859</v>
      </c>
      <c r="E8" s="42"/>
      <c r="F8" s="86"/>
      <c r="H8" s="71"/>
      <c r="K8" s="40">
        <f t="shared" si="0"/>
        <v>5050.91</v>
      </c>
    </row>
    <row r="9" spans="1:11" ht="15" customHeight="1">
      <c r="A9" s="41" t="s">
        <v>43</v>
      </c>
      <c r="B9" s="13" t="s">
        <v>44</v>
      </c>
      <c r="C9" s="73">
        <v>4291</v>
      </c>
      <c r="D9" s="86">
        <v>45854</v>
      </c>
      <c r="F9" s="86"/>
      <c r="H9" s="71"/>
      <c r="K9" s="46">
        <f t="shared" si="0"/>
        <v>4291</v>
      </c>
    </row>
    <row r="10" spans="1:11" ht="15" customHeight="1">
      <c r="A10" s="41" t="s">
        <v>46</v>
      </c>
      <c r="B10" s="13" t="s">
        <v>47</v>
      </c>
      <c r="C10" s="73">
        <v>4567</v>
      </c>
      <c r="D10" s="87">
        <v>45861</v>
      </c>
      <c r="F10" s="86"/>
      <c r="H10" s="71"/>
      <c r="K10" s="46">
        <f t="shared" si="0"/>
        <v>4567</v>
      </c>
    </row>
    <row r="11" spans="1:11" ht="15" customHeight="1">
      <c r="A11" s="41" t="s">
        <v>49</v>
      </c>
      <c r="B11" s="13" t="s">
        <v>50</v>
      </c>
      <c r="C11" s="46">
        <v>4536</v>
      </c>
      <c r="D11" s="87">
        <v>45863</v>
      </c>
      <c r="F11" s="86"/>
      <c r="H11" s="72"/>
      <c r="K11" s="46">
        <f t="shared" si="0"/>
        <v>4536</v>
      </c>
    </row>
    <row r="12" spans="1:11" ht="15" customHeight="1">
      <c r="A12" s="41" t="s">
        <v>52</v>
      </c>
      <c r="B12" s="13" t="s">
        <v>166</v>
      </c>
      <c r="C12" s="73">
        <v>4584</v>
      </c>
      <c r="D12" s="86">
        <v>45855</v>
      </c>
      <c r="F12" s="86"/>
      <c r="H12" s="71"/>
      <c r="K12" s="46">
        <f t="shared" si="0"/>
        <v>4584</v>
      </c>
    </row>
    <row r="13" spans="1:11" ht="15" customHeight="1">
      <c r="A13" s="41" t="s">
        <v>55</v>
      </c>
      <c r="B13" s="13" t="s">
        <v>56</v>
      </c>
      <c r="C13" s="46">
        <v>4273</v>
      </c>
      <c r="D13" s="86">
        <v>45854</v>
      </c>
      <c r="F13" s="86"/>
      <c r="H13" s="71"/>
      <c r="K13" s="46">
        <f t="shared" si="0"/>
        <v>4273</v>
      </c>
    </row>
    <row r="14" spans="1:11" ht="15" customHeight="1">
      <c r="A14" s="41" t="s">
        <v>58</v>
      </c>
      <c r="B14" s="13" t="s">
        <v>59</v>
      </c>
      <c r="C14" s="42">
        <v>5598.22</v>
      </c>
      <c r="D14" s="86">
        <v>45864</v>
      </c>
      <c r="E14" s="42"/>
      <c r="F14" s="86"/>
      <c r="G14" s="42"/>
      <c r="H14" s="71"/>
      <c r="K14" s="40">
        <f t="shared" si="0"/>
        <v>5598.22</v>
      </c>
    </row>
    <row r="15" spans="1:11" ht="15" customHeight="1">
      <c r="A15" s="41" t="s">
        <v>61</v>
      </c>
      <c r="B15" s="13" t="s">
        <v>62</v>
      </c>
      <c r="C15" s="46">
        <v>5391</v>
      </c>
      <c r="D15" s="86">
        <v>45860</v>
      </c>
      <c r="F15" s="86"/>
      <c r="H15" s="72"/>
      <c r="K15" s="46">
        <f t="shared" si="0"/>
        <v>5391</v>
      </c>
    </row>
    <row r="16" spans="1:11" ht="15" customHeight="1">
      <c r="A16" s="41" t="s">
        <v>63</v>
      </c>
      <c r="B16" s="13" t="s">
        <v>64</v>
      </c>
      <c r="C16" s="42">
        <v>5712</v>
      </c>
      <c r="D16" s="86">
        <v>45855</v>
      </c>
      <c r="F16" s="86"/>
      <c r="H16" s="71"/>
      <c r="K16" s="40">
        <f t="shared" si="0"/>
        <v>5712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4700</v>
      </c>
      <c r="D18" s="87">
        <v>45857</v>
      </c>
      <c r="E18" s="46"/>
      <c r="F18" s="86"/>
      <c r="H18" s="72"/>
      <c r="K18" s="46">
        <f t="shared" si="0"/>
        <v>4700</v>
      </c>
    </row>
    <row r="19" spans="1:11" ht="15" customHeight="1">
      <c r="A19" s="41" t="s">
        <v>69</v>
      </c>
      <c r="B19" s="13" t="s">
        <v>70</v>
      </c>
      <c r="C19" s="73">
        <v>6087.95</v>
      </c>
      <c r="D19" s="86">
        <v>45860</v>
      </c>
      <c r="F19" s="86"/>
      <c r="H19" s="71"/>
      <c r="K19" s="46">
        <f t="shared" si="0"/>
        <v>6087.95</v>
      </c>
    </row>
    <row r="20" spans="1:11" ht="15" customHeight="1">
      <c r="A20" s="41" t="s">
        <v>71</v>
      </c>
      <c r="B20" s="13" t="s">
        <v>72</v>
      </c>
      <c r="C20" s="73">
        <v>5120</v>
      </c>
      <c r="D20" s="86">
        <v>45861</v>
      </c>
      <c r="F20" s="86"/>
      <c r="H20" s="71"/>
      <c r="K20" s="46">
        <f t="shared" si="0"/>
        <v>5120</v>
      </c>
    </row>
    <row r="21" spans="1:11" ht="15" customHeight="1">
      <c r="A21" s="41" t="s">
        <v>73</v>
      </c>
      <c r="B21" s="13" t="s">
        <v>74</v>
      </c>
      <c r="C21" s="73">
        <v>5140</v>
      </c>
      <c r="D21" s="86">
        <v>45854</v>
      </c>
      <c r="F21" s="86"/>
      <c r="H21" s="71"/>
      <c r="K21" s="46">
        <f t="shared" si="0"/>
        <v>5140</v>
      </c>
    </row>
    <row r="22" spans="1:11" ht="1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">
      <c r="A23" s="41" t="s">
        <v>77</v>
      </c>
      <c r="B23" s="13" t="s">
        <v>78</v>
      </c>
      <c r="C23" s="40">
        <v>20000</v>
      </c>
      <c r="D23" s="87">
        <v>45855</v>
      </c>
      <c r="F23" s="86"/>
      <c r="H23" s="72"/>
      <c r="K23" s="40">
        <f t="shared" si="0"/>
        <v>20000</v>
      </c>
    </row>
    <row r="24" spans="1:11" ht="16">
      <c r="A24" s="41" t="s">
        <v>79</v>
      </c>
      <c r="B24" s="13" t="s">
        <v>80</v>
      </c>
      <c r="C24" s="73">
        <v>4083</v>
      </c>
      <c r="D24" s="86">
        <v>45841</v>
      </c>
      <c r="F24" s="86"/>
      <c r="H24" s="71"/>
      <c r="K24" s="46">
        <f t="shared" si="0"/>
        <v>4083</v>
      </c>
    </row>
    <row r="25" spans="1:11" ht="1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">
      <c r="A26" s="41" t="s">
        <v>83</v>
      </c>
      <c r="B26" s="13" t="s">
        <v>84</v>
      </c>
      <c r="C26" s="73">
        <v>5203</v>
      </c>
      <c r="D26" s="86">
        <v>45856</v>
      </c>
      <c r="F26" s="86"/>
      <c r="H26" s="71"/>
      <c r="K26" s="46">
        <f t="shared" si="0"/>
        <v>5203</v>
      </c>
    </row>
    <row r="27" spans="1:11" ht="16">
      <c r="A27" s="41" t="s">
        <v>85</v>
      </c>
      <c r="B27" s="13" t="s">
        <v>86</v>
      </c>
      <c r="C27" s="46">
        <v>5062</v>
      </c>
      <c r="D27" s="87">
        <v>45855</v>
      </c>
      <c r="F27" s="86"/>
      <c r="H27" s="72"/>
      <c r="K27" s="46">
        <f t="shared" si="0"/>
        <v>5062</v>
      </c>
    </row>
    <row r="28" spans="1:11" ht="16">
      <c r="A28" s="41" t="s">
        <v>87</v>
      </c>
      <c r="B28" s="13" t="s">
        <v>88</v>
      </c>
      <c r="C28" s="73">
        <v>4541</v>
      </c>
      <c r="D28" s="86">
        <v>45854</v>
      </c>
      <c r="F28" s="86"/>
      <c r="H28" s="71"/>
      <c r="K28" s="46">
        <f t="shared" si="0"/>
        <v>4541</v>
      </c>
    </row>
    <row r="29" spans="1:11" ht="16">
      <c r="A29" s="41" t="s">
        <v>89</v>
      </c>
      <c r="B29" s="13" t="s">
        <v>90</v>
      </c>
      <c r="C29" s="73">
        <v>5083</v>
      </c>
      <c r="D29" s="86">
        <v>45863</v>
      </c>
      <c r="F29" s="86"/>
      <c r="H29" s="71"/>
      <c r="K29" s="46">
        <f t="shared" si="0"/>
        <v>5083</v>
      </c>
    </row>
    <row r="30" spans="1:11" ht="16">
      <c r="A30" s="41" t="s">
        <v>91</v>
      </c>
      <c r="B30" s="13" t="s">
        <v>92</v>
      </c>
      <c r="C30" s="40">
        <v>13339</v>
      </c>
      <c r="D30" s="87">
        <v>45863</v>
      </c>
      <c r="F30" s="86"/>
      <c r="H30" s="72"/>
      <c r="K30" s="40">
        <f t="shared" si="0"/>
        <v>13339</v>
      </c>
    </row>
    <row r="31" spans="1:11" ht="16">
      <c r="A31" s="41" t="s">
        <v>93</v>
      </c>
      <c r="B31" s="13" t="s">
        <v>94</v>
      </c>
      <c r="C31" s="42">
        <v>4969</v>
      </c>
      <c r="D31" s="86">
        <v>45856</v>
      </c>
      <c r="F31" s="86"/>
      <c r="H31" s="71"/>
      <c r="K31" s="40">
        <f t="shared" si="0"/>
        <v>4969</v>
      </c>
    </row>
    <row r="32" spans="1:11" ht="1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">
      <c r="A33" s="41" t="s">
        <v>97</v>
      </c>
      <c r="B33" s="13" t="s">
        <v>98</v>
      </c>
      <c r="C33" s="42">
        <v>4519.05</v>
      </c>
      <c r="D33" s="86">
        <v>45857</v>
      </c>
      <c r="F33" s="86"/>
      <c r="H33" s="71"/>
      <c r="K33" s="40">
        <f t="shared" si="0"/>
        <v>4519.05</v>
      </c>
    </row>
    <row r="34" spans="1:11" ht="16">
      <c r="A34" s="41" t="s">
        <v>99</v>
      </c>
      <c r="B34" s="13" t="s">
        <v>100</v>
      </c>
      <c r="C34" s="73">
        <v>4365.17</v>
      </c>
      <c r="D34" s="86">
        <v>45857</v>
      </c>
      <c r="F34" s="86"/>
      <c r="H34" s="71"/>
      <c r="K34" s="46">
        <f t="shared" si="0"/>
        <v>4365.17</v>
      </c>
    </row>
    <row r="35" spans="1:11" ht="1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">
      <c r="A36" s="41" t="s">
        <v>103</v>
      </c>
      <c r="B36" s="13" t="s">
        <v>104</v>
      </c>
      <c r="C36" s="40">
        <v>4573</v>
      </c>
      <c r="D36" s="87">
        <v>45857</v>
      </c>
      <c r="F36" s="86"/>
      <c r="H36" s="72"/>
      <c r="K36" s="40">
        <f t="shared" si="0"/>
        <v>4573</v>
      </c>
    </row>
    <row r="37" spans="1:11" ht="16">
      <c r="A37" s="41" t="s">
        <v>105</v>
      </c>
      <c r="B37" s="13" t="s">
        <v>106</v>
      </c>
      <c r="C37" s="73">
        <v>4516</v>
      </c>
      <c r="D37" s="86">
        <v>45860</v>
      </c>
      <c r="F37" s="86"/>
      <c r="H37" s="71"/>
      <c r="K37" s="46">
        <f t="shared" si="0"/>
        <v>4516</v>
      </c>
    </row>
    <row r="38" spans="1:11" ht="1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4378</v>
      </c>
      <c r="D40" s="86">
        <v>45862</v>
      </c>
      <c r="F40" s="86"/>
      <c r="H40" s="71"/>
      <c r="K40" s="46">
        <f t="shared" si="0"/>
        <v>4378</v>
      </c>
    </row>
    <row r="41" spans="1:11" ht="16">
      <c r="A41" s="41" t="s">
        <v>113</v>
      </c>
      <c r="B41" s="13" t="s">
        <v>114</v>
      </c>
      <c r="C41" s="73">
        <v>5922.86</v>
      </c>
      <c r="D41" s="86">
        <v>45865</v>
      </c>
      <c r="F41" s="86"/>
      <c r="H41" s="71"/>
      <c r="K41" s="46">
        <f t="shared" si="0"/>
        <v>5922.86</v>
      </c>
    </row>
    <row r="42" spans="1:11" ht="16">
      <c r="A42" s="41" t="s">
        <v>115</v>
      </c>
      <c r="B42" s="13" t="s">
        <v>116</v>
      </c>
      <c r="C42" s="73">
        <v>5000</v>
      </c>
      <c r="D42" s="86">
        <v>45856</v>
      </c>
      <c r="F42" s="86"/>
      <c r="H42" s="71"/>
      <c r="K42" s="46">
        <f t="shared" si="0"/>
        <v>5000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2">
        <v>5000</v>
      </c>
      <c r="D44" s="86">
        <v>45860</v>
      </c>
      <c r="F44" s="86"/>
      <c r="H44" s="71"/>
      <c r="K44" s="40">
        <f t="shared" si="0"/>
        <v>5000</v>
      </c>
    </row>
    <row r="45" spans="1:11" ht="16">
      <c r="A45" s="41" t="s">
        <v>121</v>
      </c>
      <c r="B45" s="13" t="s">
        <v>122</v>
      </c>
      <c r="C45" s="73">
        <v>5119</v>
      </c>
      <c r="D45" s="86">
        <v>45859</v>
      </c>
      <c r="F45" s="86"/>
      <c r="H45" s="71"/>
      <c r="K45" s="46">
        <f t="shared" si="0"/>
        <v>5119</v>
      </c>
    </row>
    <row r="46" spans="1:11" ht="16">
      <c r="A46" s="41" t="s">
        <v>123</v>
      </c>
      <c r="B46" s="13" t="s">
        <v>124</v>
      </c>
      <c r="C46" s="42">
        <v>4778.53</v>
      </c>
      <c r="D46" s="86">
        <v>45864</v>
      </c>
      <c r="E46" s="42"/>
      <c r="F46" s="86"/>
      <c r="G46" s="42"/>
      <c r="H46" s="71"/>
      <c r="K46" s="40">
        <f t="shared" si="0"/>
        <v>4778.53</v>
      </c>
    </row>
    <row r="47" spans="1:11" ht="1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>
        <v>5440</v>
      </c>
      <c r="D48" s="86">
        <v>45841</v>
      </c>
      <c r="E48" s="40">
        <v>4479</v>
      </c>
      <c r="F48" s="86">
        <v>45857</v>
      </c>
      <c r="H48" s="71"/>
      <c r="K48" s="46">
        <f t="shared" si="0"/>
        <v>9919</v>
      </c>
    </row>
    <row r="49" spans="1:11" ht="16">
      <c r="A49" s="41" t="s">
        <v>129</v>
      </c>
      <c r="B49" s="13" t="s">
        <v>130</v>
      </c>
      <c r="C49" s="40">
        <v>4475</v>
      </c>
      <c r="D49" s="87">
        <v>45857</v>
      </c>
      <c r="F49" s="86"/>
      <c r="H49" s="72"/>
      <c r="K49" s="40">
        <f t="shared" si="0"/>
        <v>4475</v>
      </c>
    </row>
    <row r="50" spans="1:11" ht="16">
      <c r="A50" s="41" t="s">
        <v>131</v>
      </c>
      <c r="B50" s="13" t="s">
        <v>132</v>
      </c>
      <c r="C50" s="42">
        <v>5410</v>
      </c>
      <c r="D50" s="86">
        <v>45857</v>
      </c>
      <c r="F50" s="86"/>
      <c r="H50" s="71"/>
      <c r="K50" s="40">
        <f t="shared" si="0"/>
        <v>5410</v>
      </c>
    </row>
    <row r="51" spans="1:11" ht="1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">
      <c r="A52" s="41" t="s">
        <v>135</v>
      </c>
      <c r="B52" s="13" t="s">
        <v>136</v>
      </c>
      <c r="C52" s="73">
        <v>4860</v>
      </c>
      <c r="D52" s="86">
        <v>45860</v>
      </c>
      <c r="F52" s="86"/>
      <c r="H52" s="71"/>
      <c r="K52" s="46">
        <f t="shared" si="0"/>
        <v>4860</v>
      </c>
    </row>
    <row r="53" spans="1:11" ht="1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16">
      <c r="A56" s="41" t="s">
        <v>143</v>
      </c>
      <c r="B56" s="13" t="s">
        <v>144</v>
      </c>
      <c r="C56" s="42">
        <v>4403.5</v>
      </c>
      <c r="D56" s="86">
        <v>45859</v>
      </c>
      <c r="F56" s="86"/>
      <c r="H56" s="71"/>
      <c r="K56" s="40">
        <f t="shared" si="0"/>
        <v>4403.5</v>
      </c>
    </row>
    <row r="57" spans="1:11" ht="16">
      <c r="A57" s="41" t="s">
        <v>145</v>
      </c>
      <c r="B57" s="13" t="s">
        <v>146</v>
      </c>
      <c r="C57" s="46">
        <v>4529</v>
      </c>
      <c r="D57" s="87">
        <v>45865</v>
      </c>
      <c r="F57" s="86"/>
      <c r="H57" s="72"/>
      <c r="K57" s="46">
        <f t="shared" si="0"/>
        <v>4529</v>
      </c>
    </row>
    <row r="58" spans="1:11" ht="16">
      <c r="A58" s="41" t="s">
        <v>147</v>
      </c>
      <c r="B58" s="13" t="s">
        <v>148</v>
      </c>
      <c r="C58" s="40">
        <v>5329</v>
      </c>
      <c r="D58" s="87">
        <v>45854</v>
      </c>
      <c r="F58" s="86"/>
      <c r="H58" s="72"/>
      <c r="K58" s="40">
        <f t="shared" si="0"/>
        <v>5329</v>
      </c>
    </row>
    <row r="59" spans="1:11" ht="16">
      <c r="A59" s="41" t="s">
        <v>149</v>
      </c>
      <c r="B59" s="13" t="s">
        <v>36</v>
      </c>
      <c r="C59" s="73">
        <v>5281</v>
      </c>
      <c r="D59" s="86">
        <v>45863</v>
      </c>
      <c r="F59" s="86"/>
      <c r="H59" s="71"/>
      <c r="K59" s="46">
        <f t="shared" si="0"/>
        <v>5281</v>
      </c>
    </row>
    <row r="60" spans="1:11" ht="16">
      <c r="A60" s="41" t="s">
        <v>150</v>
      </c>
      <c r="B60" s="13" t="s">
        <v>151</v>
      </c>
      <c r="C60" s="73">
        <v>4585</v>
      </c>
      <c r="D60" s="86">
        <v>45855</v>
      </c>
      <c r="F60" s="86"/>
      <c r="H60" s="71"/>
      <c r="K60" s="46">
        <f t="shared" si="0"/>
        <v>4585</v>
      </c>
    </row>
    <row r="61" spans="1:11" ht="16">
      <c r="A61" s="41" t="s">
        <v>152</v>
      </c>
      <c r="B61" s="13" t="s">
        <v>153</v>
      </c>
      <c r="C61" s="46">
        <v>4410.3999999999996</v>
      </c>
      <c r="D61" s="86">
        <v>45859</v>
      </c>
      <c r="F61" s="86"/>
      <c r="H61" s="71"/>
      <c r="K61" s="46">
        <f t="shared" si="0"/>
        <v>4410.3999999999996</v>
      </c>
    </row>
    <row r="62" spans="1:11" ht="16">
      <c r="A62" s="41" t="s">
        <v>154</v>
      </c>
      <c r="B62" s="13" t="s">
        <v>155</v>
      </c>
      <c r="C62" s="40">
        <v>12000</v>
      </c>
      <c r="D62" s="49">
        <v>45863</v>
      </c>
      <c r="F62" s="86"/>
      <c r="H62" s="71"/>
      <c r="K62" s="40">
        <f t="shared" si="0"/>
        <v>12000</v>
      </c>
    </row>
    <row r="63" spans="1:11" ht="16">
      <c r="A63" s="41" t="s">
        <v>156</v>
      </c>
      <c r="B63" s="13" t="s">
        <v>157</v>
      </c>
      <c r="C63" s="46">
        <v>4875</v>
      </c>
      <c r="D63" s="87">
        <v>45859</v>
      </c>
      <c r="F63" s="86"/>
      <c r="H63" s="72"/>
      <c r="K63" s="46">
        <f t="shared" si="0"/>
        <v>4875</v>
      </c>
    </row>
    <row r="64" spans="1:11" ht="16">
      <c r="A64" s="41" t="s">
        <v>158</v>
      </c>
      <c r="B64" s="13" t="s">
        <v>159</v>
      </c>
      <c r="C64" s="73">
        <v>5152</v>
      </c>
      <c r="D64" s="86">
        <v>45863</v>
      </c>
      <c r="F64" s="86"/>
      <c r="H64" s="71"/>
      <c r="K64" s="46">
        <f t="shared" si="0"/>
        <v>5152</v>
      </c>
    </row>
    <row r="65" spans="1:27" ht="16">
      <c r="A65" s="41" t="s">
        <v>160</v>
      </c>
      <c r="B65" s="13" t="s">
        <v>161</v>
      </c>
      <c r="C65" s="42">
        <v>4962</v>
      </c>
      <c r="D65" s="86">
        <v>45857</v>
      </c>
      <c r="F65" s="86"/>
      <c r="H65" s="71"/>
      <c r="K65" s="40">
        <f t="shared" si="0"/>
        <v>4962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263304.58999999997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50.83203125" customWidth="1"/>
    <col min="3" max="18" width="19.5" customWidth="1"/>
    <col min="19" max="19" width="53.83203125" customWidth="1"/>
    <col min="20" max="20" width="15.1640625" customWidth="1"/>
  </cols>
  <sheetData>
    <row r="1" spans="1:20" ht="16.5" customHeight="1">
      <c r="A1" s="97"/>
      <c r="B1" s="246" t="s">
        <v>257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8"/>
    </row>
    <row r="2" spans="1:20" ht="58.5" customHeight="1">
      <c r="A2" s="97" t="s">
        <v>1</v>
      </c>
      <c r="B2" s="98">
        <v>1</v>
      </c>
      <c r="C2" s="98" t="s">
        <v>2</v>
      </c>
      <c r="D2" s="98" t="s">
        <v>168</v>
      </c>
      <c r="E2" s="98" t="s">
        <v>169</v>
      </c>
      <c r="F2" s="98" t="s">
        <v>170</v>
      </c>
      <c r="G2" s="98" t="s">
        <v>6</v>
      </c>
      <c r="H2" s="98" t="s">
        <v>7</v>
      </c>
      <c r="I2" s="98" t="s">
        <v>171</v>
      </c>
      <c r="J2" s="98" t="s">
        <v>258</v>
      </c>
      <c r="K2" s="98" t="s">
        <v>173</v>
      </c>
      <c r="L2" s="98" t="s">
        <v>174</v>
      </c>
      <c r="M2" s="98" t="s">
        <v>175</v>
      </c>
      <c r="N2" s="98" t="s">
        <v>176</v>
      </c>
      <c r="O2" s="98" t="s">
        <v>177</v>
      </c>
      <c r="P2" s="98"/>
      <c r="Q2" s="98"/>
      <c r="R2" s="98" t="s">
        <v>179</v>
      </c>
      <c r="S2" s="98"/>
      <c r="T2" s="98"/>
    </row>
    <row r="3" spans="1:20" ht="12.75" customHeight="1">
      <c r="A3" s="97" t="s">
        <v>18</v>
      </c>
      <c r="B3" s="99" t="s">
        <v>19</v>
      </c>
      <c r="C3" s="97"/>
      <c r="D3" s="97">
        <v>0</v>
      </c>
      <c r="E3" s="97"/>
      <c r="F3" s="97"/>
      <c r="G3" s="97"/>
      <c r="H3" s="97">
        <v>1</v>
      </c>
      <c r="I3" s="97">
        <f>T7</f>
        <v>117.81165900000001</v>
      </c>
      <c r="J3" s="97"/>
      <c r="K3" s="97"/>
      <c r="L3" s="52"/>
      <c r="M3" s="97"/>
      <c r="N3" s="97"/>
      <c r="O3" s="97"/>
      <c r="P3" s="97"/>
      <c r="Q3" s="97"/>
      <c r="R3" s="97"/>
      <c r="S3" s="98"/>
      <c r="T3" s="97"/>
    </row>
    <row r="4" spans="1:20" ht="12.75" customHeight="1">
      <c r="A4" s="97" t="s">
        <v>20</v>
      </c>
      <c r="B4" s="99" t="s">
        <v>19</v>
      </c>
      <c r="C4" s="97"/>
      <c r="D4" s="97">
        <v>0</v>
      </c>
      <c r="E4" s="97"/>
      <c r="F4" s="97"/>
      <c r="G4" s="97"/>
      <c r="H4" s="97">
        <v>1</v>
      </c>
      <c r="I4" s="97">
        <f>T7</f>
        <v>117.81165900000001</v>
      </c>
      <c r="J4" s="97"/>
      <c r="K4" s="97"/>
      <c r="L4" s="52"/>
      <c r="M4" s="97"/>
      <c r="N4" s="97"/>
      <c r="O4" s="97"/>
      <c r="P4" s="97"/>
      <c r="Q4" s="97"/>
      <c r="R4" s="97"/>
      <c r="S4" s="100" t="s">
        <v>21</v>
      </c>
      <c r="T4" s="101">
        <f>'ANNUAL-EXPENSE-DETAILS'!BF7</f>
        <v>334269</v>
      </c>
    </row>
    <row r="5" spans="1:20" ht="12.75" customHeight="1">
      <c r="A5" s="97" t="s">
        <v>22</v>
      </c>
      <c r="B5" s="99" t="s">
        <v>19</v>
      </c>
      <c r="C5" s="97"/>
      <c r="D5" s="97">
        <v>0</v>
      </c>
      <c r="E5" s="97"/>
      <c r="F5" s="97"/>
      <c r="G5" s="97"/>
      <c r="H5" s="97">
        <v>1</v>
      </c>
      <c r="I5" s="97">
        <f>T7</f>
        <v>117.81165900000001</v>
      </c>
      <c r="J5" s="97"/>
      <c r="K5" s="97"/>
      <c r="L5" s="52"/>
      <c r="M5" s="97"/>
      <c r="N5" s="97"/>
      <c r="O5" s="97"/>
      <c r="P5" s="97"/>
      <c r="Q5" s="97"/>
      <c r="R5" s="97"/>
      <c r="S5" s="100" t="s">
        <v>23</v>
      </c>
      <c r="T5" s="101">
        <f>'ANNUAL-EXPENSE-DETAILS'!BE7</f>
        <v>38700</v>
      </c>
    </row>
    <row r="6" spans="1:20" ht="12.75" customHeight="1">
      <c r="A6" s="97" t="s">
        <v>24</v>
      </c>
      <c r="B6" s="13" t="s">
        <v>25</v>
      </c>
      <c r="C6" s="9">
        <v>3717.5</v>
      </c>
      <c r="D6" s="97">
        <f t="shared" ref="D6:D69" si="0">SUM($C$3:$C$5)/64</f>
        <v>0</v>
      </c>
      <c r="E6" s="97">
        <f t="shared" ref="E6:E69" si="1">C6+D6</f>
        <v>3717.5</v>
      </c>
      <c r="F6" s="97">
        <f t="shared" ref="F6:F70" si="2">IF($C$70=0, 0, E6/$C$70)</f>
        <v>8.5438754145532019E-3</v>
      </c>
      <c r="G6" s="97">
        <f t="shared" ref="G6:G69" si="3">F6*$T$5</f>
        <v>330.64797854320892</v>
      </c>
      <c r="H6" s="97">
        <v>3</v>
      </c>
      <c r="I6" s="97">
        <f t="shared" ref="I6:I69" si="4">$T$7*H6</f>
        <v>353.434977</v>
      </c>
      <c r="J6" s="97">
        <f t="shared" ref="J6:J69" si="5">G6+$T$9+I6</f>
        <v>689.60537705883394</v>
      </c>
      <c r="K6" s="97">
        <f t="shared" ref="K6:K69" si="6">$T$11/64</f>
        <v>5222.953125</v>
      </c>
      <c r="L6" s="14">
        <v>0</v>
      </c>
      <c r="M6" s="97">
        <v>0</v>
      </c>
      <c r="N6" s="97">
        <v>0</v>
      </c>
      <c r="O6" s="97">
        <v>0</v>
      </c>
      <c r="P6" s="97"/>
      <c r="Q6" s="97"/>
      <c r="R6" s="97">
        <f t="shared" ref="R6:R69" si="7">(J6+K6+L6+M6+N6+O6)*$B$2</f>
        <v>5912.5585020588342</v>
      </c>
      <c r="S6" s="98"/>
      <c r="T6" s="97"/>
    </row>
    <row r="7" spans="1:20" ht="12.75" customHeight="1">
      <c r="A7" s="97" t="s">
        <v>26</v>
      </c>
      <c r="B7" s="13" t="s">
        <v>27</v>
      </c>
      <c r="C7" s="9">
        <v>16837</v>
      </c>
      <c r="D7" s="97">
        <f t="shared" si="0"/>
        <v>0</v>
      </c>
      <c r="E7" s="97">
        <f t="shared" si="1"/>
        <v>16837</v>
      </c>
      <c r="F7" s="97">
        <f t="shared" si="2"/>
        <v>3.8696228743734302E-2</v>
      </c>
      <c r="G7" s="97">
        <f t="shared" si="3"/>
        <v>1497.5440523825175</v>
      </c>
      <c r="H7" s="97">
        <v>4</v>
      </c>
      <c r="I7" s="97">
        <f t="shared" si="4"/>
        <v>471.24663600000002</v>
      </c>
      <c r="J7" s="97">
        <f t="shared" si="5"/>
        <v>1974.3131098981426</v>
      </c>
      <c r="K7" s="97">
        <f t="shared" si="6"/>
        <v>5222.953125</v>
      </c>
      <c r="L7" s="7">
        <v>0</v>
      </c>
      <c r="M7" s="97">
        <v>0</v>
      </c>
      <c r="N7" s="97">
        <v>0</v>
      </c>
      <c r="O7" s="97">
        <v>0</v>
      </c>
      <c r="P7" s="97"/>
      <c r="Q7" s="97"/>
      <c r="R7" s="97">
        <f t="shared" si="7"/>
        <v>7197.266234898143</v>
      </c>
      <c r="S7" s="98" t="s">
        <v>180</v>
      </c>
      <c r="T7" s="17">
        <v>117.81165900000001</v>
      </c>
    </row>
    <row r="8" spans="1:20" ht="12.75" customHeight="1">
      <c r="A8" s="97" t="s">
        <v>29</v>
      </c>
      <c r="B8" s="13" t="s">
        <v>30</v>
      </c>
      <c r="C8" s="9">
        <v>14312.5</v>
      </c>
      <c r="D8" s="97">
        <f t="shared" si="0"/>
        <v>0</v>
      </c>
      <c r="E8" s="97">
        <f t="shared" si="1"/>
        <v>14312.5</v>
      </c>
      <c r="F8" s="97">
        <f t="shared" si="2"/>
        <v>3.2894207631685997E-2</v>
      </c>
      <c r="G8" s="97">
        <f t="shared" si="3"/>
        <v>1273.005835346248</v>
      </c>
      <c r="H8" s="97">
        <v>4</v>
      </c>
      <c r="I8" s="97">
        <f t="shared" si="4"/>
        <v>471.24663600000002</v>
      </c>
      <c r="J8" s="97">
        <f t="shared" si="5"/>
        <v>1749.774892861873</v>
      </c>
      <c r="K8" s="97">
        <f t="shared" si="6"/>
        <v>5222.953125</v>
      </c>
      <c r="L8" s="7">
        <v>750</v>
      </c>
      <c r="M8" s="97">
        <v>0</v>
      </c>
      <c r="N8" s="97">
        <v>0</v>
      </c>
      <c r="O8" s="97">
        <v>0</v>
      </c>
      <c r="P8" s="97"/>
      <c r="Q8" s="97"/>
      <c r="R8" s="97">
        <f t="shared" si="7"/>
        <v>7722.728017861873</v>
      </c>
      <c r="S8" s="98" t="s">
        <v>181</v>
      </c>
      <c r="T8" s="97">
        <f>$T$7*3</f>
        <v>353.434977</v>
      </c>
    </row>
    <row r="9" spans="1:20" ht="12.75" customHeight="1">
      <c r="A9" s="97" t="s">
        <v>32</v>
      </c>
      <c r="B9" s="13" t="s">
        <v>33</v>
      </c>
      <c r="C9" s="9">
        <v>3938</v>
      </c>
      <c r="D9" s="97">
        <f t="shared" si="0"/>
        <v>0</v>
      </c>
      <c r="E9" s="97">
        <f t="shared" si="1"/>
        <v>3938</v>
      </c>
      <c r="F9" s="97">
        <f t="shared" si="2"/>
        <v>9.0506473120404874E-3</v>
      </c>
      <c r="G9" s="97">
        <f t="shared" si="3"/>
        <v>350.26005097596686</v>
      </c>
      <c r="H9" s="97">
        <v>4</v>
      </c>
      <c r="I9" s="97">
        <f t="shared" si="4"/>
        <v>471.24663600000002</v>
      </c>
      <c r="J9" s="97">
        <f t="shared" si="5"/>
        <v>827.02910849159184</v>
      </c>
      <c r="K9" s="97">
        <f t="shared" si="6"/>
        <v>5222.953125</v>
      </c>
      <c r="L9" s="7">
        <v>0</v>
      </c>
      <c r="M9" s="97">
        <v>0</v>
      </c>
      <c r="N9" s="97">
        <v>0</v>
      </c>
      <c r="O9" s="97">
        <v>0</v>
      </c>
      <c r="P9" s="97"/>
      <c r="Q9" s="97"/>
      <c r="R9" s="97">
        <f t="shared" si="7"/>
        <v>6049.9822334915916</v>
      </c>
      <c r="S9" s="102" t="s">
        <v>182</v>
      </c>
      <c r="T9" s="103">
        <f>T8/64</f>
        <v>5.5224215156250001</v>
      </c>
    </row>
    <row r="10" spans="1:20" ht="12.75" customHeight="1">
      <c r="A10" s="97" t="s">
        <v>35</v>
      </c>
      <c r="B10" s="13" t="s">
        <v>36</v>
      </c>
      <c r="C10" s="9">
        <v>5258</v>
      </c>
      <c r="D10" s="97">
        <f t="shared" si="0"/>
        <v>0</v>
      </c>
      <c r="E10" s="97">
        <f t="shared" si="1"/>
        <v>5258</v>
      </c>
      <c r="F10" s="97">
        <f t="shared" si="2"/>
        <v>1.2084383841216068E-2</v>
      </c>
      <c r="G10" s="97">
        <f t="shared" si="3"/>
        <v>467.66565465506181</v>
      </c>
      <c r="H10" s="97">
        <v>3</v>
      </c>
      <c r="I10" s="97">
        <f t="shared" si="4"/>
        <v>353.434977</v>
      </c>
      <c r="J10" s="97">
        <f t="shared" si="5"/>
        <v>826.62305317068683</v>
      </c>
      <c r="K10" s="97">
        <f t="shared" si="6"/>
        <v>5222.953125</v>
      </c>
      <c r="L10" s="7">
        <v>0</v>
      </c>
      <c r="M10" s="97">
        <v>0</v>
      </c>
      <c r="N10" s="97">
        <v>1000</v>
      </c>
      <c r="O10" s="97">
        <v>0</v>
      </c>
      <c r="P10" s="97"/>
      <c r="Q10" s="97"/>
      <c r="R10" s="97">
        <f t="shared" si="7"/>
        <v>7049.5761781706869</v>
      </c>
      <c r="S10" s="98"/>
      <c r="T10" s="97"/>
    </row>
    <row r="11" spans="1:20" ht="12.75" customHeight="1">
      <c r="A11" s="97" t="s">
        <v>37</v>
      </c>
      <c r="B11" s="13" t="s">
        <v>38</v>
      </c>
      <c r="C11" s="9">
        <v>5707.5</v>
      </c>
      <c r="D11" s="97">
        <f t="shared" si="0"/>
        <v>0</v>
      </c>
      <c r="E11" s="97">
        <f t="shared" si="1"/>
        <v>5707.5</v>
      </c>
      <c r="F11" s="97">
        <f t="shared" si="2"/>
        <v>1.311746306081033E-2</v>
      </c>
      <c r="G11" s="97">
        <f t="shared" si="3"/>
        <v>507.64582045335976</v>
      </c>
      <c r="H11" s="97">
        <v>3</v>
      </c>
      <c r="I11" s="97">
        <f t="shared" si="4"/>
        <v>353.434977</v>
      </c>
      <c r="J11" s="97">
        <f t="shared" si="5"/>
        <v>866.60321896898472</v>
      </c>
      <c r="K11" s="97">
        <f t="shared" si="6"/>
        <v>5222.953125</v>
      </c>
      <c r="L11" s="7">
        <v>0</v>
      </c>
      <c r="M11" s="97">
        <v>0</v>
      </c>
      <c r="N11" s="97">
        <v>0</v>
      </c>
      <c r="O11" s="97">
        <v>0</v>
      </c>
      <c r="P11" s="97"/>
      <c r="Q11" s="97"/>
      <c r="R11" s="97">
        <f t="shared" si="7"/>
        <v>6089.5563439689849</v>
      </c>
      <c r="S11" s="102" t="s">
        <v>21</v>
      </c>
      <c r="T11" s="103">
        <f>'ANNUAL-EXPENSE-DETAILS'!BF7</f>
        <v>334269</v>
      </c>
    </row>
    <row r="12" spans="1:20" ht="12.75" customHeight="1">
      <c r="A12" s="97" t="s">
        <v>40</v>
      </c>
      <c r="B12" s="13" t="s">
        <v>41</v>
      </c>
      <c r="C12" s="9">
        <v>0</v>
      </c>
      <c r="D12" s="97">
        <f t="shared" si="0"/>
        <v>0</v>
      </c>
      <c r="E12" s="97">
        <f t="shared" si="1"/>
        <v>0</v>
      </c>
      <c r="F12" s="97">
        <f t="shared" si="2"/>
        <v>0</v>
      </c>
      <c r="G12" s="97">
        <f t="shared" si="3"/>
        <v>0</v>
      </c>
      <c r="H12" s="97">
        <v>3</v>
      </c>
      <c r="I12" s="97">
        <f t="shared" si="4"/>
        <v>353.434977</v>
      </c>
      <c r="J12" s="97">
        <f t="shared" si="5"/>
        <v>358.95739851562502</v>
      </c>
      <c r="K12" s="97">
        <f t="shared" si="6"/>
        <v>5222.953125</v>
      </c>
      <c r="L12" s="7">
        <v>750</v>
      </c>
      <c r="M12" s="97">
        <v>0</v>
      </c>
      <c r="N12" s="97">
        <v>0</v>
      </c>
      <c r="O12" s="97">
        <v>0</v>
      </c>
      <c r="P12" s="97"/>
      <c r="Q12" s="97"/>
      <c r="R12" s="97">
        <f t="shared" si="7"/>
        <v>6331.9105235156248</v>
      </c>
      <c r="S12" s="98"/>
      <c r="T12" s="97"/>
    </row>
    <row r="13" spans="1:20" ht="12.75" customHeight="1">
      <c r="A13" s="97" t="s">
        <v>43</v>
      </c>
      <c r="B13" s="13" t="s">
        <v>44</v>
      </c>
      <c r="C13" s="9">
        <v>297.5</v>
      </c>
      <c r="D13" s="97">
        <f t="shared" si="0"/>
        <v>0</v>
      </c>
      <c r="E13" s="97">
        <f t="shared" si="1"/>
        <v>297.5</v>
      </c>
      <c r="F13" s="97">
        <f t="shared" si="2"/>
        <v>6.8373986168919368E-4</v>
      </c>
      <c r="G13" s="97">
        <f t="shared" si="3"/>
        <v>26.460732647371795</v>
      </c>
      <c r="H13" s="97">
        <v>3</v>
      </c>
      <c r="I13" s="97">
        <f t="shared" si="4"/>
        <v>353.434977</v>
      </c>
      <c r="J13" s="97">
        <f t="shared" si="5"/>
        <v>385.41813116299681</v>
      </c>
      <c r="K13" s="97">
        <f t="shared" si="6"/>
        <v>5222.953125</v>
      </c>
      <c r="L13" s="7">
        <v>0</v>
      </c>
      <c r="M13" s="97">
        <v>0</v>
      </c>
      <c r="N13" s="97">
        <v>0</v>
      </c>
      <c r="O13" s="97">
        <v>0</v>
      </c>
      <c r="P13" s="97"/>
      <c r="Q13" s="97"/>
      <c r="R13" s="97">
        <f t="shared" si="7"/>
        <v>5608.3712561629964</v>
      </c>
      <c r="S13" s="61" t="s">
        <v>259</v>
      </c>
      <c r="T13" s="63"/>
    </row>
    <row r="14" spans="1:20" ht="12.75" customHeight="1">
      <c r="A14" s="97" t="s">
        <v>46</v>
      </c>
      <c r="B14" s="13" t="s">
        <v>47</v>
      </c>
      <c r="C14" s="9">
        <v>2745.5</v>
      </c>
      <c r="D14" s="97">
        <f t="shared" si="0"/>
        <v>0</v>
      </c>
      <c r="E14" s="97">
        <f t="shared" si="1"/>
        <v>2745.5</v>
      </c>
      <c r="F14" s="97">
        <f t="shared" si="2"/>
        <v>6.3099421521602729E-3</v>
      </c>
      <c r="G14" s="97">
        <f t="shared" si="3"/>
        <v>244.19476128860256</v>
      </c>
      <c r="H14" s="97">
        <v>4</v>
      </c>
      <c r="I14" s="97">
        <f t="shared" si="4"/>
        <v>471.24663600000002</v>
      </c>
      <c r="J14" s="97">
        <f t="shared" si="5"/>
        <v>720.96381880422757</v>
      </c>
      <c r="K14" s="97">
        <f t="shared" si="6"/>
        <v>5222.953125</v>
      </c>
      <c r="L14" s="7">
        <v>0</v>
      </c>
      <c r="M14" s="97">
        <v>0</v>
      </c>
      <c r="N14" s="97">
        <v>0</v>
      </c>
      <c r="O14" s="97">
        <v>0</v>
      </c>
      <c r="P14" s="97"/>
      <c r="Q14" s="97"/>
      <c r="R14" s="97">
        <f t="shared" si="7"/>
        <v>5943.9169438042272</v>
      </c>
      <c r="S14" s="61" t="s">
        <v>42</v>
      </c>
      <c r="T14" s="63"/>
    </row>
    <row r="15" spans="1:20" ht="12.75" customHeight="1">
      <c r="A15" s="97" t="s">
        <v>49</v>
      </c>
      <c r="B15" s="13" t="s">
        <v>50</v>
      </c>
      <c r="C15" s="9">
        <v>2382.5</v>
      </c>
      <c r="D15" s="97">
        <f t="shared" si="0"/>
        <v>0</v>
      </c>
      <c r="E15" s="97">
        <f t="shared" si="1"/>
        <v>2382.5</v>
      </c>
      <c r="F15" s="97">
        <f t="shared" si="2"/>
        <v>5.4756646066369879E-3</v>
      </c>
      <c r="G15" s="97">
        <f t="shared" si="3"/>
        <v>211.90822027685144</v>
      </c>
      <c r="H15" s="97">
        <v>3</v>
      </c>
      <c r="I15" s="97">
        <f t="shared" si="4"/>
        <v>353.434977</v>
      </c>
      <c r="J15" s="97">
        <f t="shared" si="5"/>
        <v>570.86561879247643</v>
      </c>
      <c r="K15" s="97">
        <f t="shared" si="6"/>
        <v>5222.953125</v>
      </c>
      <c r="L15" s="7">
        <v>0</v>
      </c>
      <c r="M15" s="97">
        <v>0</v>
      </c>
      <c r="N15" s="97">
        <v>0</v>
      </c>
      <c r="O15" s="97">
        <v>0</v>
      </c>
      <c r="P15" s="97"/>
      <c r="Q15" s="97"/>
      <c r="R15" s="97">
        <f t="shared" si="7"/>
        <v>5793.8187437924762</v>
      </c>
      <c r="S15" s="61" t="s">
        <v>45</v>
      </c>
      <c r="T15" s="63"/>
    </row>
    <row r="16" spans="1:20" ht="12.75" customHeight="1">
      <c r="A16" s="97" t="s">
        <v>52</v>
      </c>
      <c r="B16" s="13" t="s">
        <v>53</v>
      </c>
      <c r="C16" s="9">
        <v>1398.5</v>
      </c>
      <c r="D16" s="97">
        <f t="shared" si="0"/>
        <v>0</v>
      </c>
      <c r="E16" s="97">
        <f t="shared" si="1"/>
        <v>1398.5</v>
      </c>
      <c r="F16" s="97">
        <f t="shared" si="2"/>
        <v>3.2141519212515544E-3</v>
      </c>
      <c r="G16" s="97">
        <f t="shared" si="3"/>
        <v>124.38767935243516</v>
      </c>
      <c r="H16" s="97">
        <v>3</v>
      </c>
      <c r="I16" s="97">
        <f t="shared" si="4"/>
        <v>353.434977</v>
      </c>
      <c r="J16" s="97">
        <f t="shared" si="5"/>
        <v>483.34507786806017</v>
      </c>
      <c r="K16" s="97">
        <f t="shared" si="6"/>
        <v>5222.953125</v>
      </c>
      <c r="L16" s="7">
        <v>0</v>
      </c>
      <c r="M16" s="97">
        <v>0</v>
      </c>
      <c r="N16" s="97">
        <v>0</v>
      </c>
      <c r="O16" s="97">
        <v>0</v>
      </c>
      <c r="P16" s="97"/>
      <c r="Q16" s="97"/>
      <c r="R16" s="97">
        <f t="shared" si="7"/>
        <v>5706.2982028680599</v>
      </c>
      <c r="S16" s="64" t="s">
        <v>48</v>
      </c>
      <c r="T16" s="65">
        <f>T14-T15</f>
        <v>0</v>
      </c>
    </row>
    <row r="17" spans="1:20" ht="12.75" customHeight="1">
      <c r="A17" s="97" t="s">
        <v>55</v>
      </c>
      <c r="B17" s="13" t="s">
        <v>56</v>
      </c>
      <c r="C17" s="9">
        <v>68.5</v>
      </c>
      <c r="D17" s="97">
        <f t="shared" si="0"/>
        <v>0</v>
      </c>
      <c r="E17" s="97">
        <f t="shared" si="1"/>
        <v>68.5</v>
      </c>
      <c r="F17" s="97">
        <f t="shared" si="2"/>
        <v>1.5743253958221771E-4</v>
      </c>
      <c r="G17" s="97">
        <f t="shared" si="3"/>
        <v>6.0926392818318256</v>
      </c>
      <c r="H17" s="97">
        <v>3</v>
      </c>
      <c r="I17" s="97">
        <f t="shared" si="4"/>
        <v>353.434977</v>
      </c>
      <c r="J17" s="97">
        <f t="shared" si="5"/>
        <v>365.05003779745681</v>
      </c>
      <c r="K17" s="97">
        <f t="shared" si="6"/>
        <v>5222.953125</v>
      </c>
      <c r="L17" s="7">
        <v>0</v>
      </c>
      <c r="M17" s="97">
        <v>0</v>
      </c>
      <c r="N17" s="97">
        <v>0</v>
      </c>
      <c r="O17" s="97">
        <v>0</v>
      </c>
      <c r="P17" s="97"/>
      <c r="Q17" s="97"/>
      <c r="R17" s="97">
        <f t="shared" si="7"/>
        <v>5588.0031627974568</v>
      </c>
      <c r="S17" s="66" t="s">
        <v>54</v>
      </c>
      <c r="T17" s="67">
        <f>T13-T16</f>
        <v>0</v>
      </c>
    </row>
    <row r="18" spans="1:20" ht="12.75" customHeight="1">
      <c r="A18" s="97" t="s">
        <v>58</v>
      </c>
      <c r="B18" s="13" t="s">
        <v>59</v>
      </c>
      <c r="C18" s="9">
        <v>6218</v>
      </c>
      <c r="D18" s="97">
        <f t="shared" si="0"/>
        <v>0</v>
      </c>
      <c r="E18" s="97">
        <f t="shared" si="1"/>
        <v>6218</v>
      </c>
      <c r="F18" s="97">
        <f t="shared" si="2"/>
        <v>1.4290737680616492E-2</v>
      </c>
      <c r="G18" s="97">
        <f t="shared" si="3"/>
        <v>553.05154823985822</v>
      </c>
      <c r="H18" s="97">
        <v>4</v>
      </c>
      <c r="I18" s="97">
        <f t="shared" si="4"/>
        <v>471.24663600000002</v>
      </c>
      <c r="J18" s="97">
        <f t="shared" si="5"/>
        <v>1029.8206057554833</v>
      </c>
      <c r="K18" s="97">
        <f t="shared" si="6"/>
        <v>5222.953125</v>
      </c>
      <c r="L18" s="7">
        <v>0</v>
      </c>
      <c r="M18" s="97">
        <v>0</v>
      </c>
      <c r="N18" s="97">
        <v>0</v>
      </c>
      <c r="O18" s="97">
        <v>0</v>
      </c>
      <c r="P18" s="97"/>
      <c r="Q18" s="97"/>
      <c r="R18" s="97">
        <f t="shared" si="7"/>
        <v>6252.7737307554835</v>
      </c>
      <c r="S18" s="98"/>
      <c r="T18" s="97"/>
    </row>
    <row r="19" spans="1:20" ht="12.75" customHeight="1">
      <c r="A19" s="97" t="s">
        <v>61</v>
      </c>
      <c r="B19" s="13" t="s">
        <v>62</v>
      </c>
      <c r="C19" s="9">
        <v>2055.5</v>
      </c>
      <c r="D19" s="97">
        <f t="shared" si="0"/>
        <v>0</v>
      </c>
      <c r="E19" s="97">
        <f t="shared" si="1"/>
        <v>2055.5</v>
      </c>
      <c r="F19" s="97">
        <f t="shared" si="2"/>
        <v>4.7241253300912191E-3</v>
      </c>
      <c r="G19" s="97">
        <f t="shared" si="3"/>
        <v>182.82365027453019</v>
      </c>
      <c r="H19" s="97">
        <v>4</v>
      </c>
      <c r="I19" s="97">
        <f t="shared" si="4"/>
        <v>471.24663600000002</v>
      </c>
      <c r="J19" s="97">
        <f t="shared" si="5"/>
        <v>659.59270779015526</v>
      </c>
      <c r="K19" s="97">
        <f t="shared" si="6"/>
        <v>5222.953125</v>
      </c>
      <c r="L19" s="7">
        <v>0</v>
      </c>
      <c r="M19" s="97">
        <v>0</v>
      </c>
      <c r="N19" s="97">
        <v>0</v>
      </c>
      <c r="O19" s="97">
        <v>0</v>
      </c>
      <c r="P19" s="97"/>
      <c r="Q19" s="97"/>
      <c r="R19" s="97">
        <f t="shared" si="7"/>
        <v>5882.5458327901551</v>
      </c>
      <c r="S19" s="98"/>
      <c r="T19" s="97"/>
    </row>
    <row r="20" spans="1:20" ht="12.75" customHeight="1">
      <c r="A20" s="97" t="s">
        <v>63</v>
      </c>
      <c r="B20" s="13" t="s">
        <v>64</v>
      </c>
      <c r="C20" s="9">
        <v>4765</v>
      </c>
      <c r="D20" s="97">
        <f t="shared" si="0"/>
        <v>0</v>
      </c>
      <c r="E20" s="97">
        <f t="shared" si="1"/>
        <v>4765</v>
      </c>
      <c r="F20" s="97">
        <f t="shared" si="2"/>
        <v>1.0951329213273976E-2</v>
      </c>
      <c r="G20" s="97">
        <f t="shared" si="3"/>
        <v>423.81644055370288</v>
      </c>
      <c r="H20" s="97">
        <v>4</v>
      </c>
      <c r="I20" s="97">
        <f t="shared" si="4"/>
        <v>471.24663600000002</v>
      </c>
      <c r="J20" s="97">
        <f t="shared" si="5"/>
        <v>900.58549806932797</v>
      </c>
      <c r="K20" s="97">
        <f t="shared" si="6"/>
        <v>5222.953125</v>
      </c>
      <c r="L20" s="7">
        <v>750</v>
      </c>
      <c r="M20" s="97">
        <v>0</v>
      </c>
      <c r="N20" s="97">
        <v>0</v>
      </c>
      <c r="O20" s="97">
        <v>0</v>
      </c>
      <c r="P20" s="97"/>
      <c r="Q20" s="97"/>
      <c r="R20" s="97">
        <f t="shared" si="7"/>
        <v>6873.5386230693275</v>
      </c>
      <c r="S20" s="102" t="s">
        <v>260</v>
      </c>
      <c r="T20" s="103">
        <f>I70</f>
        <v>26271.999957000018</v>
      </c>
    </row>
    <row r="21" spans="1:20" ht="12.75" customHeight="1">
      <c r="A21" s="97" t="s">
        <v>65</v>
      </c>
      <c r="B21" s="13" t="s">
        <v>66</v>
      </c>
      <c r="C21" s="9">
        <v>17561</v>
      </c>
      <c r="D21" s="97">
        <f t="shared" si="0"/>
        <v>0</v>
      </c>
      <c r="E21" s="97">
        <f t="shared" si="1"/>
        <v>17561</v>
      </c>
      <c r="F21" s="97">
        <f t="shared" si="2"/>
        <v>4.0360187264282116E-2</v>
      </c>
      <c r="G21" s="97">
        <f t="shared" si="3"/>
        <v>1561.9392471277179</v>
      </c>
      <c r="H21" s="97">
        <v>3</v>
      </c>
      <c r="I21" s="97">
        <f t="shared" si="4"/>
        <v>353.434977</v>
      </c>
      <c r="J21" s="97">
        <f t="shared" si="5"/>
        <v>1920.8966456433427</v>
      </c>
      <c r="K21" s="97">
        <f t="shared" si="6"/>
        <v>5222.953125</v>
      </c>
      <c r="L21" s="7">
        <v>0</v>
      </c>
      <c r="M21" s="97">
        <v>0</v>
      </c>
      <c r="N21" s="97">
        <v>0</v>
      </c>
      <c r="O21" s="97">
        <v>0</v>
      </c>
      <c r="P21" s="97"/>
      <c r="Q21" s="97"/>
      <c r="R21" s="97">
        <f t="shared" si="7"/>
        <v>7143.8497706433427</v>
      </c>
      <c r="S21" s="98"/>
      <c r="T21" s="97"/>
    </row>
    <row r="22" spans="1:20" ht="12.75" customHeight="1">
      <c r="A22" s="97" t="s">
        <v>67</v>
      </c>
      <c r="B22" s="13" t="s">
        <v>68</v>
      </c>
      <c r="C22" s="9">
        <v>10698.5</v>
      </c>
      <c r="D22" s="97">
        <f t="shared" si="0"/>
        <v>0</v>
      </c>
      <c r="E22" s="97">
        <f t="shared" si="1"/>
        <v>10698.5</v>
      </c>
      <c r="F22" s="97">
        <f t="shared" si="2"/>
        <v>2.4588204740443154E-2</v>
      </c>
      <c r="G22" s="97">
        <f t="shared" si="3"/>
        <v>951.56352345515006</v>
      </c>
      <c r="H22" s="97">
        <v>3</v>
      </c>
      <c r="I22" s="97">
        <f t="shared" si="4"/>
        <v>353.434977</v>
      </c>
      <c r="J22" s="97">
        <f t="shared" si="5"/>
        <v>1310.5209219707749</v>
      </c>
      <c r="K22" s="97">
        <f t="shared" si="6"/>
        <v>5222.953125</v>
      </c>
      <c r="L22" s="7">
        <v>0</v>
      </c>
      <c r="M22" s="97">
        <v>0</v>
      </c>
      <c r="N22" s="97">
        <v>0</v>
      </c>
      <c r="O22" s="97">
        <v>0</v>
      </c>
      <c r="P22" s="97"/>
      <c r="Q22" s="97"/>
      <c r="R22" s="97">
        <f t="shared" si="7"/>
        <v>6533.4740469707749</v>
      </c>
      <c r="S22" s="98"/>
      <c r="T22" s="97"/>
    </row>
    <row r="23" spans="1:20" ht="12.75" customHeight="1">
      <c r="A23" s="97" t="s">
        <v>69</v>
      </c>
      <c r="B23" s="13" t="s">
        <v>70</v>
      </c>
      <c r="C23" s="9">
        <v>12066</v>
      </c>
      <c r="D23" s="97">
        <f t="shared" si="0"/>
        <v>0</v>
      </c>
      <c r="E23" s="97">
        <f t="shared" si="1"/>
        <v>12066</v>
      </c>
      <c r="F23" s="97">
        <f t="shared" si="2"/>
        <v>2.773110981896407E-2</v>
      </c>
      <c r="G23" s="97">
        <f t="shared" si="3"/>
        <v>1073.1939499939094</v>
      </c>
      <c r="H23" s="97">
        <v>4</v>
      </c>
      <c r="I23" s="97">
        <f t="shared" si="4"/>
        <v>471.24663600000002</v>
      </c>
      <c r="J23" s="97">
        <f t="shared" si="5"/>
        <v>1549.9630075095345</v>
      </c>
      <c r="K23" s="97">
        <f t="shared" si="6"/>
        <v>5222.953125</v>
      </c>
      <c r="L23" s="7">
        <v>0</v>
      </c>
      <c r="M23" s="97">
        <v>0</v>
      </c>
      <c r="N23" s="97">
        <v>0</v>
      </c>
      <c r="O23" s="97">
        <v>0</v>
      </c>
      <c r="P23" s="97"/>
      <c r="Q23" s="97"/>
      <c r="R23" s="97">
        <f t="shared" si="7"/>
        <v>6772.9161325095347</v>
      </c>
      <c r="S23" s="98"/>
      <c r="T23" s="97"/>
    </row>
    <row r="24" spans="1:20" ht="12.75" customHeight="1">
      <c r="A24" s="97" t="s">
        <v>71</v>
      </c>
      <c r="B24" s="13" t="s">
        <v>72</v>
      </c>
      <c r="C24" s="9">
        <v>12020.5</v>
      </c>
      <c r="D24" s="97">
        <f t="shared" si="0"/>
        <v>0</v>
      </c>
      <c r="E24" s="97">
        <f t="shared" si="1"/>
        <v>12020.5</v>
      </c>
      <c r="F24" s="97">
        <f t="shared" si="2"/>
        <v>2.7626537840117489E-2</v>
      </c>
      <c r="G24" s="97">
        <f t="shared" si="3"/>
        <v>1069.1470144125469</v>
      </c>
      <c r="H24" s="97">
        <v>4</v>
      </c>
      <c r="I24" s="97">
        <f t="shared" si="4"/>
        <v>471.24663600000002</v>
      </c>
      <c r="J24" s="97">
        <f t="shared" si="5"/>
        <v>1545.916071928172</v>
      </c>
      <c r="K24" s="97">
        <f t="shared" si="6"/>
        <v>5222.953125</v>
      </c>
      <c r="L24" s="7">
        <v>0</v>
      </c>
      <c r="M24" s="97">
        <v>0</v>
      </c>
      <c r="N24" s="97">
        <v>0</v>
      </c>
      <c r="O24" s="97">
        <v>0</v>
      </c>
      <c r="P24" s="97"/>
      <c r="Q24" s="97"/>
      <c r="R24" s="97">
        <f t="shared" si="7"/>
        <v>6768.8691969281717</v>
      </c>
      <c r="S24" s="98"/>
      <c r="T24" s="97"/>
    </row>
    <row r="25" spans="1:20" ht="12.75" customHeight="1">
      <c r="A25" s="97" t="s">
        <v>73</v>
      </c>
      <c r="B25" s="13" t="s">
        <v>74</v>
      </c>
      <c r="C25" s="9">
        <v>19087</v>
      </c>
      <c r="D25" s="97">
        <f t="shared" si="0"/>
        <v>0</v>
      </c>
      <c r="E25" s="97">
        <f t="shared" si="1"/>
        <v>19087</v>
      </c>
      <c r="F25" s="97">
        <f t="shared" si="2"/>
        <v>4.386737055482904E-2</v>
      </c>
      <c r="G25" s="97">
        <f t="shared" si="3"/>
        <v>1697.6672404718838</v>
      </c>
      <c r="H25" s="97">
        <v>4</v>
      </c>
      <c r="I25" s="97">
        <f t="shared" si="4"/>
        <v>471.24663600000002</v>
      </c>
      <c r="J25" s="97">
        <f t="shared" si="5"/>
        <v>2174.4362979875086</v>
      </c>
      <c r="K25" s="97">
        <f t="shared" si="6"/>
        <v>5222.953125</v>
      </c>
      <c r="L25" s="7">
        <v>0</v>
      </c>
      <c r="M25" s="97">
        <v>0</v>
      </c>
      <c r="N25" s="97">
        <v>0</v>
      </c>
      <c r="O25" s="97">
        <v>0</v>
      </c>
      <c r="P25" s="97"/>
      <c r="Q25" s="97"/>
      <c r="R25" s="97">
        <f t="shared" si="7"/>
        <v>7397.3894229875086</v>
      </c>
      <c r="S25" s="98"/>
      <c r="T25" s="97"/>
    </row>
    <row r="26" spans="1:20" ht="12.75" customHeight="1">
      <c r="A26" s="97" t="s">
        <v>75</v>
      </c>
      <c r="B26" s="13" t="s">
        <v>76</v>
      </c>
      <c r="C26" s="9">
        <v>3277.5</v>
      </c>
      <c r="D26" s="97">
        <f t="shared" si="0"/>
        <v>0</v>
      </c>
      <c r="E26" s="97">
        <f t="shared" si="1"/>
        <v>3277.5</v>
      </c>
      <c r="F26" s="97">
        <f t="shared" si="2"/>
        <v>7.5326299048280075E-3</v>
      </c>
      <c r="G26" s="97">
        <f t="shared" si="3"/>
        <v>291.51277731684388</v>
      </c>
      <c r="H26" s="97">
        <v>3</v>
      </c>
      <c r="I26" s="97">
        <f t="shared" si="4"/>
        <v>353.434977</v>
      </c>
      <c r="J26" s="97">
        <f t="shared" si="5"/>
        <v>650.47017583246884</v>
      </c>
      <c r="K26" s="97">
        <f t="shared" si="6"/>
        <v>5222.953125</v>
      </c>
      <c r="L26" s="7">
        <v>0</v>
      </c>
      <c r="M26" s="97">
        <v>0</v>
      </c>
      <c r="N26" s="97">
        <v>0</v>
      </c>
      <c r="O26" s="97">
        <v>0</v>
      </c>
      <c r="P26" s="97"/>
      <c r="Q26" s="97"/>
      <c r="R26" s="97">
        <f t="shared" si="7"/>
        <v>5873.4233008324691</v>
      </c>
      <c r="S26" s="98"/>
      <c r="T26" s="97"/>
    </row>
    <row r="27" spans="1:20" ht="12.75" customHeight="1">
      <c r="A27" s="97" t="s">
        <v>77</v>
      </c>
      <c r="B27" s="13" t="s">
        <v>78</v>
      </c>
      <c r="C27" s="9">
        <v>5923</v>
      </c>
      <c r="D27" s="97">
        <f t="shared" si="0"/>
        <v>0</v>
      </c>
      <c r="E27" s="97">
        <f t="shared" si="1"/>
        <v>5923</v>
      </c>
      <c r="F27" s="97">
        <f t="shared" si="2"/>
        <v>1.3612743532050737E-2</v>
      </c>
      <c r="G27" s="97">
        <f t="shared" si="3"/>
        <v>526.81317469036355</v>
      </c>
      <c r="H27" s="97">
        <v>3</v>
      </c>
      <c r="I27" s="97">
        <f t="shared" si="4"/>
        <v>353.434977</v>
      </c>
      <c r="J27" s="97">
        <f t="shared" si="5"/>
        <v>885.77057320598851</v>
      </c>
      <c r="K27" s="97">
        <f t="shared" si="6"/>
        <v>5222.953125</v>
      </c>
      <c r="L27" s="7">
        <v>0</v>
      </c>
      <c r="M27" s="97">
        <v>0</v>
      </c>
      <c r="N27" s="97">
        <v>0</v>
      </c>
      <c r="O27" s="97">
        <v>0</v>
      </c>
      <c r="P27" s="97"/>
      <c r="Q27" s="97"/>
      <c r="R27" s="97">
        <f t="shared" si="7"/>
        <v>6108.7236982059885</v>
      </c>
      <c r="S27" s="98"/>
      <c r="T27" s="97"/>
    </row>
    <row r="28" spans="1:20" ht="12.75" customHeight="1">
      <c r="A28" s="97" t="s">
        <v>79</v>
      </c>
      <c r="B28" s="13" t="s">
        <v>80</v>
      </c>
      <c r="C28" s="9">
        <v>5862.5</v>
      </c>
      <c r="D28" s="97">
        <f t="shared" si="0"/>
        <v>0</v>
      </c>
      <c r="E28" s="97">
        <f t="shared" si="1"/>
        <v>5862.5</v>
      </c>
      <c r="F28" s="97">
        <f t="shared" si="2"/>
        <v>1.3473697274463523E-2</v>
      </c>
      <c r="G28" s="97">
        <f t="shared" si="3"/>
        <v>521.43208452173837</v>
      </c>
      <c r="H28" s="97">
        <v>3</v>
      </c>
      <c r="I28" s="97">
        <f t="shared" si="4"/>
        <v>353.434977</v>
      </c>
      <c r="J28" s="97">
        <f t="shared" si="5"/>
        <v>880.38948303736333</v>
      </c>
      <c r="K28" s="97">
        <f t="shared" si="6"/>
        <v>5222.953125</v>
      </c>
      <c r="L28" s="7">
        <v>0</v>
      </c>
      <c r="M28" s="97">
        <v>0</v>
      </c>
      <c r="N28" s="97">
        <v>0</v>
      </c>
      <c r="O28" s="97">
        <v>0</v>
      </c>
      <c r="P28" s="97"/>
      <c r="Q28" s="97"/>
      <c r="R28" s="97">
        <f t="shared" si="7"/>
        <v>6103.3426080373629</v>
      </c>
      <c r="S28" s="98"/>
      <c r="T28" s="97"/>
    </row>
    <row r="29" spans="1:20" ht="12.75" customHeight="1">
      <c r="A29" s="97" t="s">
        <v>81</v>
      </c>
      <c r="B29" s="13" t="s">
        <v>82</v>
      </c>
      <c r="C29" s="9">
        <v>10571</v>
      </c>
      <c r="D29" s="97">
        <f t="shared" si="0"/>
        <v>0</v>
      </c>
      <c r="E29" s="97">
        <f t="shared" si="1"/>
        <v>10571</v>
      </c>
      <c r="F29" s="97">
        <f t="shared" si="2"/>
        <v>2.4295173371147786E-2</v>
      </c>
      <c r="G29" s="97">
        <f t="shared" si="3"/>
        <v>940.22320946341927</v>
      </c>
      <c r="H29" s="97">
        <v>3</v>
      </c>
      <c r="I29" s="97">
        <f t="shared" si="4"/>
        <v>353.434977</v>
      </c>
      <c r="J29" s="97">
        <f t="shared" si="5"/>
        <v>1299.1806079790442</v>
      </c>
      <c r="K29" s="97">
        <f t="shared" si="6"/>
        <v>5222.953125</v>
      </c>
      <c r="L29" s="7">
        <v>0</v>
      </c>
      <c r="M29" s="97">
        <v>0</v>
      </c>
      <c r="N29" s="97">
        <v>0</v>
      </c>
      <c r="O29" s="97">
        <v>0</v>
      </c>
      <c r="P29" s="97"/>
      <c r="Q29" s="97"/>
      <c r="R29" s="97">
        <f t="shared" si="7"/>
        <v>6522.133732979044</v>
      </c>
      <c r="S29" s="98"/>
      <c r="T29" s="97"/>
    </row>
    <row r="30" spans="1:20" ht="12.75" customHeight="1">
      <c r="A30" s="97" t="s">
        <v>83</v>
      </c>
      <c r="B30" s="13" t="s">
        <v>84</v>
      </c>
      <c r="C30" s="9">
        <v>5252</v>
      </c>
      <c r="D30" s="97">
        <f t="shared" si="0"/>
        <v>0</v>
      </c>
      <c r="E30" s="97">
        <f t="shared" si="1"/>
        <v>5252</v>
      </c>
      <c r="F30" s="97">
        <f t="shared" si="2"/>
        <v>1.2070594129719815E-2</v>
      </c>
      <c r="G30" s="97">
        <f t="shared" si="3"/>
        <v>467.13199282015682</v>
      </c>
      <c r="H30" s="97">
        <v>5</v>
      </c>
      <c r="I30" s="97">
        <f t="shared" si="4"/>
        <v>589.05829500000004</v>
      </c>
      <c r="J30" s="97">
        <f t="shared" si="5"/>
        <v>1061.7127093357819</v>
      </c>
      <c r="K30" s="97">
        <f t="shared" si="6"/>
        <v>5222.953125</v>
      </c>
      <c r="L30" s="7">
        <v>0</v>
      </c>
      <c r="M30" s="97">
        <v>0</v>
      </c>
      <c r="N30" s="97">
        <v>0</v>
      </c>
      <c r="O30" s="97">
        <v>0</v>
      </c>
      <c r="P30" s="97"/>
      <c r="Q30" s="97"/>
      <c r="R30" s="97">
        <f t="shared" si="7"/>
        <v>6284.6658343357822</v>
      </c>
      <c r="S30" s="98"/>
      <c r="T30" s="97"/>
    </row>
    <row r="31" spans="1:20" ht="12.75" customHeight="1">
      <c r="A31" s="97" t="s">
        <v>85</v>
      </c>
      <c r="B31" s="13" t="s">
        <v>86</v>
      </c>
      <c r="C31" s="9">
        <v>8899</v>
      </c>
      <c r="D31" s="97">
        <f t="shared" si="0"/>
        <v>0</v>
      </c>
      <c r="E31" s="97">
        <f t="shared" si="1"/>
        <v>8899</v>
      </c>
      <c r="F31" s="97">
        <f t="shared" si="2"/>
        <v>2.0452440434192049E-2</v>
      </c>
      <c r="G31" s="97">
        <f t="shared" si="3"/>
        <v>791.50944480323233</v>
      </c>
      <c r="H31" s="97">
        <v>3</v>
      </c>
      <c r="I31" s="97">
        <f t="shared" si="4"/>
        <v>353.434977</v>
      </c>
      <c r="J31" s="97">
        <f t="shared" si="5"/>
        <v>1150.4668433188572</v>
      </c>
      <c r="K31" s="97">
        <f t="shared" si="6"/>
        <v>5222.953125</v>
      </c>
      <c r="L31" s="7">
        <v>0</v>
      </c>
      <c r="M31" s="97">
        <v>0</v>
      </c>
      <c r="N31" s="97">
        <v>0</v>
      </c>
      <c r="O31" s="97">
        <v>0</v>
      </c>
      <c r="P31" s="97"/>
      <c r="Q31" s="97"/>
      <c r="R31" s="97">
        <f t="shared" si="7"/>
        <v>6373.4199683188572</v>
      </c>
      <c r="S31" s="98"/>
      <c r="T31" s="97"/>
    </row>
    <row r="32" spans="1:20" ht="12.75" customHeight="1">
      <c r="A32" s="97" t="s">
        <v>87</v>
      </c>
      <c r="B32" s="13" t="s">
        <v>88</v>
      </c>
      <c r="C32" s="9">
        <v>1973</v>
      </c>
      <c r="D32" s="97">
        <f t="shared" si="0"/>
        <v>0</v>
      </c>
      <c r="E32" s="97">
        <f t="shared" si="1"/>
        <v>1973</v>
      </c>
      <c r="F32" s="97">
        <f t="shared" si="2"/>
        <v>4.5345167970177449E-3</v>
      </c>
      <c r="G32" s="97">
        <f t="shared" si="3"/>
        <v>175.48580004458674</v>
      </c>
      <c r="H32" s="97">
        <v>3</v>
      </c>
      <c r="I32" s="97">
        <f t="shared" si="4"/>
        <v>353.434977</v>
      </c>
      <c r="J32" s="97">
        <f t="shared" si="5"/>
        <v>534.44319856021173</v>
      </c>
      <c r="K32" s="97">
        <f t="shared" si="6"/>
        <v>5222.953125</v>
      </c>
      <c r="L32" s="7">
        <v>0</v>
      </c>
      <c r="M32" s="97">
        <v>0</v>
      </c>
      <c r="N32" s="97">
        <v>0</v>
      </c>
      <c r="O32" s="97">
        <v>0</v>
      </c>
      <c r="P32" s="97"/>
      <c r="Q32" s="97"/>
      <c r="R32" s="97">
        <f t="shared" si="7"/>
        <v>5757.3963235602114</v>
      </c>
      <c r="S32" s="98"/>
      <c r="T32" s="97"/>
    </row>
    <row r="33" spans="1:20" ht="12.75" customHeight="1">
      <c r="A33" s="97" t="s">
        <v>89</v>
      </c>
      <c r="B33" s="13" t="s">
        <v>90</v>
      </c>
      <c r="C33" s="9">
        <v>6034.5</v>
      </c>
      <c r="D33" s="97">
        <f t="shared" si="0"/>
        <v>0</v>
      </c>
      <c r="E33" s="97">
        <f t="shared" si="1"/>
        <v>6034.5</v>
      </c>
      <c r="F33" s="97">
        <f t="shared" si="2"/>
        <v>1.3869002337356098E-2</v>
      </c>
      <c r="G33" s="97">
        <f t="shared" si="3"/>
        <v>536.730390455681</v>
      </c>
      <c r="H33" s="97">
        <v>3</v>
      </c>
      <c r="I33" s="97">
        <f t="shared" si="4"/>
        <v>353.434977</v>
      </c>
      <c r="J33" s="97">
        <f t="shared" si="5"/>
        <v>895.68778897130596</v>
      </c>
      <c r="K33" s="97">
        <f t="shared" si="6"/>
        <v>5222.953125</v>
      </c>
      <c r="L33" s="7">
        <v>0</v>
      </c>
      <c r="M33" s="97">
        <v>0</v>
      </c>
      <c r="N33" s="97">
        <v>0</v>
      </c>
      <c r="O33" s="97">
        <v>0</v>
      </c>
      <c r="P33" s="97"/>
      <c r="Q33" s="97"/>
      <c r="R33" s="97">
        <f t="shared" si="7"/>
        <v>6118.640913971306</v>
      </c>
      <c r="S33" s="98"/>
      <c r="T33" s="97"/>
    </row>
    <row r="34" spans="1:20" ht="12.75" customHeight="1">
      <c r="A34" s="97" t="s">
        <v>91</v>
      </c>
      <c r="B34" s="13" t="s">
        <v>92</v>
      </c>
      <c r="C34" s="9">
        <v>6555</v>
      </c>
      <c r="D34" s="97">
        <f t="shared" si="0"/>
        <v>0</v>
      </c>
      <c r="E34" s="97">
        <f t="shared" si="1"/>
        <v>6555</v>
      </c>
      <c r="F34" s="97">
        <f t="shared" si="2"/>
        <v>1.5065259809656015E-2</v>
      </c>
      <c r="G34" s="97">
        <f t="shared" si="3"/>
        <v>583.02555463368776</v>
      </c>
      <c r="H34" s="97">
        <v>4</v>
      </c>
      <c r="I34" s="97">
        <f t="shared" si="4"/>
        <v>471.24663600000002</v>
      </c>
      <c r="J34" s="97">
        <f t="shared" si="5"/>
        <v>1059.7946121493128</v>
      </c>
      <c r="K34" s="97">
        <f t="shared" si="6"/>
        <v>5222.953125</v>
      </c>
      <c r="L34" s="7">
        <v>0</v>
      </c>
      <c r="M34" s="97">
        <v>0</v>
      </c>
      <c r="N34" s="97">
        <v>0</v>
      </c>
      <c r="O34" s="97">
        <v>0</v>
      </c>
      <c r="P34" s="97"/>
      <c r="Q34" s="97"/>
      <c r="R34" s="97">
        <f t="shared" si="7"/>
        <v>6282.7477371493133</v>
      </c>
      <c r="S34" s="98"/>
      <c r="T34" s="97"/>
    </row>
    <row r="35" spans="1:20" ht="12.75" customHeight="1">
      <c r="A35" s="97" t="s">
        <v>93</v>
      </c>
      <c r="B35" s="13" t="s">
        <v>94</v>
      </c>
      <c r="C35" s="9">
        <v>10270</v>
      </c>
      <c r="D35" s="97">
        <f t="shared" si="0"/>
        <v>0</v>
      </c>
      <c r="E35" s="97">
        <f t="shared" si="1"/>
        <v>10270</v>
      </c>
      <c r="F35" s="97">
        <f t="shared" si="2"/>
        <v>2.360338951108578E-2</v>
      </c>
      <c r="G35" s="97">
        <f t="shared" si="3"/>
        <v>913.45117407901967</v>
      </c>
      <c r="H35" s="97">
        <v>4</v>
      </c>
      <c r="I35" s="97">
        <f t="shared" si="4"/>
        <v>471.24663600000002</v>
      </c>
      <c r="J35" s="97">
        <f t="shared" si="5"/>
        <v>1390.2202315946447</v>
      </c>
      <c r="K35" s="97">
        <f t="shared" si="6"/>
        <v>5222.953125</v>
      </c>
      <c r="L35" s="7">
        <v>0</v>
      </c>
      <c r="M35" s="97">
        <v>0</v>
      </c>
      <c r="N35" s="97">
        <v>0</v>
      </c>
      <c r="O35" s="97">
        <v>0</v>
      </c>
      <c r="P35" s="97"/>
      <c r="Q35" s="97"/>
      <c r="R35" s="97">
        <f t="shared" si="7"/>
        <v>6613.1733565946452</v>
      </c>
      <c r="S35" s="98"/>
      <c r="T35" s="97"/>
    </row>
    <row r="36" spans="1:20" ht="12.75" customHeight="1">
      <c r="A36" s="97" t="s">
        <v>95</v>
      </c>
      <c r="B36" s="13" t="s">
        <v>96</v>
      </c>
      <c r="C36" s="9">
        <v>0</v>
      </c>
      <c r="D36" s="97">
        <f t="shared" si="0"/>
        <v>0</v>
      </c>
      <c r="E36" s="97">
        <f t="shared" si="1"/>
        <v>0</v>
      </c>
      <c r="F36" s="97">
        <f t="shared" si="2"/>
        <v>0</v>
      </c>
      <c r="G36" s="97">
        <f t="shared" si="3"/>
        <v>0</v>
      </c>
      <c r="H36" s="97">
        <v>4</v>
      </c>
      <c r="I36" s="97">
        <f t="shared" si="4"/>
        <v>471.24663600000002</v>
      </c>
      <c r="J36" s="97">
        <f t="shared" si="5"/>
        <v>476.76905751562504</v>
      </c>
      <c r="K36" s="97">
        <f t="shared" si="6"/>
        <v>5222.953125</v>
      </c>
      <c r="L36" s="7">
        <v>0</v>
      </c>
      <c r="M36" s="97">
        <v>0</v>
      </c>
      <c r="N36" s="97">
        <v>0</v>
      </c>
      <c r="O36" s="97">
        <v>0</v>
      </c>
      <c r="P36" s="97"/>
      <c r="Q36" s="97"/>
      <c r="R36" s="97">
        <f t="shared" si="7"/>
        <v>5699.7221825156248</v>
      </c>
      <c r="S36" s="98"/>
      <c r="T36" s="97"/>
    </row>
    <row r="37" spans="1:20" ht="12.75" customHeight="1">
      <c r="A37" s="97" t="s">
        <v>97</v>
      </c>
      <c r="B37" s="13" t="s">
        <v>98</v>
      </c>
      <c r="C37" s="9">
        <v>2072</v>
      </c>
      <c r="D37" s="97">
        <f t="shared" si="0"/>
        <v>0</v>
      </c>
      <c r="E37" s="97">
        <f t="shared" si="1"/>
        <v>2072</v>
      </c>
      <c r="F37" s="97">
        <f t="shared" si="2"/>
        <v>4.7620470367059136E-3</v>
      </c>
      <c r="G37" s="97">
        <f t="shared" si="3"/>
        <v>184.29122032051885</v>
      </c>
      <c r="H37" s="97">
        <v>3</v>
      </c>
      <c r="I37" s="97">
        <f t="shared" si="4"/>
        <v>353.434977</v>
      </c>
      <c r="J37" s="97">
        <f t="shared" si="5"/>
        <v>543.24861883614381</v>
      </c>
      <c r="K37" s="97">
        <f t="shared" si="6"/>
        <v>5222.953125</v>
      </c>
      <c r="L37" s="7">
        <v>0</v>
      </c>
      <c r="M37" s="97">
        <v>0</v>
      </c>
      <c r="N37" s="97">
        <v>0</v>
      </c>
      <c r="O37" s="97">
        <v>0</v>
      </c>
      <c r="P37" s="97"/>
      <c r="Q37" s="97"/>
      <c r="R37" s="97">
        <f t="shared" si="7"/>
        <v>5766.2017438361436</v>
      </c>
      <c r="S37" s="98"/>
      <c r="T37" s="97"/>
    </row>
    <row r="38" spans="1:20" ht="12.75" customHeight="1">
      <c r="A38" s="97" t="s">
        <v>99</v>
      </c>
      <c r="B38" s="13" t="s">
        <v>100</v>
      </c>
      <c r="C38" s="9">
        <v>0</v>
      </c>
      <c r="D38" s="97">
        <f t="shared" si="0"/>
        <v>0</v>
      </c>
      <c r="E38" s="97">
        <f t="shared" si="1"/>
        <v>0</v>
      </c>
      <c r="F38" s="97">
        <f t="shared" si="2"/>
        <v>0</v>
      </c>
      <c r="G38" s="97">
        <f t="shared" si="3"/>
        <v>0</v>
      </c>
      <c r="H38" s="97">
        <v>3</v>
      </c>
      <c r="I38" s="97">
        <f t="shared" si="4"/>
        <v>353.434977</v>
      </c>
      <c r="J38" s="97">
        <f t="shared" si="5"/>
        <v>358.95739851562502</v>
      </c>
      <c r="K38" s="97">
        <f t="shared" si="6"/>
        <v>5222.953125</v>
      </c>
      <c r="L38" s="7">
        <v>0</v>
      </c>
      <c r="M38" s="97">
        <v>0</v>
      </c>
      <c r="N38" s="97">
        <v>0</v>
      </c>
      <c r="O38" s="97">
        <v>0</v>
      </c>
      <c r="P38" s="97"/>
      <c r="Q38" s="97"/>
      <c r="R38" s="97">
        <f t="shared" si="7"/>
        <v>5581.9105235156248</v>
      </c>
      <c r="S38" s="98"/>
      <c r="T38" s="97"/>
    </row>
    <row r="39" spans="1:20" ht="12.75" customHeight="1">
      <c r="A39" s="97" t="s">
        <v>101</v>
      </c>
      <c r="B39" s="13" t="s">
        <v>102</v>
      </c>
      <c r="C39" s="9">
        <v>39475.5</v>
      </c>
      <c r="D39" s="97">
        <f t="shared" si="0"/>
        <v>0</v>
      </c>
      <c r="E39" s="97">
        <f t="shared" si="1"/>
        <v>39475.5</v>
      </c>
      <c r="F39" s="97">
        <f t="shared" si="2"/>
        <v>9.0725959361720218E-2</v>
      </c>
      <c r="G39" s="97">
        <f t="shared" si="3"/>
        <v>3511.0946272985725</v>
      </c>
      <c r="H39" s="97">
        <v>4</v>
      </c>
      <c r="I39" s="97">
        <f t="shared" si="4"/>
        <v>471.24663600000002</v>
      </c>
      <c r="J39" s="97">
        <f t="shared" si="5"/>
        <v>3987.8636848141973</v>
      </c>
      <c r="K39" s="97">
        <f t="shared" si="6"/>
        <v>5222.953125</v>
      </c>
      <c r="L39" s="7">
        <v>0</v>
      </c>
      <c r="M39" s="97">
        <v>0</v>
      </c>
      <c r="N39" s="97">
        <v>0</v>
      </c>
      <c r="O39" s="97">
        <v>0</v>
      </c>
      <c r="P39" s="97"/>
      <c r="Q39" s="97"/>
      <c r="R39" s="97">
        <f t="shared" si="7"/>
        <v>9210.8168098141978</v>
      </c>
      <c r="S39" s="98"/>
      <c r="T39" s="97"/>
    </row>
    <row r="40" spans="1:20" ht="12.75" customHeight="1">
      <c r="A40" s="97" t="s">
        <v>103</v>
      </c>
      <c r="B40" s="13" t="s">
        <v>104</v>
      </c>
      <c r="C40" s="9">
        <v>1687.5</v>
      </c>
      <c r="D40" s="97">
        <f t="shared" si="0"/>
        <v>0</v>
      </c>
      <c r="E40" s="97">
        <f t="shared" si="1"/>
        <v>1687.5</v>
      </c>
      <c r="F40" s="97">
        <f t="shared" si="2"/>
        <v>3.8783563583210568E-3</v>
      </c>
      <c r="G40" s="97">
        <f t="shared" si="3"/>
        <v>150.09239106702489</v>
      </c>
      <c r="H40" s="97">
        <v>4</v>
      </c>
      <c r="I40" s="97">
        <f t="shared" si="4"/>
        <v>471.24663600000002</v>
      </c>
      <c r="J40" s="97">
        <f t="shared" si="5"/>
        <v>626.86144858264993</v>
      </c>
      <c r="K40" s="97">
        <f t="shared" si="6"/>
        <v>5222.953125</v>
      </c>
      <c r="L40" s="7">
        <v>0</v>
      </c>
      <c r="M40" s="97">
        <v>0</v>
      </c>
      <c r="N40" s="97">
        <v>0</v>
      </c>
      <c r="O40" s="97">
        <v>0</v>
      </c>
      <c r="P40" s="97"/>
      <c r="Q40" s="97"/>
      <c r="R40" s="97">
        <f t="shared" si="7"/>
        <v>5849.8145735826502</v>
      </c>
      <c r="S40" s="98"/>
      <c r="T40" s="97"/>
    </row>
    <row r="41" spans="1:20" ht="12.75" customHeight="1">
      <c r="A41" s="97" t="s">
        <v>105</v>
      </c>
      <c r="B41" s="13" t="s">
        <v>106</v>
      </c>
      <c r="C41" s="9">
        <v>9431</v>
      </c>
      <c r="D41" s="97">
        <f t="shared" si="0"/>
        <v>0</v>
      </c>
      <c r="E41" s="97">
        <f t="shared" si="1"/>
        <v>9431</v>
      </c>
      <c r="F41" s="97">
        <f t="shared" si="2"/>
        <v>2.1675128186859783E-2</v>
      </c>
      <c r="G41" s="97">
        <f t="shared" si="3"/>
        <v>838.82746083147356</v>
      </c>
      <c r="H41" s="97">
        <v>3</v>
      </c>
      <c r="I41" s="97">
        <f t="shared" si="4"/>
        <v>353.434977</v>
      </c>
      <c r="J41" s="97">
        <f t="shared" si="5"/>
        <v>1197.7848593470985</v>
      </c>
      <c r="K41" s="97">
        <f t="shared" si="6"/>
        <v>5222.953125</v>
      </c>
      <c r="L41" s="7">
        <v>0</v>
      </c>
      <c r="M41" s="97">
        <v>0</v>
      </c>
      <c r="N41" s="97">
        <v>0</v>
      </c>
      <c r="O41" s="97">
        <v>0</v>
      </c>
      <c r="P41" s="97"/>
      <c r="Q41" s="97"/>
      <c r="R41" s="97">
        <f t="shared" si="7"/>
        <v>6420.737984347099</v>
      </c>
      <c r="S41" s="98"/>
      <c r="T41" s="97"/>
    </row>
    <row r="42" spans="1:20" ht="12.75" customHeight="1">
      <c r="A42" s="97" t="s">
        <v>107</v>
      </c>
      <c r="B42" s="13" t="s">
        <v>108</v>
      </c>
      <c r="C42" s="9">
        <v>8051.5</v>
      </c>
      <c r="D42" s="97">
        <f t="shared" si="0"/>
        <v>0</v>
      </c>
      <c r="E42" s="97">
        <f t="shared" si="1"/>
        <v>8051.5</v>
      </c>
      <c r="F42" s="97">
        <f t="shared" si="2"/>
        <v>1.8504643685346364E-2</v>
      </c>
      <c r="G42" s="97">
        <f t="shared" si="3"/>
        <v>716.12971062290433</v>
      </c>
      <c r="H42" s="97">
        <v>3</v>
      </c>
      <c r="I42" s="97">
        <f t="shared" si="4"/>
        <v>353.434977</v>
      </c>
      <c r="J42" s="97">
        <f t="shared" si="5"/>
        <v>1075.0871091385293</v>
      </c>
      <c r="K42" s="97">
        <f t="shared" si="6"/>
        <v>5222.953125</v>
      </c>
      <c r="L42" s="7">
        <v>0</v>
      </c>
      <c r="M42" s="97">
        <v>0</v>
      </c>
      <c r="N42" s="97">
        <v>0</v>
      </c>
      <c r="O42" s="97">
        <v>0</v>
      </c>
      <c r="P42" s="97"/>
      <c r="Q42" s="97"/>
      <c r="R42" s="97">
        <f t="shared" si="7"/>
        <v>6298.0402341385288</v>
      </c>
      <c r="S42" s="98"/>
      <c r="T42" s="97"/>
    </row>
    <row r="43" spans="1:20" ht="12.75" customHeight="1">
      <c r="A43" s="97" t="s">
        <v>109</v>
      </c>
      <c r="B43" s="30" t="s">
        <v>110</v>
      </c>
      <c r="C43" s="9">
        <v>4</v>
      </c>
      <c r="D43" s="97">
        <f t="shared" si="0"/>
        <v>0</v>
      </c>
      <c r="E43" s="97">
        <f t="shared" si="1"/>
        <v>4</v>
      </c>
      <c r="F43" s="97">
        <f t="shared" si="2"/>
        <v>9.1931409975017633E-6</v>
      </c>
      <c r="G43" s="97">
        <f t="shared" si="3"/>
        <v>0.35577455660331825</v>
      </c>
      <c r="H43" s="97">
        <v>3</v>
      </c>
      <c r="I43" s="97">
        <f t="shared" si="4"/>
        <v>353.434977</v>
      </c>
      <c r="J43" s="97">
        <f t="shared" si="5"/>
        <v>359.31317307222832</v>
      </c>
      <c r="K43" s="97">
        <f t="shared" si="6"/>
        <v>5222.953125</v>
      </c>
      <c r="L43" s="7">
        <v>0</v>
      </c>
      <c r="M43" s="97">
        <v>0</v>
      </c>
      <c r="N43" s="97">
        <v>0</v>
      </c>
      <c r="O43" s="97">
        <v>0</v>
      </c>
      <c r="P43" s="97"/>
      <c r="Q43" s="97"/>
      <c r="R43" s="97">
        <f t="shared" si="7"/>
        <v>5582.266298072228</v>
      </c>
      <c r="S43" s="98"/>
      <c r="T43" s="97"/>
    </row>
    <row r="44" spans="1:20" ht="12.75" customHeight="1">
      <c r="A44" s="97" t="s">
        <v>111</v>
      </c>
      <c r="B44" s="13" t="s">
        <v>112</v>
      </c>
      <c r="C44" s="9">
        <v>0</v>
      </c>
      <c r="D44" s="97">
        <f t="shared" si="0"/>
        <v>0</v>
      </c>
      <c r="E44" s="97">
        <f t="shared" si="1"/>
        <v>0</v>
      </c>
      <c r="F44" s="97">
        <f t="shared" si="2"/>
        <v>0</v>
      </c>
      <c r="G44" s="97">
        <f t="shared" si="3"/>
        <v>0</v>
      </c>
      <c r="H44" s="97">
        <v>3</v>
      </c>
      <c r="I44" s="97">
        <f t="shared" si="4"/>
        <v>353.434977</v>
      </c>
      <c r="J44" s="97">
        <f t="shared" si="5"/>
        <v>358.95739851562502</v>
      </c>
      <c r="K44" s="97">
        <f t="shared" si="6"/>
        <v>5222.953125</v>
      </c>
      <c r="L44" s="7">
        <v>0</v>
      </c>
      <c r="M44" s="97">
        <v>0</v>
      </c>
      <c r="N44" s="97">
        <v>0</v>
      </c>
      <c r="O44" s="97">
        <v>0</v>
      </c>
      <c r="P44" s="97"/>
      <c r="Q44" s="97"/>
      <c r="R44" s="97">
        <f t="shared" si="7"/>
        <v>5581.9105235156248</v>
      </c>
      <c r="S44" s="98"/>
      <c r="T44" s="97"/>
    </row>
    <row r="45" spans="1:20" ht="12.75" customHeight="1">
      <c r="A45" s="97" t="s">
        <v>113</v>
      </c>
      <c r="B45" s="13" t="s">
        <v>114</v>
      </c>
      <c r="C45" s="9">
        <v>15733</v>
      </c>
      <c r="D45" s="97">
        <f t="shared" si="0"/>
        <v>0</v>
      </c>
      <c r="E45" s="97">
        <f t="shared" si="1"/>
        <v>15733</v>
      </c>
      <c r="F45" s="97">
        <f t="shared" si="2"/>
        <v>3.6158921828423812E-2</v>
      </c>
      <c r="G45" s="97">
        <f t="shared" si="3"/>
        <v>1399.3502747600016</v>
      </c>
      <c r="H45" s="97">
        <v>3</v>
      </c>
      <c r="I45" s="97">
        <f t="shared" si="4"/>
        <v>353.434977</v>
      </c>
      <c r="J45" s="97">
        <f t="shared" si="5"/>
        <v>1758.3076732756267</v>
      </c>
      <c r="K45" s="97">
        <f t="shared" si="6"/>
        <v>5222.953125</v>
      </c>
      <c r="L45" s="7">
        <v>0</v>
      </c>
      <c r="M45" s="97">
        <v>0</v>
      </c>
      <c r="N45" s="97">
        <v>0</v>
      </c>
      <c r="O45" s="97">
        <v>0</v>
      </c>
      <c r="P45" s="97"/>
      <c r="Q45" s="97"/>
      <c r="R45" s="97">
        <f t="shared" si="7"/>
        <v>6981.2607982756272</v>
      </c>
      <c r="S45" s="98"/>
      <c r="T45" s="97"/>
    </row>
    <row r="46" spans="1:20" ht="12.75" customHeight="1">
      <c r="A46" s="97" t="s">
        <v>115</v>
      </c>
      <c r="B46" s="13" t="s">
        <v>116</v>
      </c>
      <c r="C46" s="9">
        <v>4020</v>
      </c>
      <c r="D46" s="97">
        <f t="shared" si="0"/>
        <v>0</v>
      </c>
      <c r="E46" s="97">
        <f t="shared" si="1"/>
        <v>4020</v>
      </c>
      <c r="F46" s="97">
        <f t="shared" si="2"/>
        <v>9.239106702489272E-3</v>
      </c>
      <c r="G46" s="97">
        <f t="shared" si="3"/>
        <v>357.55342938633481</v>
      </c>
      <c r="H46" s="97">
        <v>4</v>
      </c>
      <c r="I46" s="97">
        <f t="shared" si="4"/>
        <v>471.24663600000002</v>
      </c>
      <c r="J46" s="97">
        <f t="shared" si="5"/>
        <v>834.32248690195979</v>
      </c>
      <c r="K46" s="97">
        <f t="shared" si="6"/>
        <v>5222.953125</v>
      </c>
      <c r="L46" s="7">
        <v>0</v>
      </c>
      <c r="M46" s="97">
        <v>0</v>
      </c>
      <c r="N46" s="97">
        <v>0</v>
      </c>
      <c r="O46" s="97">
        <v>0</v>
      </c>
      <c r="P46" s="97"/>
      <c r="Q46" s="97"/>
      <c r="R46" s="97">
        <f t="shared" si="7"/>
        <v>6057.2756119019596</v>
      </c>
      <c r="S46" s="98"/>
      <c r="T46" s="97"/>
    </row>
    <row r="47" spans="1:20" ht="12.75" customHeight="1">
      <c r="A47" s="97" t="s">
        <v>117</v>
      </c>
      <c r="B47" s="13" t="s">
        <v>118</v>
      </c>
      <c r="C47" s="9">
        <v>716.5</v>
      </c>
      <c r="D47" s="97">
        <f t="shared" si="0"/>
        <v>0</v>
      </c>
      <c r="E47" s="97">
        <f t="shared" si="1"/>
        <v>716.5</v>
      </c>
      <c r="F47" s="97">
        <f t="shared" si="2"/>
        <v>1.6467213811775035E-3</v>
      </c>
      <c r="G47" s="97">
        <f t="shared" si="3"/>
        <v>63.728117451569382</v>
      </c>
      <c r="H47" s="97">
        <v>3</v>
      </c>
      <c r="I47" s="97">
        <f t="shared" si="4"/>
        <v>353.434977</v>
      </c>
      <c r="J47" s="97">
        <f t="shared" si="5"/>
        <v>422.68551596719442</v>
      </c>
      <c r="K47" s="97">
        <f t="shared" si="6"/>
        <v>5222.953125</v>
      </c>
      <c r="L47" s="7">
        <v>0</v>
      </c>
      <c r="M47" s="97">
        <v>0</v>
      </c>
      <c r="N47" s="97">
        <v>0</v>
      </c>
      <c r="O47" s="97">
        <v>0</v>
      </c>
      <c r="P47" s="97"/>
      <c r="Q47" s="97"/>
      <c r="R47" s="97">
        <f t="shared" si="7"/>
        <v>5645.6386409671941</v>
      </c>
      <c r="S47" s="98"/>
      <c r="T47" s="97"/>
    </row>
    <row r="48" spans="1:20" ht="12.75" customHeight="1">
      <c r="A48" s="97" t="s">
        <v>119</v>
      </c>
      <c r="B48" s="13" t="s">
        <v>120</v>
      </c>
      <c r="C48" s="9">
        <v>9118.5</v>
      </c>
      <c r="D48" s="97">
        <f t="shared" si="0"/>
        <v>0</v>
      </c>
      <c r="E48" s="97">
        <f t="shared" si="1"/>
        <v>9118.5</v>
      </c>
      <c r="F48" s="97">
        <f t="shared" si="2"/>
        <v>2.0956914046429957E-2</v>
      </c>
      <c r="G48" s="97">
        <f t="shared" si="3"/>
        <v>811.03257359683937</v>
      </c>
      <c r="H48" s="97">
        <v>3</v>
      </c>
      <c r="I48" s="97">
        <f t="shared" si="4"/>
        <v>353.434977</v>
      </c>
      <c r="J48" s="97">
        <f t="shared" si="5"/>
        <v>1169.9899721124643</v>
      </c>
      <c r="K48" s="97">
        <f t="shared" si="6"/>
        <v>5222.953125</v>
      </c>
      <c r="L48" s="7">
        <v>0</v>
      </c>
      <c r="M48" s="97">
        <v>0</v>
      </c>
      <c r="N48" s="97">
        <v>0</v>
      </c>
      <c r="O48" s="97">
        <v>0</v>
      </c>
      <c r="P48" s="97"/>
      <c r="Q48" s="97"/>
      <c r="R48" s="97">
        <f t="shared" si="7"/>
        <v>6392.9430971124639</v>
      </c>
      <c r="S48" s="98"/>
      <c r="T48" s="97"/>
    </row>
    <row r="49" spans="1:20" ht="12.75" customHeight="1">
      <c r="A49" s="97" t="s">
        <v>121</v>
      </c>
      <c r="B49" s="13" t="s">
        <v>122</v>
      </c>
      <c r="C49" s="9">
        <v>13247</v>
      </c>
      <c r="D49" s="97">
        <f t="shared" si="0"/>
        <v>0</v>
      </c>
      <c r="E49" s="97">
        <f t="shared" si="1"/>
        <v>13247</v>
      </c>
      <c r="F49" s="97">
        <f t="shared" si="2"/>
        <v>3.0445384698476467E-2</v>
      </c>
      <c r="G49" s="97">
        <f t="shared" si="3"/>
        <v>1178.2363878310393</v>
      </c>
      <c r="H49" s="97">
        <v>3</v>
      </c>
      <c r="I49" s="97">
        <f t="shared" si="4"/>
        <v>353.434977</v>
      </c>
      <c r="J49" s="97">
        <f t="shared" si="5"/>
        <v>1537.1937863466642</v>
      </c>
      <c r="K49" s="97">
        <f t="shared" si="6"/>
        <v>5222.953125</v>
      </c>
      <c r="L49" s="7">
        <v>0</v>
      </c>
      <c r="M49" s="97">
        <v>0</v>
      </c>
      <c r="N49" s="97">
        <v>0</v>
      </c>
      <c r="O49" s="97">
        <v>0</v>
      </c>
      <c r="P49" s="97"/>
      <c r="Q49" s="97"/>
      <c r="R49" s="97">
        <f t="shared" si="7"/>
        <v>6760.1469113466646</v>
      </c>
      <c r="S49" s="98"/>
      <c r="T49" s="97"/>
    </row>
    <row r="50" spans="1:20" ht="12.75" customHeight="1">
      <c r="A50" s="97" t="s">
        <v>123</v>
      </c>
      <c r="B50" s="13" t="s">
        <v>124</v>
      </c>
      <c r="C50" s="9">
        <v>3691</v>
      </c>
      <c r="D50" s="97">
        <f t="shared" si="0"/>
        <v>0</v>
      </c>
      <c r="E50" s="97">
        <f t="shared" si="1"/>
        <v>3691</v>
      </c>
      <c r="F50" s="97">
        <f t="shared" si="2"/>
        <v>8.4829708554447526E-3</v>
      </c>
      <c r="G50" s="97">
        <f t="shared" si="3"/>
        <v>328.29097210571194</v>
      </c>
      <c r="H50" s="97">
        <v>4</v>
      </c>
      <c r="I50" s="97">
        <f t="shared" si="4"/>
        <v>471.24663600000002</v>
      </c>
      <c r="J50" s="97">
        <f t="shared" si="5"/>
        <v>805.06002962133698</v>
      </c>
      <c r="K50" s="97">
        <f t="shared" si="6"/>
        <v>5222.953125</v>
      </c>
      <c r="L50" s="7">
        <v>0</v>
      </c>
      <c r="M50" s="97">
        <v>0</v>
      </c>
      <c r="N50" s="97">
        <v>0</v>
      </c>
      <c r="O50" s="97">
        <v>0</v>
      </c>
      <c r="P50" s="97"/>
      <c r="Q50" s="97"/>
      <c r="R50" s="97">
        <f t="shared" si="7"/>
        <v>6028.013154621337</v>
      </c>
      <c r="S50" s="98"/>
      <c r="T50" s="97"/>
    </row>
    <row r="51" spans="1:20" ht="12.75" customHeight="1">
      <c r="A51" s="97" t="s">
        <v>125</v>
      </c>
      <c r="B51" s="13" t="s">
        <v>126</v>
      </c>
      <c r="C51" s="9">
        <v>2951.5</v>
      </c>
      <c r="D51" s="97">
        <f t="shared" si="0"/>
        <v>0</v>
      </c>
      <c r="E51" s="97">
        <f t="shared" si="1"/>
        <v>2951.5</v>
      </c>
      <c r="F51" s="97">
        <f t="shared" si="2"/>
        <v>6.7833889135316136E-3</v>
      </c>
      <c r="G51" s="97">
        <f t="shared" si="3"/>
        <v>262.51715095367342</v>
      </c>
      <c r="H51" s="97">
        <v>4</v>
      </c>
      <c r="I51" s="97">
        <f t="shared" si="4"/>
        <v>471.24663600000002</v>
      </c>
      <c r="J51" s="97">
        <f t="shared" si="5"/>
        <v>739.28620846929846</v>
      </c>
      <c r="K51" s="97">
        <f t="shared" si="6"/>
        <v>5222.953125</v>
      </c>
      <c r="L51" s="7">
        <v>0</v>
      </c>
      <c r="M51" s="97">
        <v>0</v>
      </c>
      <c r="N51" s="97">
        <v>0</v>
      </c>
      <c r="O51" s="97">
        <v>0</v>
      </c>
      <c r="P51" s="97"/>
      <c r="Q51" s="97"/>
      <c r="R51" s="97">
        <f t="shared" si="7"/>
        <v>5962.2393334692988</v>
      </c>
      <c r="S51" s="98"/>
      <c r="T51" s="97"/>
    </row>
    <row r="52" spans="1:20" ht="12.75" customHeight="1">
      <c r="A52" s="97" t="s">
        <v>127</v>
      </c>
      <c r="B52" s="13" t="s">
        <v>128</v>
      </c>
      <c r="C52" s="9">
        <v>12231.5</v>
      </c>
      <c r="D52" s="97">
        <f t="shared" si="0"/>
        <v>0</v>
      </c>
      <c r="E52" s="97">
        <f t="shared" si="1"/>
        <v>12231.5</v>
      </c>
      <c r="F52" s="97">
        <f t="shared" si="2"/>
        <v>2.8111476027735706E-2</v>
      </c>
      <c r="G52" s="97">
        <f t="shared" si="3"/>
        <v>1087.9141222733717</v>
      </c>
      <c r="H52" s="97">
        <v>4</v>
      </c>
      <c r="I52" s="97">
        <f t="shared" si="4"/>
        <v>471.24663600000002</v>
      </c>
      <c r="J52" s="97">
        <f t="shared" si="5"/>
        <v>1564.6831797889968</v>
      </c>
      <c r="K52" s="97">
        <f t="shared" si="6"/>
        <v>5222.953125</v>
      </c>
      <c r="L52" s="7">
        <v>0</v>
      </c>
      <c r="M52" s="97">
        <v>0</v>
      </c>
      <c r="N52" s="97">
        <v>0</v>
      </c>
      <c r="O52" s="97">
        <v>0</v>
      </c>
      <c r="P52" s="97"/>
      <c r="Q52" s="97"/>
      <c r="R52" s="97">
        <f t="shared" si="7"/>
        <v>6787.6363047889972</v>
      </c>
      <c r="S52" s="98"/>
      <c r="T52" s="97"/>
    </row>
    <row r="53" spans="1:20" ht="12.75" customHeight="1">
      <c r="A53" s="97" t="s">
        <v>129</v>
      </c>
      <c r="B53" s="13" t="s">
        <v>130</v>
      </c>
      <c r="C53" s="9">
        <v>3931.5</v>
      </c>
      <c r="D53" s="97">
        <f t="shared" si="0"/>
        <v>0</v>
      </c>
      <c r="E53" s="97">
        <f t="shared" si="1"/>
        <v>3931.5</v>
      </c>
      <c r="F53" s="97">
        <f t="shared" si="2"/>
        <v>9.035708457919546E-3</v>
      </c>
      <c r="G53" s="97">
        <f t="shared" si="3"/>
        <v>349.68191732148642</v>
      </c>
      <c r="H53" s="97">
        <v>3</v>
      </c>
      <c r="I53" s="97">
        <f t="shared" si="4"/>
        <v>353.434977</v>
      </c>
      <c r="J53" s="97">
        <f t="shared" si="5"/>
        <v>708.63931583711144</v>
      </c>
      <c r="K53" s="97">
        <f t="shared" si="6"/>
        <v>5222.953125</v>
      </c>
      <c r="L53" s="7">
        <v>0</v>
      </c>
      <c r="M53" s="97">
        <v>0</v>
      </c>
      <c r="N53" s="97">
        <v>0</v>
      </c>
      <c r="O53" s="97">
        <v>0</v>
      </c>
      <c r="P53" s="97"/>
      <c r="Q53" s="97"/>
      <c r="R53" s="97">
        <f t="shared" si="7"/>
        <v>5931.5924408371111</v>
      </c>
      <c r="S53" s="98"/>
      <c r="T53" s="97"/>
    </row>
    <row r="54" spans="1:20" ht="12.75" customHeight="1">
      <c r="A54" s="97" t="s">
        <v>131</v>
      </c>
      <c r="B54" s="13" t="s">
        <v>132</v>
      </c>
      <c r="C54" s="9">
        <v>14511</v>
      </c>
      <c r="D54" s="97">
        <f t="shared" si="0"/>
        <v>0</v>
      </c>
      <c r="E54" s="97">
        <f t="shared" si="1"/>
        <v>14511</v>
      </c>
      <c r="F54" s="97">
        <f t="shared" si="2"/>
        <v>3.3350417253687023E-2</v>
      </c>
      <c r="G54" s="97">
        <f t="shared" si="3"/>
        <v>1290.6611477176878</v>
      </c>
      <c r="H54" s="97">
        <v>3</v>
      </c>
      <c r="I54" s="97">
        <f t="shared" si="4"/>
        <v>353.434977</v>
      </c>
      <c r="J54" s="97">
        <f t="shared" si="5"/>
        <v>1649.6185462333128</v>
      </c>
      <c r="K54" s="97">
        <f t="shared" si="6"/>
        <v>5222.953125</v>
      </c>
      <c r="L54" s="7">
        <v>0</v>
      </c>
      <c r="M54" s="97">
        <v>0</v>
      </c>
      <c r="N54" s="97">
        <v>0</v>
      </c>
      <c r="O54" s="97">
        <v>0</v>
      </c>
      <c r="P54" s="97"/>
      <c r="Q54" s="97"/>
      <c r="R54" s="97">
        <f t="shared" si="7"/>
        <v>6872.5716712333124</v>
      </c>
      <c r="S54" s="98"/>
      <c r="T54" s="97"/>
    </row>
    <row r="55" spans="1:20" ht="12.75" customHeight="1">
      <c r="A55" s="97" t="s">
        <v>133</v>
      </c>
      <c r="B55" s="13" t="s">
        <v>134</v>
      </c>
      <c r="C55" s="9">
        <v>13520</v>
      </c>
      <c r="D55" s="97">
        <f t="shared" si="0"/>
        <v>0</v>
      </c>
      <c r="E55" s="97">
        <f t="shared" si="1"/>
        <v>13520</v>
      </c>
      <c r="F55" s="97">
        <f t="shared" si="2"/>
        <v>3.1072816571555962E-2</v>
      </c>
      <c r="G55" s="97">
        <f t="shared" si="3"/>
        <v>1202.5180013192157</v>
      </c>
      <c r="H55" s="97">
        <v>4</v>
      </c>
      <c r="I55" s="97">
        <f t="shared" si="4"/>
        <v>471.24663600000002</v>
      </c>
      <c r="J55" s="97">
        <f t="shared" si="5"/>
        <v>1679.2870588348408</v>
      </c>
      <c r="K55" s="97">
        <f t="shared" si="6"/>
        <v>5222.953125</v>
      </c>
      <c r="L55" s="7">
        <v>0</v>
      </c>
      <c r="M55" s="97">
        <v>0</v>
      </c>
      <c r="N55" s="97">
        <v>0</v>
      </c>
      <c r="O55" s="97">
        <v>0</v>
      </c>
      <c r="P55" s="97"/>
      <c r="Q55" s="97"/>
      <c r="R55" s="97">
        <f t="shared" si="7"/>
        <v>6902.2401838348405</v>
      </c>
      <c r="S55" s="98"/>
      <c r="T55" s="97"/>
    </row>
    <row r="56" spans="1:20" ht="12.75" customHeight="1">
      <c r="A56" s="97" t="s">
        <v>135</v>
      </c>
      <c r="B56" s="13" t="s">
        <v>136</v>
      </c>
      <c r="C56" s="9">
        <v>7232.5</v>
      </c>
      <c r="D56" s="97">
        <f t="shared" si="0"/>
        <v>0</v>
      </c>
      <c r="E56" s="97">
        <f t="shared" si="1"/>
        <v>7232.5</v>
      </c>
      <c r="F56" s="97">
        <f t="shared" si="2"/>
        <v>1.6622348066107878E-2</v>
      </c>
      <c r="G56" s="97">
        <f t="shared" si="3"/>
        <v>643.28487015837493</v>
      </c>
      <c r="H56" s="97">
        <v>4</v>
      </c>
      <c r="I56" s="97">
        <f t="shared" si="4"/>
        <v>471.24663600000002</v>
      </c>
      <c r="J56" s="97">
        <f t="shared" si="5"/>
        <v>1120.0539276739999</v>
      </c>
      <c r="K56" s="97">
        <f t="shared" si="6"/>
        <v>5222.953125</v>
      </c>
      <c r="L56" s="7">
        <v>0</v>
      </c>
      <c r="M56" s="97">
        <v>0</v>
      </c>
      <c r="N56" s="97">
        <v>0</v>
      </c>
      <c r="O56" s="97">
        <v>0</v>
      </c>
      <c r="P56" s="97"/>
      <c r="Q56" s="97"/>
      <c r="R56" s="97">
        <f t="shared" si="7"/>
        <v>6343.0070526740001</v>
      </c>
      <c r="S56" s="98"/>
      <c r="T56" s="97"/>
    </row>
    <row r="57" spans="1:20" ht="12.75" customHeight="1">
      <c r="A57" s="97" t="s">
        <v>137</v>
      </c>
      <c r="B57" s="13" t="s">
        <v>138</v>
      </c>
      <c r="C57" s="9">
        <v>9697</v>
      </c>
      <c r="D57" s="97">
        <f t="shared" si="0"/>
        <v>0</v>
      </c>
      <c r="E57" s="97">
        <f t="shared" si="1"/>
        <v>9697</v>
      </c>
      <c r="F57" s="97">
        <f t="shared" si="2"/>
        <v>2.228647206319365E-2</v>
      </c>
      <c r="G57" s="97">
        <f t="shared" si="3"/>
        <v>862.48646884559423</v>
      </c>
      <c r="H57" s="97">
        <v>4</v>
      </c>
      <c r="I57" s="97">
        <f t="shared" si="4"/>
        <v>471.24663600000002</v>
      </c>
      <c r="J57" s="97">
        <f t="shared" si="5"/>
        <v>1339.2555263612192</v>
      </c>
      <c r="K57" s="97">
        <f t="shared" si="6"/>
        <v>5222.953125</v>
      </c>
      <c r="L57" s="7">
        <v>0</v>
      </c>
      <c r="M57" s="97">
        <v>0</v>
      </c>
      <c r="N57" s="97">
        <v>0</v>
      </c>
      <c r="O57" s="97">
        <v>0</v>
      </c>
      <c r="P57" s="97"/>
      <c r="Q57" s="97"/>
      <c r="R57" s="97">
        <f t="shared" si="7"/>
        <v>6562.2086513612194</v>
      </c>
      <c r="S57" s="98"/>
      <c r="T57" s="97"/>
    </row>
    <row r="58" spans="1:20" ht="12.75" customHeight="1">
      <c r="A58" s="97" t="s">
        <v>139</v>
      </c>
      <c r="B58" s="13" t="s">
        <v>140</v>
      </c>
      <c r="C58" s="9">
        <v>1347</v>
      </c>
      <c r="D58" s="97">
        <f t="shared" si="0"/>
        <v>0</v>
      </c>
      <c r="E58" s="97">
        <f t="shared" si="1"/>
        <v>1347</v>
      </c>
      <c r="F58" s="97">
        <f t="shared" si="2"/>
        <v>3.095790230908719E-3</v>
      </c>
      <c r="G58" s="97">
        <f t="shared" si="3"/>
        <v>119.80708193616742</v>
      </c>
      <c r="H58" s="97">
        <v>3</v>
      </c>
      <c r="I58" s="97">
        <f t="shared" si="4"/>
        <v>353.434977</v>
      </c>
      <c r="J58" s="97">
        <f t="shared" si="5"/>
        <v>478.76448045179245</v>
      </c>
      <c r="K58" s="97">
        <f t="shared" si="6"/>
        <v>5222.953125</v>
      </c>
      <c r="L58" s="7">
        <v>0</v>
      </c>
      <c r="M58" s="97">
        <v>0</v>
      </c>
      <c r="N58" s="97">
        <v>0</v>
      </c>
      <c r="O58" s="97">
        <v>0</v>
      </c>
      <c r="P58" s="97"/>
      <c r="Q58" s="97"/>
      <c r="R58" s="97">
        <f t="shared" si="7"/>
        <v>5701.7176054517922</v>
      </c>
      <c r="S58" s="98"/>
      <c r="T58" s="97"/>
    </row>
    <row r="59" spans="1:20" ht="12.75" customHeight="1">
      <c r="A59" s="97" t="s">
        <v>141</v>
      </c>
      <c r="B59" s="13" t="s">
        <v>142</v>
      </c>
      <c r="C59" s="9">
        <v>12682</v>
      </c>
      <c r="D59" s="97">
        <f t="shared" si="0"/>
        <v>0</v>
      </c>
      <c r="E59" s="97">
        <f t="shared" si="1"/>
        <v>12682</v>
      </c>
      <c r="F59" s="97">
        <f t="shared" si="2"/>
        <v>2.9146853532579342E-2</v>
      </c>
      <c r="G59" s="97">
        <f t="shared" si="3"/>
        <v>1127.9832317108205</v>
      </c>
      <c r="H59" s="97">
        <v>3</v>
      </c>
      <c r="I59" s="97">
        <f t="shared" si="4"/>
        <v>353.434977</v>
      </c>
      <c r="J59" s="97">
        <f t="shared" si="5"/>
        <v>1486.9406302264456</v>
      </c>
      <c r="K59" s="97">
        <f t="shared" si="6"/>
        <v>5222.953125</v>
      </c>
      <c r="L59" s="7">
        <v>0</v>
      </c>
      <c r="M59" s="97">
        <v>0</v>
      </c>
      <c r="N59" s="97">
        <v>0</v>
      </c>
      <c r="O59" s="97">
        <v>0</v>
      </c>
      <c r="P59" s="97"/>
      <c r="Q59" s="97"/>
      <c r="R59" s="97">
        <f t="shared" si="7"/>
        <v>6709.8937552264451</v>
      </c>
      <c r="S59" s="98"/>
      <c r="T59" s="97"/>
    </row>
    <row r="60" spans="1:20" ht="12.75" customHeight="1">
      <c r="A60" s="97" t="s">
        <v>143</v>
      </c>
      <c r="B60" s="13" t="s">
        <v>144</v>
      </c>
      <c r="C60" s="9">
        <v>2204.5</v>
      </c>
      <c r="D60" s="97">
        <f t="shared" si="0"/>
        <v>0</v>
      </c>
      <c r="E60" s="97">
        <f t="shared" si="1"/>
        <v>2204.5</v>
      </c>
      <c r="F60" s="97">
        <f t="shared" si="2"/>
        <v>5.0665698322481601E-3</v>
      </c>
      <c r="G60" s="97">
        <f t="shared" si="3"/>
        <v>196.07625250800379</v>
      </c>
      <c r="H60" s="97">
        <v>3</v>
      </c>
      <c r="I60" s="97">
        <f t="shared" si="4"/>
        <v>353.434977</v>
      </c>
      <c r="J60" s="97">
        <f t="shared" si="5"/>
        <v>555.03365102362886</v>
      </c>
      <c r="K60" s="97">
        <f t="shared" si="6"/>
        <v>5222.953125</v>
      </c>
      <c r="L60" s="7">
        <v>0</v>
      </c>
      <c r="M60" s="97">
        <v>0</v>
      </c>
      <c r="N60" s="97">
        <v>0</v>
      </c>
      <c r="O60" s="97">
        <v>0</v>
      </c>
      <c r="P60" s="97"/>
      <c r="Q60" s="97"/>
      <c r="R60" s="97">
        <f t="shared" si="7"/>
        <v>5777.9867760236284</v>
      </c>
      <c r="S60" s="98"/>
      <c r="T60" s="97"/>
    </row>
    <row r="61" spans="1:20" ht="12.75" customHeight="1">
      <c r="A61" s="97" t="s">
        <v>145</v>
      </c>
      <c r="B61" s="13" t="s">
        <v>146</v>
      </c>
      <c r="C61" s="9">
        <v>1408</v>
      </c>
      <c r="D61" s="97">
        <f t="shared" si="0"/>
        <v>0</v>
      </c>
      <c r="E61" s="97">
        <f t="shared" si="1"/>
        <v>1408</v>
      </c>
      <c r="F61" s="97">
        <f t="shared" si="2"/>
        <v>3.2359856311206209E-3</v>
      </c>
      <c r="G61" s="97">
        <f t="shared" si="3"/>
        <v>125.23264392436803</v>
      </c>
      <c r="H61" s="97">
        <v>3</v>
      </c>
      <c r="I61" s="97">
        <f t="shared" si="4"/>
        <v>353.434977</v>
      </c>
      <c r="J61" s="97">
        <f t="shared" si="5"/>
        <v>484.19004243999302</v>
      </c>
      <c r="K61" s="97">
        <f t="shared" si="6"/>
        <v>5222.953125</v>
      </c>
      <c r="L61" s="7">
        <v>0</v>
      </c>
      <c r="M61" s="97">
        <v>0</v>
      </c>
      <c r="N61" s="97">
        <v>0</v>
      </c>
      <c r="O61" s="97">
        <v>0</v>
      </c>
      <c r="P61" s="97"/>
      <c r="Q61" s="97"/>
      <c r="R61" s="97">
        <f t="shared" si="7"/>
        <v>5707.1431674399928</v>
      </c>
      <c r="S61" s="98"/>
      <c r="T61" s="97"/>
    </row>
    <row r="62" spans="1:20" ht="12.75" customHeight="1">
      <c r="A62" s="97" t="s">
        <v>147</v>
      </c>
      <c r="B62" s="13" t="s">
        <v>148</v>
      </c>
      <c r="C62" s="9">
        <v>6684.5</v>
      </c>
      <c r="D62" s="97">
        <f t="shared" si="0"/>
        <v>0</v>
      </c>
      <c r="E62" s="97">
        <f t="shared" si="1"/>
        <v>6684.5</v>
      </c>
      <c r="F62" s="97">
        <f t="shared" si="2"/>
        <v>1.5362887749450136E-2</v>
      </c>
      <c r="G62" s="97">
        <f t="shared" si="3"/>
        <v>594.54375590372024</v>
      </c>
      <c r="H62" s="97">
        <v>4</v>
      </c>
      <c r="I62" s="97">
        <f t="shared" si="4"/>
        <v>471.24663600000002</v>
      </c>
      <c r="J62" s="97">
        <f t="shared" si="5"/>
        <v>1071.3128134193453</v>
      </c>
      <c r="K62" s="97">
        <f t="shared" si="6"/>
        <v>5222.953125</v>
      </c>
      <c r="L62" s="7">
        <v>0</v>
      </c>
      <c r="M62" s="97">
        <v>0</v>
      </c>
      <c r="N62" s="97">
        <v>0</v>
      </c>
      <c r="O62" s="97">
        <v>0</v>
      </c>
      <c r="P62" s="97"/>
      <c r="Q62" s="97"/>
      <c r="R62" s="97">
        <f t="shared" si="7"/>
        <v>6294.2659384193448</v>
      </c>
      <c r="S62" s="98"/>
      <c r="T62" s="97"/>
    </row>
    <row r="63" spans="1:20" ht="12.75" customHeight="1">
      <c r="A63" s="97" t="s">
        <v>149</v>
      </c>
      <c r="B63" s="13" t="s">
        <v>36</v>
      </c>
      <c r="C63" s="9">
        <v>3400</v>
      </c>
      <c r="D63" s="97">
        <f t="shared" si="0"/>
        <v>0</v>
      </c>
      <c r="E63" s="97">
        <f t="shared" si="1"/>
        <v>3400</v>
      </c>
      <c r="F63" s="97">
        <f t="shared" si="2"/>
        <v>7.8141698478764992E-3</v>
      </c>
      <c r="G63" s="97">
        <f t="shared" si="3"/>
        <v>302.40837311282053</v>
      </c>
      <c r="H63" s="97">
        <v>3</v>
      </c>
      <c r="I63" s="97">
        <f t="shared" si="4"/>
        <v>353.434977</v>
      </c>
      <c r="J63" s="97">
        <f t="shared" si="5"/>
        <v>661.3657716284456</v>
      </c>
      <c r="K63" s="97">
        <f t="shared" si="6"/>
        <v>5222.953125</v>
      </c>
      <c r="L63" s="7">
        <v>750</v>
      </c>
      <c r="M63" s="97">
        <v>0</v>
      </c>
      <c r="N63" s="97">
        <v>0</v>
      </c>
      <c r="O63" s="97">
        <v>0</v>
      </c>
      <c r="P63" s="97"/>
      <c r="Q63" s="97"/>
      <c r="R63" s="97">
        <f t="shared" si="7"/>
        <v>6634.3188966284451</v>
      </c>
      <c r="S63" s="98"/>
      <c r="T63" s="97"/>
    </row>
    <row r="64" spans="1:20" ht="12.75" customHeight="1">
      <c r="A64" s="97" t="s">
        <v>150</v>
      </c>
      <c r="B64" s="13" t="s">
        <v>151</v>
      </c>
      <c r="C64" s="9">
        <v>1108.5</v>
      </c>
      <c r="D64" s="97">
        <f t="shared" si="0"/>
        <v>0</v>
      </c>
      <c r="E64" s="97">
        <f t="shared" si="1"/>
        <v>1108.5</v>
      </c>
      <c r="F64" s="97">
        <f t="shared" si="2"/>
        <v>2.5476491989326762E-3</v>
      </c>
      <c r="G64" s="97">
        <f t="shared" si="3"/>
        <v>98.594023998694567</v>
      </c>
      <c r="H64" s="97">
        <v>3</v>
      </c>
      <c r="I64" s="97">
        <f t="shared" si="4"/>
        <v>353.434977</v>
      </c>
      <c r="J64" s="97">
        <f t="shared" si="5"/>
        <v>457.5514225143196</v>
      </c>
      <c r="K64" s="97">
        <f t="shared" si="6"/>
        <v>5222.953125</v>
      </c>
      <c r="L64" s="7">
        <v>0</v>
      </c>
      <c r="M64" s="97">
        <v>0</v>
      </c>
      <c r="N64" s="97">
        <v>0</v>
      </c>
      <c r="O64" s="97">
        <v>0</v>
      </c>
      <c r="P64" s="97"/>
      <c r="Q64" s="97"/>
      <c r="R64" s="97">
        <f t="shared" si="7"/>
        <v>5680.5045475143197</v>
      </c>
      <c r="S64" s="98"/>
      <c r="T64" s="97"/>
    </row>
    <row r="65" spans="1:20" ht="12.75" customHeight="1">
      <c r="A65" s="97" t="s">
        <v>152</v>
      </c>
      <c r="B65" s="13" t="s">
        <v>153</v>
      </c>
      <c r="C65" s="9">
        <v>1274</v>
      </c>
      <c r="D65" s="97">
        <f t="shared" si="0"/>
        <v>0</v>
      </c>
      <c r="E65" s="97">
        <f t="shared" si="1"/>
        <v>1274</v>
      </c>
      <c r="F65" s="97">
        <f t="shared" si="2"/>
        <v>2.9280154077043117E-3</v>
      </c>
      <c r="G65" s="97">
        <f t="shared" si="3"/>
        <v>113.31419627815686</v>
      </c>
      <c r="H65" s="97">
        <v>3</v>
      </c>
      <c r="I65" s="97">
        <f t="shared" si="4"/>
        <v>353.434977</v>
      </c>
      <c r="J65" s="97">
        <f t="shared" si="5"/>
        <v>472.27159479378184</v>
      </c>
      <c r="K65" s="97">
        <f t="shared" si="6"/>
        <v>5222.953125</v>
      </c>
      <c r="L65" s="7">
        <v>0</v>
      </c>
      <c r="M65" s="97">
        <v>0</v>
      </c>
      <c r="N65" s="97">
        <v>0</v>
      </c>
      <c r="O65" s="97">
        <v>0</v>
      </c>
      <c r="P65" s="97"/>
      <c r="Q65" s="97"/>
      <c r="R65" s="97">
        <f t="shared" si="7"/>
        <v>5695.2247197937822</v>
      </c>
      <c r="S65" s="98"/>
      <c r="T65" s="97"/>
    </row>
    <row r="66" spans="1:20" ht="12.75" customHeight="1">
      <c r="A66" s="97" t="s">
        <v>154</v>
      </c>
      <c r="B66" s="13" t="s">
        <v>155</v>
      </c>
      <c r="C66" s="9">
        <v>4412</v>
      </c>
      <c r="D66" s="97">
        <f t="shared" si="0"/>
        <v>0</v>
      </c>
      <c r="E66" s="97">
        <f t="shared" si="1"/>
        <v>4412</v>
      </c>
      <c r="F66" s="97">
        <f t="shared" si="2"/>
        <v>1.0140034520244446E-2</v>
      </c>
      <c r="G66" s="97">
        <f t="shared" si="3"/>
        <v>392.41933593346005</v>
      </c>
      <c r="H66" s="97">
        <v>4</v>
      </c>
      <c r="I66" s="97">
        <f t="shared" si="4"/>
        <v>471.24663600000002</v>
      </c>
      <c r="J66" s="97">
        <f t="shared" si="5"/>
        <v>869.18839344908508</v>
      </c>
      <c r="K66" s="97">
        <f t="shared" si="6"/>
        <v>5222.953125</v>
      </c>
      <c r="L66" s="7">
        <v>0</v>
      </c>
      <c r="M66" s="97">
        <v>0</v>
      </c>
      <c r="N66" s="97">
        <v>0</v>
      </c>
      <c r="O66" s="97">
        <v>0</v>
      </c>
      <c r="P66" s="97"/>
      <c r="Q66" s="97"/>
      <c r="R66" s="97">
        <f t="shared" si="7"/>
        <v>6092.1415184490852</v>
      </c>
      <c r="S66" s="98"/>
      <c r="T66" s="97"/>
    </row>
    <row r="67" spans="1:20" ht="12.75" customHeight="1">
      <c r="A67" s="97" t="s">
        <v>156</v>
      </c>
      <c r="B67" s="13" t="s">
        <v>157</v>
      </c>
      <c r="C67" s="9">
        <v>6482.5</v>
      </c>
      <c r="D67" s="97">
        <f t="shared" si="0"/>
        <v>0</v>
      </c>
      <c r="E67" s="97">
        <f t="shared" si="1"/>
        <v>6482.5</v>
      </c>
      <c r="F67" s="97">
        <f t="shared" si="2"/>
        <v>1.4898634129076296E-2</v>
      </c>
      <c r="G67" s="97">
        <f t="shared" si="3"/>
        <v>576.5771407952526</v>
      </c>
      <c r="H67" s="97">
        <v>4</v>
      </c>
      <c r="I67" s="97">
        <f t="shared" si="4"/>
        <v>471.24663600000002</v>
      </c>
      <c r="J67" s="97">
        <f t="shared" si="5"/>
        <v>1053.3461983108775</v>
      </c>
      <c r="K67" s="97">
        <f t="shared" si="6"/>
        <v>5222.953125</v>
      </c>
      <c r="L67" s="7">
        <v>0</v>
      </c>
      <c r="M67" s="97">
        <v>0</v>
      </c>
      <c r="N67" s="97">
        <v>0</v>
      </c>
      <c r="O67" s="97">
        <v>0</v>
      </c>
      <c r="P67" s="97"/>
      <c r="Q67" s="97"/>
      <c r="R67" s="97">
        <f t="shared" si="7"/>
        <v>6276.2993233108773</v>
      </c>
      <c r="S67" s="98"/>
      <c r="T67" s="97"/>
    </row>
    <row r="68" spans="1:20" ht="12.75" customHeight="1">
      <c r="A68" s="97" t="s">
        <v>158</v>
      </c>
      <c r="B68" s="13" t="s">
        <v>159</v>
      </c>
      <c r="C68" s="9">
        <v>9889</v>
      </c>
      <c r="D68" s="97">
        <f t="shared" si="0"/>
        <v>0</v>
      </c>
      <c r="E68" s="97">
        <f t="shared" si="1"/>
        <v>9889</v>
      </c>
      <c r="F68" s="97">
        <f t="shared" si="2"/>
        <v>2.2727742831073736E-2</v>
      </c>
      <c r="G68" s="97">
        <f t="shared" si="3"/>
        <v>879.56364756255357</v>
      </c>
      <c r="H68" s="97">
        <v>4</v>
      </c>
      <c r="I68" s="97">
        <f t="shared" si="4"/>
        <v>471.24663600000002</v>
      </c>
      <c r="J68" s="97">
        <f t="shared" si="5"/>
        <v>1356.3327050781786</v>
      </c>
      <c r="K68" s="97">
        <f t="shared" si="6"/>
        <v>5222.953125</v>
      </c>
      <c r="L68" s="7">
        <v>0</v>
      </c>
      <c r="M68" s="97">
        <v>1000</v>
      </c>
      <c r="N68" s="97">
        <v>0</v>
      </c>
      <c r="O68" s="97">
        <v>0</v>
      </c>
      <c r="P68" s="97"/>
      <c r="Q68" s="97"/>
      <c r="R68" s="97">
        <f t="shared" si="7"/>
        <v>7579.2858300781791</v>
      </c>
      <c r="S68" s="98"/>
      <c r="T68" s="97"/>
    </row>
    <row r="69" spans="1:20" ht="12.75" customHeight="1">
      <c r="A69" s="97" t="s">
        <v>160</v>
      </c>
      <c r="B69" s="13" t="s">
        <v>161</v>
      </c>
      <c r="C69" s="9">
        <v>7140.5</v>
      </c>
      <c r="D69" s="97">
        <f t="shared" si="0"/>
        <v>0</v>
      </c>
      <c r="E69" s="97">
        <f t="shared" si="1"/>
        <v>7140.5</v>
      </c>
      <c r="F69" s="97">
        <f t="shared" si="2"/>
        <v>1.6410905823165338E-2</v>
      </c>
      <c r="G69" s="97">
        <f t="shared" si="3"/>
        <v>635.10205535649857</v>
      </c>
      <c r="H69" s="97">
        <v>3</v>
      </c>
      <c r="I69" s="97">
        <f t="shared" si="4"/>
        <v>353.434977</v>
      </c>
      <c r="J69" s="97">
        <f t="shared" si="5"/>
        <v>994.05945387212353</v>
      </c>
      <c r="K69" s="97">
        <f t="shared" si="6"/>
        <v>5222.953125</v>
      </c>
      <c r="L69" s="7">
        <v>0</v>
      </c>
      <c r="M69" s="97">
        <v>0</v>
      </c>
      <c r="N69" s="97">
        <v>0</v>
      </c>
      <c r="O69" s="97">
        <v>0</v>
      </c>
      <c r="P69" s="97"/>
      <c r="Q69" s="97"/>
      <c r="R69" s="97">
        <f t="shared" si="7"/>
        <v>6217.0125788721234</v>
      </c>
      <c r="S69" s="98"/>
      <c r="T69" s="97"/>
    </row>
    <row r="70" spans="1:20" ht="12.75" customHeight="1">
      <c r="A70" s="97"/>
      <c r="B70" s="99" t="s">
        <v>162</v>
      </c>
      <c r="C70" s="97">
        <f t="shared" ref="C70:E70" si="8">SUM(C3:C69)</f>
        <v>435107</v>
      </c>
      <c r="D70" s="97">
        <f t="shared" si="8"/>
        <v>0</v>
      </c>
      <c r="E70" s="97">
        <f t="shared" si="8"/>
        <v>435107</v>
      </c>
      <c r="F70" s="97">
        <f t="shared" si="2"/>
        <v>1</v>
      </c>
      <c r="G70" s="97">
        <f t="shared" ref="G70:O70" si="9">SUM(G3:G69)</f>
        <v>38700.000000000007</v>
      </c>
      <c r="H70" s="97">
        <f t="shared" si="9"/>
        <v>223</v>
      </c>
      <c r="I70" s="97">
        <f t="shared" si="9"/>
        <v>26271.999957000018</v>
      </c>
      <c r="J70" s="97">
        <f t="shared" si="9"/>
        <v>64971.999957000015</v>
      </c>
      <c r="K70" s="97">
        <f t="shared" si="9"/>
        <v>334269</v>
      </c>
      <c r="L70" s="97">
        <f t="shared" si="9"/>
        <v>3000</v>
      </c>
      <c r="M70" s="97">
        <f t="shared" si="9"/>
        <v>1000</v>
      </c>
      <c r="N70" s="97">
        <f t="shared" si="9"/>
        <v>1000</v>
      </c>
      <c r="O70" s="97">
        <f t="shared" si="9"/>
        <v>0</v>
      </c>
      <c r="P70" s="97"/>
      <c r="Q70" s="97"/>
      <c r="R70" s="97">
        <f>SUM(R3:R69)</f>
        <v>404240.99995700002</v>
      </c>
      <c r="S70" s="98"/>
      <c r="T70" s="97"/>
    </row>
  </sheetData>
  <mergeCells count="1">
    <mergeCell ref="B1:T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45893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45870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45879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5172</v>
      </c>
      <c r="D6" s="86">
        <v>45894</v>
      </c>
      <c r="F6" s="86"/>
      <c r="H6" s="71"/>
      <c r="K6" s="40">
        <f t="shared" si="0"/>
        <v>5172</v>
      </c>
    </row>
    <row r="7" spans="1:11" ht="15" customHeight="1">
      <c r="A7" s="41" t="s">
        <v>37</v>
      </c>
      <c r="B7" s="13" t="s">
        <v>38</v>
      </c>
      <c r="C7" s="40">
        <v>5465</v>
      </c>
      <c r="D7" s="87">
        <v>45893</v>
      </c>
      <c r="F7" s="86"/>
      <c r="H7" s="72"/>
      <c r="K7" s="40">
        <f t="shared" si="0"/>
        <v>5465</v>
      </c>
    </row>
    <row r="8" spans="1:11" ht="15" customHeight="1">
      <c r="A8" s="41" t="s">
        <v>40</v>
      </c>
      <c r="B8" s="13" t="s">
        <v>41</v>
      </c>
      <c r="C8" s="40">
        <v>5938.62</v>
      </c>
      <c r="D8" s="86">
        <v>45894</v>
      </c>
      <c r="E8" s="42"/>
      <c r="F8" s="86"/>
      <c r="H8" s="71"/>
      <c r="K8" s="40">
        <f t="shared" si="0"/>
        <v>5938.62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45876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45892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>
        <v>1057</v>
      </c>
      <c r="D11" s="87">
        <v>45884</v>
      </c>
      <c r="F11" s="86"/>
      <c r="H11" s="72"/>
      <c r="K11" s="46">
        <f t="shared" si="0"/>
        <v>1057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45880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261</v>
      </c>
      <c r="C13" s="46">
        <v>5108</v>
      </c>
      <c r="D13" s="86">
        <v>45877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45879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45889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6042</v>
      </c>
      <c r="D18" s="87">
        <v>45879</v>
      </c>
      <c r="E18" s="46"/>
      <c r="F18" s="86"/>
      <c r="H18" s="72"/>
      <c r="K18" s="46">
        <f t="shared" si="0"/>
        <v>6042</v>
      </c>
    </row>
    <row r="19" spans="1:11" ht="15" customHeight="1">
      <c r="A19" s="41" t="s">
        <v>69</v>
      </c>
      <c r="B19" s="13" t="s">
        <v>70</v>
      </c>
      <c r="C19" s="73">
        <v>6478</v>
      </c>
      <c r="D19" s="86">
        <v>45884</v>
      </c>
      <c r="F19" s="86"/>
      <c r="H19" s="71"/>
      <c r="K19" s="46">
        <f t="shared" si="0"/>
        <v>6478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45894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>
        <v>7082</v>
      </c>
      <c r="D21" s="86">
        <v>45883</v>
      </c>
      <c r="F21" s="86"/>
      <c r="H21" s="71"/>
      <c r="K21" s="46">
        <f t="shared" si="0"/>
        <v>7082</v>
      </c>
    </row>
    <row r="22" spans="1:11" ht="1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">
      <c r="A24" s="41" t="s">
        <v>79</v>
      </c>
      <c r="B24" s="13" t="s">
        <v>80</v>
      </c>
      <c r="C24" s="73"/>
      <c r="D24" s="86"/>
      <c r="F24" s="86"/>
      <c r="H24" s="71"/>
      <c r="K24" s="46">
        <f t="shared" si="0"/>
        <v>0</v>
      </c>
    </row>
    <row r="25" spans="1:11" ht="1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">
      <c r="A26" s="41" t="s">
        <v>83</v>
      </c>
      <c r="B26" s="13" t="s">
        <v>191</v>
      </c>
      <c r="C26" s="73">
        <v>5869</v>
      </c>
      <c r="D26" s="86">
        <v>45876</v>
      </c>
      <c r="F26" s="86"/>
      <c r="H26" s="71"/>
      <c r="K26" s="46">
        <f t="shared" si="0"/>
        <v>5869</v>
      </c>
    </row>
    <row r="27" spans="1:11" ht="16">
      <c r="A27" s="41" t="s">
        <v>85</v>
      </c>
      <c r="B27" s="13" t="s">
        <v>86</v>
      </c>
      <c r="C27" s="46">
        <v>6008</v>
      </c>
      <c r="D27" s="87">
        <v>45884</v>
      </c>
      <c r="F27" s="86"/>
      <c r="H27" s="72"/>
      <c r="K27" s="46">
        <f t="shared" si="0"/>
        <v>6008</v>
      </c>
    </row>
    <row r="28" spans="1:11" ht="16">
      <c r="A28" s="41" t="s">
        <v>87</v>
      </c>
      <c r="B28" s="13" t="s">
        <v>88</v>
      </c>
      <c r="C28" s="73">
        <v>5377</v>
      </c>
      <c r="D28" s="86">
        <v>45884</v>
      </c>
      <c r="F28" s="86"/>
      <c r="H28" s="71"/>
      <c r="K28" s="46">
        <f t="shared" si="0"/>
        <v>5377</v>
      </c>
    </row>
    <row r="29" spans="1:11" ht="16">
      <c r="A29" s="41" t="s">
        <v>89</v>
      </c>
      <c r="B29" s="13" t="s">
        <v>90</v>
      </c>
      <c r="C29" s="73">
        <v>6120</v>
      </c>
      <c r="D29" s="86">
        <v>45894</v>
      </c>
      <c r="F29" s="86"/>
      <c r="H29" s="71"/>
      <c r="K29" s="46">
        <f t="shared" si="0"/>
        <v>6120</v>
      </c>
    </row>
    <row r="30" spans="1:11" ht="1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42">
        <v>5790</v>
      </c>
      <c r="D31" s="86">
        <v>45891</v>
      </c>
      <c r="F31" s="86"/>
      <c r="H31" s="71"/>
      <c r="K31" s="40">
        <f t="shared" si="0"/>
        <v>5790</v>
      </c>
    </row>
    <row r="32" spans="1:11" ht="16">
      <c r="A32" s="41" t="s">
        <v>95</v>
      </c>
      <c r="B32" s="13" t="s">
        <v>96</v>
      </c>
      <c r="C32" s="73">
        <v>5226</v>
      </c>
      <c r="D32" s="86">
        <v>45877</v>
      </c>
      <c r="F32" s="86"/>
      <c r="H32" s="71"/>
      <c r="K32" s="46">
        <f t="shared" si="0"/>
        <v>5226</v>
      </c>
    </row>
    <row r="33" spans="1:11" ht="16">
      <c r="A33" s="41" t="s">
        <v>97</v>
      </c>
      <c r="B33" s="13" t="s">
        <v>98</v>
      </c>
      <c r="C33" s="42">
        <v>5297.38</v>
      </c>
      <c r="D33" s="86">
        <v>45878</v>
      </c>
      <c r="F33" s="86"/>
      <c r="H33" s="71"/>
      <c r="K33" s="40">
        <f t="shared" si="0"/>
        <v>5297.38</v>
      </c>
    </row>
    <row r="34" spans="1:11" ht="16">
      <c r="A34" s="41" t="s">
        <v>99</v>
      </c>
      <c r="B34" s="13" t="s">
        <v>100</v>
      </c>
      <c r="C34" s="73">
        <v>5177</v>
      </c>
      <c r="D34" s="86">
        <v>45878</v>
      </c>
      <c r="F34" s="86"/>
      <c r="H34" s="71"/>
      <c r="K34" s="46">
        <f t="shared" si="0"/>
        <v>5177</v>
      </c>
    </row>
    <row r="35" spans="1:11" ht="16">
      <c r="A35" s="41" t="s">
        <v>101</v>
      </c>
      <c r="B35" s="13" t="s">
        <v>102</v>
      </c>
      <c r="C35" s="46">
        <v>15859</v>
      </c>
      <c r="D35" s="87">
        <v>45885</v>
      </c>
      <c r="F35" s="86"/>
      <c r="H35" s="72"/>
      <c r="K35" s="46">
        <f t="shared" si="0"/>
        <v>15859</v>
      </c>
    </row>
    <row r="36" spans="1:11" ht="16">
      <c r="A36" s="41" t="s">
        <v>103</v>
      </c>
      <c r="B36" s="13" t="s">
        <v>104</v>
      </c>
      <c r="C36" s="40">
        <v>5457</v>
      </c>
      <c r="D36" s="87">
        <v>45884</v>
      </c>
      <c r="F36" s="86"/>
      <c r="H36" s="72"/>
      <c r="K36" s="40">
        <f t="shared" si="0"/>
        <v>5457</v>
      </c>
    </row>
    <row r="37" spans="1:11" ht="16">
      <c r="A37" s="41" t="s">
        <v>105</v>
      </c>
      <c r="B37" s="13" t="s">
        <v>106</v>
      </c>
      <c r="C37" s="73">
        <v>5290</v>
      </c>
      <c r="D37" s="86">
        <v>45891</v>
      </c>
      <c r="F37" s="86"/>
      <c r="H37" s="71"/>
      <c r="K37" s="46">
        <f t="shared" si="0"/>
        <v>5290</v>
      </c>
    </row>
    <row r="38" spans="1:11" ht="16">
      <c r="A38" s="41" t="s">
        <v>107</v>
      </c>
      <c r="B38" s="13" t="s">
        <v>108</v>
      </c>
      <c r="C38" s="42">
        <v>5000</v>
      </c>
      <c r="D38" s="86">
        <v>45870</v>
      </c>
      <c r="F38" s="86"/>
      <c r="H38" s="71"/>
      <c r="K38" s="40">
        <f t="shared" si="0"/>
        <v>5000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5168</v>
      </c>
      <c r="D40" s="86">
        <v>45894</v>
      </c>
      <c r="F40" s="86"/>
      <c r="H40" s="71"/>
      <c r="K40" s="46">
        <f t="shared" si="0"/>
        <v>5168</v>
      </c>
    </row>
    <row r="41" spans="1:11" ht="16">
      <c r="A41" s="41" t="s">
        <v>113</v>
      </c>
      <c r="B41" s="13" t="s">
        <v>114</v>
      </c>
      <c r="C41" s="73">
        <v>6830.03</v>
      </c>
      <c r="D41" s="86">
        <v>45895</v>
      </c>
      <c r="F41" s="86"/>
      <c r="H41" s="71"/>
      <c r="K41" s="46">
        <f t="shared" si="0"/>
        <v>6830.03</v>
      </c>
    </row>
    <row r="42" spans="1:11" ht="16">
      <c r="A42" s="41" t="s">
        <v>115</v>
      </c>
      <c r="B42" s="13" t="s">
        <v>116</v>
      </c>
      <c r="C42" s="73">
        <v>5500</v>
      </c>
      <c r="D42" s="86">
        <v>45884</v>
      </c>
      <c r="F42" s="86"/>
      <c r="H42" s="71"/>
      <c r="K42" s="46">
        <f t="shared" si="0"/>
        <v>5500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2">
        <v>5000</v>
      </c>
      <c r="D44" s="86">
        <v>45895</v>
      </c>
      <c r="F44" s="86"/>
      <c r="H44" s="71"/>
      <c r="K44" s="40">
        <f t="shared" si="0"/>
        <v>5000</v>
      </c>
    </row>
    <row r="45" spans="1:11" ht="16">
      <c r="A45" s="41" t="s">
        <v>121</v>
      </c>
      <c r="B45" s="13" t="s">
        <v>122</v>
      </c>
      <c r="C45" s="73">
        <v>5905</v>
      </c>
      <c r="D45" s="86">
        <v>45892</v>
      </c>
      <c r="F45" s="86"/>
      <c r="H45" s="71"/>
      <c r="K45" s="46">
        <f t="shared" si="0"/>
        <v>5905</v>
      </c>
    </row>
    <row r="46" spans="1:11" ht="1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">
      <c r="A47" s="41" t="s">
        <v>125</v>
      </c>
      <c r="B47" s="13" t="s">
        <v>126</v>
      </c>
      <c r="C47" s="40">
        <v>10000</v>
      </c>
      <c r="D47" s="87">
        <v>45878</v>
      </c>
      <c r="F47" s="86"/>
      <c r="H47" s="72"/>
      <c r="K47" s="40">
        <f t="shared" si="0"/>
        <v>10000</v>
      </c>
    </row>
    <row r="48" spans="1:11" ht="16">
      <c r="A48" s="41" t="s">
        <v>127</v>
      </c>
      <c r="B48" s="13" t="s">
        <v>128</v>
      </c>
      <c r="C48" s="73">
        <v>6502</v>
      </c>
      <c r="D48" s="86">
        <v>45897</v>
      </c>
      <c r="F48" s="86"/>
      <c r="H48" s="71"/>
      <c r="K48" s="46">
        <f t="shared" si="0"/>
        <v>6502</v>
      </c>
    </row>
    <row r="49" spans="1:11" ht="16">
      <c r="A49" s="41" t="s">
        <v>129</v>
      </c>
      <c r="B49" s="13" t="s">
        <v>130</v>
      </c>
      <c r="C49" s="40">
        <v>5525</v>
      </c>
      <c r="D49" s="87">
        <v>45884</v>
      </c>
      <c r="F49" s="86"/>
      <c r="H49" s="72"/>
      <c r="K49" s="40">
        <f t="shared" si="0"/>
        <v>5525</v>
      </c>
    </row>
    <row r="50" spans="1:11" ht="16">
      <c r="A50" s="41" t="s">
        <v>131</v>
      </c>
      <c r="B50" s="13" t="s">
        <v>132</v>
      </c>
      <c r="C50" s="42">
        <v>6420</v>
      </c>
      <c r="D50" s="86">
        <v>45889</v>
      </c>
      <c r="F50" s="86"/>
      <c r="H50" s="71"/>
      <c r="K50" s="40">
        <f t="shared" si="0"/>
        <v>6420</v>
      </c>
    </row>
    <row r="51" spans="1:11" ht="16">
      <c r="A51" s="41" t="s">
        <v>133</v>
      </c>
      <c r="B51" s="13" t="s">
        <v>134</v>
      </c>
      <c r="C51" s="46">
        <v>18827</v>
      </c>
      <c r="D51" s="87">
        <v>45885</v>
      </c>
      <c r="F51" s="86"/>
      <c r="H51" s="72"/>
      <c r="K51" s="46">
        <f t="shared" si="0"/>
        <v>18827</v>
      </c>
    </row>
    <row r="52" spans="1:11" ht="16">
      <c r="A52" s="41" t="s">
        <v>135</v>
      </c>
      <c r="B52" s="13" t="s">
        <v>136</v>
      </c>
      <c r="C52" s="73">
        <v>6114.88</v>
      </c>
      <c r="D52" s="86">
        <v>45879</v>
      </c>
      <c r="F52" s="86"/>
      <c r="H52" s="71"/>
      <c r="K52" s="46">
        <f t="shared" si="0"/>
        <v>6114.88</v>
      </c>
    </row>
    <row r="53" spans="1:11" ht="16">
      <c r="A53" s="41" t="s">
        <v>137</v>
      </c>
      <c r="B53" s="13" t="s">
        <v>138</v>
      </c>
      <c r="C53" s="73">
        <v>4926</v>
      </c>
      <c r="D53" s="86">
        <v>45872</v>
      </c>
      <c r="E53" s="40">
        <v>6261</v>
      </c>
      <c r="F53" s="86">
        <v>45899</v>
      </c>
      <c r="H53" s="71"/>
      <c r="K53" s="46">
        <f t="shared" si="0"/>
        <v>11187</v>
      </c>
    </row>
    <row r="54" spans="1:11" ht="16">
      <c r="A54" s="41" t="s">
        <v>139</v>
      </c>
      <c r="B54" s="13" t="s">
        <v>140</v>
      </c>
      <c r="C54" s="42">
        <v>4459</v>
      </c>
      <c r="D54" s="86">
        <v>45872</v>
      </c>
      <c r="F54" s="86"/>
      <c r="H54" s="71"/>
      <c r="K54" s="40">
        <f t="shared" si="0"/>
        <v>4459</v>
      </c>
    </row>
    <row r="55" spans="1:11" ht="16">
      <c r="A55" s="41" t="s">
        <v>141</v>
      </c>
      <c r="B55" s="13" t="s">
        <v>142</v>
      </c>
      <c r="C55" s="46">
        <v>5522</v>
      </c>
      <c r="D55" s="87">
        <v>45872</v>
      </c>
      <c r="E55" s="40">
        <v>6296</v>
      </c>
      <c r="F55" s="86">
        <v>45882</v>
      </c>
      <c r="H55" s="72"/>
      <c r="K55" s="46">
        <f t="shared" si="0"/>
        <v>11818</v>
      </c>
    </row>
    <row r="56" spans="1:11" ht="16">
      <c r="A56" s="41" t="s">
        <v>143</v>
      </c>
      <c r="B56" s="13" t="s">
        <v>144</v>
      </c>
      <c r="C56" s="42">
        <v>1794</v>
      </c>
      <c r="D56" s="86">
        <v>45879</v>
      </c>
      <c r="F56" s="86"/>
      <c r="H56" s="71"/>
      <c r="K56" s="40">
        <f t="shared" si="0"/>
        <v>1794</v>
      </c>
    </row>
    <row r="57" spans="1:11" ht="16">
      <c r="A57" s="41" t="s">
        <v>145</v>
      </c>
      <c r="B57" s="13" t="s">
        <v>146</v>
      </c>
      <c r="C57" s="46">
        <v>5200</v>
      </c>
      <c r="D57" s="87">
        <v>45896</v>
      </c>
      <c r="F57" s="86"/>
      <c r="H57" s="72"/>
      <c r="K57" s="46">
        <f t="shared" si="0"/>
        <v>5200</v>
      </c>
    </row>
    <row r="58" spans="1:11" ht="16">
      <c r="A58" s="41" t="s">
        <v>147</v>
      </c>
      <c r="B58" s="13" t="s">
        <v>148</v>
      </c>
      <c r="C58" s="40">
        <v>5840</v>
      </c>
      <c r="D58" s="87">
        <v>45876</v>
      </c>
      <c r="F58" s="86"/>
      <c r="H58" s="72"/>
      <c r="K58" s="40">
        <f t="shared" si="0"/>
        <v>5840</v>
      </c>
    </row>
    <row r="59" spans="1:11" ht="16">
      <c r="A59" s="41" t="s">
        <v>149</v>
      </c>
      <c r="B59" s="13" t="s">
        <v>36</v>
      </c>
      <c r="C59" s="73">
        <v>5886</v>
      </c>
      <c r="D59" s="86">
        <v>45894</v>
      </c>
      <c r="F59" s="86"/>
      <c r="H59" s="71"/>
      <c r="K59" s="46">
        <f t="shared" si="0"/>
        <v>5886</v>
      </c>
    </row>
    <row r="60" spans="1:11" ht="16">
      <c r="A60" s="41" t="s">
        <v>150</v>
      </c>
      <c r="B60" s="13" t="s">
        <v>151</v>
      </c>
      <c r="C60" s="73">
        <v>5351</v>
      </c>
      <c r="D60" s="86">
        <v>45876</v>
      </c>
      <c r="F60" s="86"/>
      <c r="H60" s="71"/>
      <c r="K60" s="46">
        <f t="shared" si="0"/>
        <v>5351</v>
      </c>
    </row>
    <row r="61" spans="1:11" ht="16">
      <c r="A61" s="41" t="s">
        <v>152</v>
      </c>
      <c r="B61" s="13" t="s">
        <v>153</v>
      </c>
      <c r="C61" s="46">
        <v>5218.7</v>
      </c>
      <c r="D61" s="86">
        <v>45889</v>
      </c>
      <c r="F61" s="86"/>
      <c r="H61" s="71"/>
      <c r="K61" s="46">
        <f t="shared" si="0"/>
        <v>5218.7</v>
      </c>
    </row>
    <row r="62" spans="1:11" ht="16">
      <c r="A62" s="41" t="s">
        <v>154</v>
      </c>
      <c r="B62" s="13" t="s">
        <v>155</v>
      </c>
      <c r="D62" s="49"/>
      <c r="F62" s="86"/>
      <c r="H62" s="71"/>
      <c r="K62" s="40">
        <f t="shared" si="0"/>
        <v>0</v>
      </c>
    </row>
    <row r="63" spans="1:11" ht="16">
      <c r="A63" s="41" t="s">
        <v>156</v>
      </c>
      <c r="B63" s="13" t="s">
        <v>157</v>
      </c>
      <c r="C63" s="46">
        <v>5514</v>
      </c>
      <c r="D63" s="87">
        <v>45897</v>
      </c>
      <c r="F63" s="86"/>
      <c r="H63" s="72"/>
      <c r="K63" s="46">
        <f t="shared" si="0"/>
        <v>5514</v>
      </c>
    </row>
    <row r="64" spans="1:11" ht="16">
      <c r="A64" s="41" t="s">
        <v>158</v>
      </c>
      <c r="B64" s="13" t="s">
        <v>159</v>
      </c>
      <c r="C64" s="73">
        <v>6161</v>
      </c>
      <c r="D64" s="86">
        <v>45894</v>
      </c>
      <c r="F64" s="86"/>
      <c r="H64" s="71"/>
      <c r="K64" s="46">
        <f t="shared" si="0"/>
        <v>6161</v>
      </c>
    </row>
    <row r="65" spans="1:27" ht="16">
      <c r="A65" s="41" t="s">
        <v>160</v>
      </c>
      <c r="B65" s="13" t="s">
        <v>161</v>
      </c>
      <c r="C65" s="42">
        <v>5875</v>
      </c>
      <c r="D65" s="86">
        <v>45892</v>
      </c>
      <c r="F65" s="86"/>
      <c r="H65" s="71"/>
      <c r="K65" s="40">
        <f t="shared" si="0"/>
        <v>5875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326216.61000000004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43.1640625" customWidth="1"/>
    <col min="3" max="10" width="17.5" customWidth="1"/>
    <col min="11" max="11" width="12.83203125" customWidth="1"/>
    <col min="12" max="12" width="15" customWidth="1"/>
    <col min="13" max="13" width="14.83203125" customWidth="1"/>
    <col min="14" max="14" width="14.5" customWidth="1"/>
    <col min="15" max="15" width="13.6640625" customWidth="1"/>
    <col min="16" max="18" width="14.33203125" customWidth="1"/>
    <col min="19" max="19" width="53.5" customWidth="1"/>
    <col min="20" max="20" width="15.1640625" customWidth="1"/>
  </cols>
  <sheetData>
    <row r="1" spans="1:20" ht="16.5" customHeight="1">
      <c r="A1" s="104"/>
      <c r="B1" s="249" t="s">
        <v>262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263</v>
      </c>
      <c r="J2" s="105" t="s">
        <v>258</v>
      </c>
      <c r="K2" s="105" t="s">
        <v>173</v>
      </c>
      <c r="L2" s="105" t="s">
        <v>174</v>
      </c>
      <c r="M2" s="105" t="s">
        <v>175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'ANNUAL-EXPENSE-DETAILS'!BF8</f>
        <v>280426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'ANNUAL-EXPENSE-DETAILS'!BE8</f>
        <v>30200</v>
      </c>
    </row>
    <row r="6" spans="1:20" ht="12.75" customHeight="1">
      <c r="A6" s="104" t="s">
        <v>24</v>
      </c>
      <c r="B6" s="13" t="s">
        <v>25</v>
      </c>
      <c r="C6" s="9">
        <v>2529.5</v>
      </c>
      <c r="D6" s="104">
        <f t="shared" ref="D6:D69" si="0">SUM($C$3:$C$5)/64</f>
        <v>0</v>
      </c>
      <c r="E6" s="104">
        <f t="shared" ref="E6:E69" si="1">C6+D6</f>
        <v>2529.5</v>
      </c>
      <c r="F6" s="104">
        <f t="shared" ref="F6:F70" si="2">IF($C$70=0, 0, E6/$C$70)</f>
        <v>6.6001562954584297E-3</v>
      </c>
      <c r="G6" s="104">
        <f t="shared" ref="G6:G69" si="3">F6*$T$5</f>
        <v>199.32472012284458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558.28211863846957</v>
      </c>
      <c r="K6" s="104">
        <f t="shared" ref="K6:K69" si="6">$T$11/64</f>
        <v>4381.65625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4939.9383686384699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13404.5</v>
      </c>
      <c r="D7" s="104">
        <f t="shared" si="0"/>
        <v>0</v>
      </c>
      <c r="E7" s="104">
        <f t="shared" si="1"/>
        <v>13404.5</v>
      </c>
      <c r="F7" s="104">
        <f t="shared" si="2"/>
        <v>3.4976001210702719E-2</v>
      </c>
      <c r="G7" s="104">
        <f t="shared" si="3"/>
        <v>1056.2752365632221</v>
      </c>
      <c r="H7" s="104">
        <v>4</v>
      </c>
      <c r="I7" s="104">
        <f t="shared" si="4"/>
        <v>471.24663600000002</v>
      </c>
      <c r="J7" s="104">
        <f t="shared" si="5"/>
        <v>1533.0442940788471</v>
      </c>
      <c r="K7" s="104">
        <f t="shared" si="6"/>
        <v>4381.65625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5914.7005440788471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12579.5</v>
      </c>
      <c r="D8" s="104">
        <f t="shared" si="0"/>
        <v>0</v>
      </c>
      <c r="E8" s="104">
        <f t="shared" si="1"/>
        <v>12579.5</v>
      </c>
      <c r="F8" s="104">
        <f t="shared" si="2"/>
        <v>3.2823350906787632E-2</v>
      </c>
      <c r="G8" s="104">
        <f t="shared" si="3"/>
        <v>991.26519738498655</v>
      </c>
      <c r="H8" s="104">
        <v>4</v>
      </c>
      <c r="I8" s="104">
        <f t="shared" si="4"/>
        <v>471.24663600000002</v>
      </c>
      <c r="J8" s="104">
        <f t="shared" si="5"/>
        <v>1468.0342549006116</v>
      </c>
      <c r="K8" s="104">
        <f t="shared" si="6"/>
        <v>4381.65625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6599.6905049006118</v>
      </c>
      <c r="S8" s="107" t="s">
        <v>264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3669.5</v>
      </c>
      <c r="D9" s="104">
        <f t="shared" si="0"/>
        <v>0</v>
      </c>
      <c r="E9" s="104">
        <f t="shared" si="1"/>
        <v>3669.5</v>
      </c>
      <c r="F9" s="104">
        <f t="shared" si="2"/>
        <v>9.5747276245047273E-3</v>
      </c>
      <c r="G9" s="104">
        <f t="shared" si="3"/>
        <v>289.15677426004277</v>
      </c>
      <c r="H9" s="104">
        <v>4</v>
      </c>
      <c r="I9" s="104">
        <f t="shared" si="4"/>
        <v>471.24663600000002</v>
      </c>
      <c r="J9" s="104">
        <f t="shared" si="5"/>
        <v>765.9258317756678</v>
      </c>
      <c r="K9" s="104">
        <f t="shared" si="6"/>
        <v>4381.65625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5147.5820817756676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5956.5</v>
      </c>
      <c r="D10" s="104">
        <f t="shared" si="0"/>
        <v>0</v>
      </c>
      <c r="E10" s="104">
        <f t="shared" si="1"/>
        <v>5956.5</v>
      </c>
      <c r="F10" s="104">
        <f t="shared" si="2"/>
        <v>1.5542135194266905E-2</v>
      </c>
      <c r="G10" s="104">
        <f t="shared" si="3"/>
        <v>469.37248286686054</v>
      </c>
      <c r="H10" s="104">
        <v>3</v>
      </c>
      <c r="I10" s="104">
        <f t="shared" si="4"/>
        <v>353.434977</v>
      </c>
      <c r="J10" s="104">
        <f t="shared" si="5"/>
        <v>828.32988138248561</v>
      </c>
      <c r="K10" s="104">
        <f t="shared" si="6"/>
        <v>4381.65625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5209.9861313824858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5003</v>
      </c>
      <c r="D11" s="104">
        <f t="shared" si="0"/>
        <v>0</v>
      </c>
      <c r="E11" s="104">
        <f t="shared" si="1"/>
        <v>5003</v>
      </c>
      <c r="F11" s="104">
        <f t="shared" si="2"/>
        <v>1.3054193297560199E-2</v>
      </c>
      <c r="G11" s="104">
        <f t="shared" si="3"/>
        <v>394.23663758631801</v>
      </c>
      <c r="H11" s="104">
        <v>3</v>
      </c>
      <c r="I11" s="104">
        <f t="shared" si="4"/>
        <v>353.434977</v>
      </c>
      <c r="J11" s="104">
        <f t="shared" si="5"/>
        <v>753.19403610194308</v>
      </c>
      <c r="K11" s="104">
        <f t="shared" si="6"/>
        <v>4381.65625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5134.8502861019433</v>
      </c>
      <c r="S11" s="113" t="s">
        <v>21</v>
      </c>
      <c r="T11" s="114">
        <f>'ANNUAL-EXPENSE-DETAILS'!BF8</f>
        <v>280426</v>
      </c>
    </row>
    <row r="12" spans="1:20" ht="12.75" customHeight="1">
      <c r="A12" s="104" t="s">
        <v>40</v>
      </c>
      <c r="B12" s="13" t="s">
        <v>41</v>
      </c>
      <c r="C12" s="9">
        <v>180.5</v>
      </c>
      <c r="D12" s="104">
        <f t="shared" si="0"/>
        <v>0</v>
      </c>
      <c r="E12" s="104">
        <f t="shared" si="1"/>
        <v>180.5</v>
      </c>
      <c r="F12" s="104">
        <f t="shared" si="2"/>
        <v>4.7097379376566379E-4</v>
      </c>
      <c r="G12" s="104">
        <f t="shared" si="3"/>
        <v>14.223408571723047</v>
      </c>
      <c r="H12" s="104">
        <v>3</v>
      </c>
      <c r="I12" s="104">
        <f t="shared" si="4"/>
        <v>353.434977</v>
      </c>
      <c r="J12" s="104">
        <f t="shared" si="5"/>
        <v>373.18080708734806</v>
      </c>
      <c r="K12" s="104">
        <f t="shared" si="6"/>
        <v>4381.65625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5504.8370570873485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361.5</v>
      </c>
      <c r="D13" s="104">
        <f t="shared" si="0"/>
        <v>0</v>
      </c>
      <c r="E13" s="104">
        <f t="shared" si="1"/>
        <v>361.5</v>
      </c>
      <c r="F13" s="104">
        <f t="shared" si="2"/>
        <v>9.4325222407915486E-4</v>
      </c>
      <c r="G13" s="104">
        <f t="shared" si="3"/>
        <v>28.486217167190478</v>
      </c>
      <c r="H13" s="104">
        <v>3</v>
      </c>
      <c r="I13" s="104">
        <f t="shared" si="4"/>
        <v>353.434977</v>
      </c>
      <c r="J13" s="104">
        <f t="shared" si="5"/>
        <v>387.4436156828155</v>
      </c>
      <c r="K13" s="104">
        <f t="shared" si="6"/>
        <v>4381.65625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4769.0998656828151</v>
      </c>
      <c r="S13" s="115"/>
      <c r="T13" s="116"/>
    </row>
    <row r="14" spans="1:20" ht="12.75" customHeight="1">
      <c r="A14" s="104" t="s">
        <v>46</v>
      </c>
      <c r="B14" s="13" t="s">
        <v>47</v>
      </c>
      <c r="C14" s="9">
        <v>2191</v>
      </c>
      <c r="D14" s="104">
        <f t="shared" si="0"/>
        <v>0</v>
      </c>
      <c r="E14" s="104">
        <f t="shared" si="1"/>
        <v>2191</v>
      </c>
      <c r="F14" s="104">
        <f t="shared" si="2"/>
        <v>5.7169173525793314E-3</v>
      </c>
      <c r="G14" s="104">
        <f t="shared" si="3"/>
        <v>172.65090404789581</v>
      </c>
      <c r="H14" s="104">
        <v>4</v>
      </c>
      <c r="I14" s="104">
        <f t="shared" si="4"/>
        <v>471.24663600000002</v>
      </c>
      <c r="J14" s="104">
        <f t="shared" si="5"/>
        <v>649.41996156352081</v>
      </c>
      <c r="K14" s="104">
        <f t="shared" si="6"/>
        <v>4381.65625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5031.0762115635207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3976.5</v>
      </c>
      <c r="D15" s="104">
        <f t="shared" si="0"/>
        <v>0</v>
      </c>
      <c r="E15" s="104">
        <f t="shared" si="1"/>
        <v>3976.5</v>
      </c>
      <c r="F15" s="104">
        <f t="shared" si="2"/>
        <v>1.0375774464870703E-2</v>
      </c>
      <c r="G15" s="104">
        <f t="shared" si="3"/>
        <v>313.34838883909526</v>
      </c>
      <c r="H15" s="104">
        <v>3</v>
      </c>
      <c r="I15" s="104">
        <f t="shared" si="4"/>
        <v>353.434977</v>
      </c>
      <c r="J15" s="104">
        <f t="shared" si="5"/>
        <v>672.30578735472022</v>
      </c>
      <c r="K15" s="104">
        <f t="shared" si="6"/>
        <v>4381.65625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5053.9620373547205</v>
      </c>
      <c r="S15" s="61" t="s">
        <v>265</v>
      </c>
      <c r="T15" s="63"/>
    </row>
    <row r="16" spans="1:20" ht="12.75" customHeight="1">
      <c r="A16" s="104" t="s">
        <v>52</v>
      </c>
      <c r="B16" s="13" t="s">
        <v>53</v>
      </c>
      <c r="C16" s="9">
        <v>700</v>
      </c>
      <c r="D16" s="104">
        <f t="shared" si="0"/>
        <v>0</v>
      </c>
      <c r="E16" s="104">
        <f t="shared" si="1"/>
        <v>700</v>
      </c>
      <c r="F16" s="104">
        <f t="shared" si="2"/>
        <v>1.826491166958253E-3</v>
      </c>
      <c r="G16" s="104">
        <f t="shared" si="3"/>
        <v>55.160033242139242</v>
      </c>
      <c r="H16" s="104">
        <v>3</v>
      </c>
      <c r="I16" s="104">
        <f t="shared" si="4"/>
        <v>353.434977</v>
      </c>
      <c r="J16" s="104">
        <f t="shared" si="5"/>
        <v>414.11743175776422</v>
      </c>
      <c r="K16" s="104">
        <f t="shared" si="6"/>
        <v>4381.65625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4795.7736817577643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0"/>
        <v>0</v>
      </c>
      <c r="E17" s="104">
        <f t="shared" si="1"/>
        <v>0.5</v>
      </c>
      <c r="F17" s="104">
        <f t="shared" si="2"/>
        <v>1.3046365478273234E-6</v>
      </c>
      <c r="G17" s="104">
        <f t="shared" si="3"/>
        <v>3.9400023744385171E-2</v>
      </c>
      <c r="H17" s="104">
        <v>3</v>
      </c>
      <c r="I17" s="104">
        <f t="shared" si="4"/>
        <v>353.434977</v>
      </c>
      <c r="J17" s="104">
        <f t="shared" si="5"/>
        <v>358.99679853936937</v>
      </c>
      <c r="K17" s="104">
        <f t="shared" si="6"/>
        <v>4381.65625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4740.6530485393696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4662</v>
      </c>
      <c r="D18" s="104">
        <f t="shared" si="0"/>
        <v>0</v>
      </c>
      <c r="E18" s="104">
        <f t="shared" si="1"/>
        <v>4662</v>
      </c>
      <c r="F18" s="104">
        <f t="shared" si="2"/>
        <v>1.2164431171941964E-2</v>
      </c>
      <c r="G18" s="104">
        <f t="shared" si="3"/>
        <v>367.36582139264732</v>
      </c>
      <c r="H18" s="104">
        <v>4</v>
      </c>
      <c r="I18" s="104">
        <f t="shared" si="4"/>
        <v>471.24663600000002</v>
      </c>
      <c r="J18" s="104">
        <f t="shared" si="5"/>
        <v>844.13487890827241</v>
      </c>
      <c r="K18" s="104">
        <f t="shared" si="6"/>
        <v>4381.65625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5225.7911289082722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1477.5</v>
      </c>
      <c r="D19" s="104">
        <f t="shared" si="0"/>
        <v>0</v>
      </c>
      <c r="E19" s="104">
        <f t="shared" si="1"/>
        <v>1477.5</v>
      </c>
      <c r="F19" s="104">
        <f t="shared" si="2"/>
        <v>3.8552009988297412E-3</v>
      </c>
      <c r="G19" s="104">
        <f t="shared" si="3"/>
        <v>116.42707016465819</v>
      </c>
      <c r="H19" s="104">
        <v>4</v>
      </c>
      <c r="I19" s="104">
        <f t="shared" si="4"/>
        <v>471.24663600000002</v>
      </c>
      <c r="J19" s="104">
        <f t="shared" si="5"/>
        <v>593.19612768028321</v>
      </c>
      <c r="K19" s="104">
        <f t="shared" si="6"/>
        <v>4381.65625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4974.8523776802831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3834.5</v>
      </c>
      <c r="D20" s="104">
        <f t="shared" si="0"/>
        <v>0</v>
      </c>
      <c r="E20" s="104">
        <f t="shared" si="1"/>
        <v>3834.5</v>
      </c>
      <c r="F20" s="104">
        <f t="shared" si="2"/>
        <v>1.0005257685287743E-2</v>
      </c>
      <c r="G20" s="104">
        <f t="shared" si="3"/>
        <v>302.15878209568984</v>
      </c>
      <c r="H20" s="104">
        <v>4</v>
      </c>
      <c r="I20" s="104">
        <f t="shared" si="4"/>
        <v>471.24663600000002</v>
      </c>
      <c r="J20" s="104">
        <f t="shared" si="5"/>
        <v>778.92783961131488</v>
      </c>
      <c r="K20" s="104">
        <f t="shared" si="6"/>
        <v>4381.65625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5910.584089611315</v>
      </c>
      <c r="S20" s="66" t="s">
        <v>57</v>
      </c>
      <c r="T20" s="67">
        <f>'ANNUAL-EXPENSE-DETAILS'!BH8</f>
        <v>336898</v>
      </c>
    </row>
    <row r="21" spans="1:20" ht="12.75" customHeight="1">
      <c r="A21" s="104" t="s">
        <v>65</v>
      </c>
      <c r="B21" s="13" t="s">
        <v>66</v>
      </c>
      <c r="C21" s="9">
        <v>15025</v>
      </c>
      <c r="D21" s="104">
        <f t="shared" si="0"/>
        <v>0</v>
      </c>
      <c r="E21" s="104">
        <f t="shared" si="1"/>
        <v>15025</v>
      </c>
      <c r="F21" s="104">
        <f t="shared" si="2"/>
        <v>3.9204328262211069E-2</v>
      </c>
      <c r="G21" s="104">
        <f t="shared" si="3"/>
        <v>1183.9707135187743</v>
      </c>
      <c r="H21" s="104">
        <v>3</v>
      </c>
      <c r="I21" s="104">
        <f t="shared" si="4"/>
        <v>353.434977</v>
      </c>
      <c r="J21" s="104">
        <f t="shared" si="5"/>
        <v>1542.9281120343994</v>
      </c>
      <c r="K21" s="104">
        <f t="shared" si="6"/>
        <v>4381.65625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5924.5843620343994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10949.5</v>
      </c>
      <c r="D22" s="104">
        <f t="shared" si="0"/>
        <v>0</v>
      </c>
      <c r="E22" s="104">
        <f t="shared" si="1"/>
        <v>10949.5</v>
      </c>
      <c r="F22" s="104">
        <f t="shared" si="2"/>
        <v>2.8570235760870557E-2</v>
      </c>
      <c r="G22" s="104">
        <f t="shared" si="3"/>
        <v>862.82111997829077</v>
      </c>
      <c r="H22" s="104">
        <v>3</v>
      </c>
      <c r="I22" s="104">
        <f t="shared" si="4"/>
        <v>353.434977</v>
      </c>
      <c r="J22" s="104">
        <f t="shared" si="5"/>
        <v>1221.7785184939157</v>
      </c>
      <c r="K22" s="104">
        <f t="shared" si="6"/>
        <v>4381.65625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5603.4347684939157</v>
      </c>
      <c r="S22" s="107"/>
      <c r="T22" s="107"/>
    </row>
    <row r="23" spans="1:20" ht="12.75" customHeight="1">
      <c r="A23" s="104" t="s">
        <v>69</v>
      </c>
      <c r="B23" s="13" t="s">
        <v>70</v>
      </c>
      <c r="C23" s="9">
        <v>10594</v>
      </c>
      <c r="D23" s="104">
        <f t="shared" si="0"/>
        <v>0</v>
      </c>
      <c r="E23" s="104">
        <f t="shared" si="1"/>
        <v>10594</v>
      </c>
      <c r="F23" s="104">
        <f t="shared" si="2"/>
        <v>2.764263917536533E-2</v>
      </c>
      <c r="G23" s="104">
        <f t="shared" si="3"/>
        <v>834.80770309603292</v>
      </c>
      <c r="H23" s="104">
        <v>4</v>
      </c>
      <c r="I23" s="104">
        <f t="shared" si="4"/>
        <v>471.24663600000002</v>
      </c>
      <c r="J23" s="104">
        <f t="shared" si="5"/>
        <v>1311.5767606116578</v>
      </c>
      <c r="K23" s="104">
        <f t="shared" si="6"/>
        <v>4381.65625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5693.2330106116578</v>
      </c>
      <c r="S23" s="107"/>
      <c r="T23" s="107"/>
    </row>
    <row r="24" spans="1:20" ht="12.75" customHeight="1">
      <c r="A24" s="104" t="s">
        <v>71</v>
      </c>
      <c r="B24" s="13" t="s">
        <v>72</v>
      </c>
      <c r="C24" s="9">
        <v>11201</v>
      </c>
      <c r="D24" s="104">
        <f t="shared" si="0"/>
        <v>0</v>
      </c>
      <c r="E24" s="104">
        <f t="shared" si="1"/>
        <v>11201</v>
      </c>
      <c r="F24" s="104">
        <f t="shared" si="2"/>
        <v>2.9226467944427702E-2</v>
      </c>
      <c r="G24" s="104">
        <f t="shared" si="3"/>
        <v>882.63933192171658</v>
      </c>
      <c r="H24" s="104">
        <v>4</v>
      </c>
      <c r="I24" s="104">
        <f t="shared" si="4"/>
        <v>471.24663600000002</v>
      </c>
      <c r="J24" s="104">
        <f t="shared" si="5"/>
        <v>1359.4083894373416</v>
      </c>
      <c r="K24" s="104">
        <f t="shared" si="6"/>
        <v>4381.65625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5741.0646394373416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18127</v>
      </c>
      <c r="D25" s="104">
        <f t="shared" si="0"/>
        <v>0</v>
      </c>
      <c r="E25" s="104">
        <f t="shared" si="1"/>
        <v>18127</v>
      </c>
      <c r="F25" s="104">
        <f t="shared" si="2"/>
        <v>4.7298293404931788E-2</v>
      </c>
      <c r="G25" s="104">
        <f t="shared" si="3"/>
        <v>1428.40846082894</v>
      </c>
      <c r="H25" s="104">
        <v>4</v>
      </c>
      <c r="I25" s="104">
        <f t="shared" si="4"/>
        <v>471.24663600000002</v>
      </c>
      <c r="J25" s="104">
        <f t="shared" si="5"/>
        <v>1905.177518344565</v>
      </c>
      <c r="K25" s="104">
        <f t="shared" si="6"/>
        <v>4381.65625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6286.8337683445652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4288.5</v>
      </c>
      <c r="D26" s="104">
        <f t="shared" si="0"/>
        <v>0</v>
      </c>
      <c r="E26" s="104">
        <f t="shared" si="1"/>
        <v>4288.5</v>
      </c>
      <c r="F26" s="104">
        <f t="shared" si="2"/>
        <v>1.1189867670714953E-2</v>
      </c>
      <c r="G26" s="104">
        <f t="shared" si="3"/>
        <v>337.9340036555916</v>
      </c>
      <c r="H26" s="104">
        <v>3</v>
      </c>
      <c r="I26" s="104">
        <f t="shared" si="4"/>
        <v>353.434977</v>
      </c>
      <c r="J26" s="104">
        <f t="shared" si="5"/>
        <v>696.89140217121667</v>
      </c>
      <c r="K26" s="104">
        <f t="shared" si="6"/>
        <v>4381.65625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5078.5476521712171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5998</v>
      </c>
      <c r="D27" s="104">
        <f t="shared" si="0"/>
        <v>0</v>
      </c>
      <c r="E27" s="104">
        <f t="shared" si="1"/>
        <v>5998</v>
      </c>
      <c r="F27" s="104">
        <f t="shared" si="2"/>
        <v>1.5650420027736572E-2</v>
      </c>
      <c r="G27" s="104">
        <f t="shared" si="3"/>
        <v>472.64268483764448</v>
      </c>
      <c r="H27" s="104">
        <v>3</v>
      </c>
      <c r="I27" s="104">
        <f t="shared" si="4"/>
        <v>353.434977</v>
      </c>
      <c r="J27" s="104">
        <f t="shared" si="5"/>
        <v>831.6000833532695</v>
      </c>
      <c r="K27" s="104">
        <f t="shared" si="6"/>
        <v>4381.65625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5213.2563333532698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6639.5</v>
      </c>
      <c r="D28" s="104">
        <f t="shared" si="0"/>
        <v>0</v>
      </c>
      <c r="E28" s="104">
        <f t="shared" si="1"/>
        <v>6639.5</v>
      </c>
      <c r="F28" s="104">
        <f t="shared" si="2"/>
        <v>1.7324268718599028E-2</v>
      </c>
      <c r="G28" s="104">
        <f t="shared" si="3"/>
        <v>523.19291530169062</v>
      </c>
      <c r="H28" s="104">
        <v>3</v>
      </c>
      <c r="I28" s="104">
        <f t="shared" si="4"/>
        <v>353.434977</v>
      </c>
      <c r="J28" s="104">
        <f t="shared" si="5"/>
        <v>882.15031381731558</v>
      </c>
      <c r="K28" s="104">
        <f t="shared" si="6"/>
        <v>4381.65625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5263.8065638173157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11752</v>
      </c>
      <c r="D29" s="104">
        <f t="shared" si="0"/>
        <v>0</v>
      </c>
      <c r="E29" s="104">
        <f t="shared" si="1"/>
        <v>11752</v>
      </c>
      <c r="F29" s="104">
        <f t="shared" si="2"/>
        <v>3.0664177420133411E-2</v>
      </c>
      <c r="G29" s="104">
        <f t="shared" si="3"/>
        <v>926.05815808802902</v>
      </c>
      <c r="H29" s="104">
        <v>3</v>
      </c>
      <c r="I29" s="104">
        <f t="shared" si="4"/>
        <v>353.434977</v>
      </c>
      <c r="J29" s="104">
        <f t="shared" si="5"/>
        <v>1285.015556603654</v>
      </c>
      <c r="K29" s="104">
        <f t="shared" si="6"/>
        <v>4381.65625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5666.6718066036537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5146.5</v>
      </c>
      <c r="D30" s="104">
        <f t="shared" si="0"/>
        <v>0</v>
      </c>
      <c r="E30" s="104">
        <f t="shared" si="1"/>
        <v>5146.5</v>
      </c>
      <c r="F30" s="104">
        <f t="shared" si="2"/>
        <v>1.3428623986786641E-2</v>
      </c>
      <c r="G30" s="104">
        <f t="shared" si="3"/>
        <v>405.54444440095654</v>
      </c>
      <c r="H30" s="104">
        <v>5</v>
      </c>
      <c r="I30" s="104">
        <f t="shared" si="4"/>
        <v>589.05829500000004</v>
      </c>
      <c r="J30" s="104">
        <f t="shared" si="5"/>
        <v>1000.1251609165815</v>
      </c>
      <c r="K30" s="104">
        <f t="shared" si="6"/>
        <v>4381.65625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5381.7814109165811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6444</v>
      </c>
      <c r="D31" s="104">
        <f t="shared" si="0"/>
        <v>0</v>
      </c>
      <c r="E31" s="104">
        <f t="shared" si="1"/>
        <v>6444</v>
      </c>
      <c r="F31" s="104">
        <f t="shared" si="2"/>
        <v>1.6814155828398545E-2</v>
      </c>
      <c r="G31" s="104">
        <f t="shared" si="3"/>
        <v>507.78750601763608</v>
      </c>
      <c r="H31" s="104">
        <v>3</v>
      </c>
      <c r="I31" s="104">
        <f t="shared" si="4"/>
        <v>353.434977</v>
      </c>
      <c r="J31" s="104">
        <f t="shared" si="5"/>
        <v>866.74490453326109</v>
      </c>
      <c r="K31" s="104">
        <f t="shared" si="6"/>
        <v>4381.65625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5248.4011545332614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2462</v>
      </c>
      <c r="D32" s="104">
        <f t="shared" si="0"/>
        <v>0</v>
      </c>
      <c r="E32" s="104">
        <f t="shared" si="1"/>
        <v>2462</v>
      </c>
      <c r="F32" s="104">
        <f t="shared" si="2"/>
        <v>6.4240303615017407E-3</v>
      </c>
      <c r="G32" s="104">
        <f t="shared" si="3"/>
        <v>194.00571691735257</v>
      </c>
      <c r="H32" s="104">
        <v>3</v>
      </c>
      <c r="I32" s="104">
        <f t="shared" si="4"/>
        <v>353.434977</v>
      </c>
      <c r="J32" s="104">
        <f t="shared" si="5"/>
        <v>552.96311543297759</v>
      </c>
      <c r="K32" s="104">
        <f t="shared" si="6"/>
        <v>4381.65625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4934.6193654329772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3010.5</v>
      </c>
      <c r="D33" s="104">
        <f t="shared" si="0"/>
        <v>0</v>
      </c>
      <c r="E33" s="104">
        <f t="shared" si="1"/>
        <v>3010.5</v>
      </c>
      <c r="F33" s="104">
        <f t="shared" si="2"/>
        <v>7.8552166544683145E-3</v>
      </c>
      <c r="G33" s="104">
        <f t="shared" si="3"/>
        <v>237.2275429649431</v>
      </c>
      <c r="H33" s="104">
        <v>3</v>
      </c>
      <c r="I33" s="104">
        <f t="shared" si="4"/>
        <v>353.434977</v>
      </c>
      <c r="J33" s="104">
        <f t="shared" si="5"/>
        <v>596.18494148056811</v>
      </c>
      <c r="K33" s="104">
        <f t="shared" si="6"/>
        <v>4381.65625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4977.8411914805683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4170</v>
      </c>
      <c r="D34" s="104">
        <f t="shared" si="0"/>
        <v>0</v>
      </c>
      <c r="E34" s="104">
        <f t="shared" si="1"/>
        <v>4170</v>
      </c>
      <c r="F34" s="104">
        <f t="shared" si="2"/>
        <v>1.0880668808879878E-2</v>
      </c>
      <c r="G34" s="104">
        <f t="shared" si="3"/>
        <v>328.5961980281723</v>
      </c>
      <c r="H34" s="104">
        <v>4</v>
      </c>
      <c r="I34" s="104">
        <f t="shared" si="4"/>
        <v>471.24663600000002</v>
      </c>
      <c r="J34" s="104">
        <f t="shared" si="5"/>
        <v>805.36525554379728</v>
      </c>
      <c r="K34" s="104">
        <f t="shared" si="6"/>
        <v>4381.65625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5187.0215055437975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5649</v>
      </c>
      <c r="D35" s="104">
        <f t="shared" si="0"/>
        <v>0</v>
      </c>
      <c r="E35" s="104">
        <f t="shared" si="1"/>
        <v>5649</v>
      </c>
      <c r="F35" s="104">
        <f t="shared" si="2"/>
        <v>1.4739783717353102E-2</v>
      </c>
      <c r="G35" s="104">
        <f t="shared" si="3"/>
        <v>445.14146826406369</v>
      </c>
      <c r="H35" s="104">
        <v>4</v>
      </c>
      <c r="I35" s="104">
        <f t="shared" si="4"/>
        <v>471.24663600000002</v>
      </c>
      <c r="J35" s="104">
        <f t="shared" si="5"/>
        <v>921.91052577968867</v>
      </c>
      <c r="K35" s="104">
        <f t="shared" si="6"/>
        <v>4381.65625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5303.5667757796891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1939</v>
      </c>
      <c r="D36" s="104">
        <f t="shared" si="0"/>
        <v>0</v>
      </c>
      <c r="E36" s="104">
        <f t="shared" si="1"/>
        <v>1939</v>
      </c>
      <c r="F36" s="104">
        <f t="shared" si="2"/>
        <v>5.0593805324743602E-3</v>
      </c>
      <c r="G36" s="104">
        <f t="shared" si="3"/>
        <v>152.79329208072568</v>
      </c>
      <c r="H36" s="104">
        <v>4</v>
      </c>
      <c r="I36" s="104">
        <f t="shared" si="4"/>
        <v>471.24663600000002</v>
      </c>
      <c r="J36" s="104">
        <f t="shared" si="5"/>
        <v>629.56234959635071</v>
      </c>
      <c r="K36" s="104">
        <f t="shared" si="6"/>
        <v>4381.65625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5011.2185995963509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2584</v>
      </c>
      <c r="D37" s="104">
        <f t="shared" si="0"/>
        <v>0</v>
      </c>
      <c r="E37" s="104">
        <f t="shared" si="1"/>
        <v>2584</v>
      </c>
      <c r="F37" s="104">
        <f t="shared" si="2"/>
        <v>6.7423616791716084E-3</v>
      </c>
      <c r="G37" s="104">
        <f t="shared" si="3"/>
        <v>203.61932271098257</v>
      </c>
      <c r="H37" s="104">
        <v>3</v>
      </c>
      <c r="I37" s="104">
        <f t="shared" si="4"/>
        <v>353.434977</v>
      </c>
      <c r="J37" s="104">
        <f t="shared" si="5"/>
        <v>562.57672122660756</v>
      </c>
      <c r="K37" s="104">
        <f t="shared" si="6"/>
        <v>4381.65625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4944.2329712266073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1274.5</v>
      </c>
      <c r="D38" s="104">
        <f t="shared" si="0"/>
        <v>0</v>
      </c>
      <c r="E38" s="104">
        <f t="shared" si="1"/>
        <v>1274.5</v>
      </c>
      <c r="F38" s="104">
        <f t="shared" si="2"/>
        <v>3.3255185604118475E-3</v>
      </c>
      <c r="G38" s="104">
        <f t="shared" si="3"/>
        <v>100.4306605244378</v>
      </c>
      <c r="H38" s="104">
        <v>3</v>
      </c>
      <c r="I38" s="104">
        <f t="shared" si="4"/>
        <v>353.434977</v>
      </c>
      <c r="J38" s="104">
        <f t="shared" si="5"/>
        <v>459.38805904006279</v>
      </c>
      <c r="K38" s="104">
        <f t="shared" si="6"/>
        <v>4381.65625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4841.0443090400631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34364.5</v>
      </c>
      <c r="D39" s="104">
        <f t="shared" si="0"/>
        <v>0</v>
      </c>
      <c r="E39" s="104">
        <f t="shared" si="1"/>
        <v>34364.5</v>
      </c>
      <c r="F39" s="104">
        <f t="shared" si="2"/>
        <v>8.966636529562412E-2</v>
      </c>
      <c r="G39" s="104">
        <f t="shared" si="3"/>
        <v>2707.9242319278483</v>
      </c>
      <c r="H39" s="104">
        <v>4</v>
      </c>
      <c r="I39" s="104">
        <f t="shared" si="4"/>
        <v>471.24663600000002</v>
      </c>
      <c r="J39" s="104">
        <f t="shared" si="5"/>
        <v>3184.6932894434731</v>
      </c>
      <c r="K39" s="104">
        <f t="shared" si="6"/>
        <v>4381.65625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7566.3495394434731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1755</v>
      </c>
      <c r="D40" s="104">
        <f t="shared" si="0"/>
        <v>0</v>
      </c>
      <c r="E40" s="104">
        <f t="shared" si="1"/>
        <v>1755</v>
      </c>
      <c r="F40" s="104">
        <f t="shared" si="2"/>
        <v>4.5792742828739052E-3</v>
      </c>
      <c r="G40" s="104">
        <f t="shared" si="3"/>
        <v>138.29408334279194</v>
      </c>
      <c r="H40" s="104">
        <v>4</v>
      </c>
      <c r="I40" s="104">
        <f t="shared" si="4"/>
        <v>471.24663600000002</v>
      </c>
      <c r="J40" s="104">
        <f t="shared" si="5"/>
        <v>615.063140858417</v>
      </c>
      <c r="K40" s="104">
        <f t="shared" si="6"/>
        <v>4381.65625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4996.7193908584168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11378</v>
      </c>
      <c r="D41" s="104">
        <f t="shared" si="0"/>
        <v>0</v>
      </c>
      <c r="E41" s="104">
        <f t="shared" si="1"/>
        <v>11378</v>
      </c>
      <c r="F41" s="104">
        <f t="shared" si="2"/>
        <v>2.9688309282358574E-2</v>
      </c>
      <c r="G41" s="104">
        <f t="shared" si="3"/>
        <v>896.58694032722894</v>
      </c>
      <c r="H41" s="104">
        <v>3</v>
      </c>
      <c r="I41" s="104">
        <f t="shared" si="4"/>
        <v>353.434977</v>
      </c>
      <c r="J41" s="104">
        <f t="shared" si="5"/>
        <v>1255.5443388428539</v>
      </c>
      <c r="K41" s="104">
        <f t="shared" si="6"/>
        <v>4381.65625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5637.2005888428539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2467.5</v>
      </c>
      <c r="D42" s="104">
        <f t="shared" si="0"/>
        <v>0</v>
      </c>
      <c r="E42" s="104">
        <f t="shared" si="1"/>
        <v>2467.5</v>
      </c>
      <c r="F42" s="104">
        <f t="shared" si="2"/>
        <v>6.4383813635278415E-3</v>
      </c>
      <c r="G42" s="104">
        <f t="shared" si="3"/>
        <v>194.43911717854081</v>
      </c>
      <c r="H42" s="104">
        <v>3</v>
      </c>
      <c r="I42" s="104">
        <f t="shared" si="4"/>
        <v>353.434977</v>
      </c>
      <c r="J42" s="104">
        <f t="shared" si="5"/>
        <v>553.39651569416583</v>
      </c>
      <c r="K42" s="104">
        <f t="shared" si="6"/>
        <v>4381.65625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4935.0527656941658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222.5</v>
      </c>
      <c r="D43" s="104">
        <f t="shared" si="0"/>
        <v>0</v>
      </c>
      <c r="E43" s="104">
        <f t="shared" si="1"/>
        <v>222.5</v>
      </c>
      <c r="F43" s="104">
        <f t="shared" si="2"/>
        <v>5.8056326378315892E-4</v>
      </c>
      <c r="G43" s="104">
        <f t="shared" si="3"/>
        <v>17.533010566251399</v>
      </c>
      <c r="H43" s="104">
        <v>3</v>
      </c>
      <c r="I43" s="104">
        <f t="shared" si="4"/>
        <v>353.434977</v>
      </c>
      <c r="J43" s="104">
        <f t="shared" si="5"/>
        <v>376.49040908187641</v>
      </c>
      <c r="K43" s="104">
        <f t="shared" si="6"/>
        <v>4381.65625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4758.1466590818764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</v>
      </c>
      <c r="E44" s="104">
        <f t="shared" si="1"/>
        <v>0</v>
      </c>
      <c r="F44" s="104">
        <f t="shared" si="2"/>
        <v>0</v>
      </c>
      <c r="G44" s="104">
        <f t="shared" si="3"/>
        <v>0</v>
      </c>
      <c r="H44" s="104">
        <v>3</v>
      </c>
      <c r="I44" s="104">
        <f t="shared" si="4"/>
        <v>353.434977</v>
      </c>
      <c r="J44" s="104">
        <f t="shared" si="5"/>
        <v>358.95739851562502</v>
      </c>
      <c r="K44" s="104">
        <f t="shared" si="6"/>
        <v>4381.65625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4740.6136485156248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14236.5</v>
      </c>
      <c r="D45" s="104">
        <f t="shared" si="0"/>
        <v>0</v>
      </c>
      <c r="E45" s="104">
        <f t="shared" si="1"/>
        <v>14236.5</v>
      </c>
      <c r="F45" s="104">
        <f t="shared" si="2"/>
        <v>3.7146916426287382E-2</v>
      </c>
      <c r="G45" s="104">
        <f t="shared" si="3"/>
        <v>1121.836876073879</v>
      </c>
      <c r="H45" s="104">
        <v>3</v>
      </c>
      <c r="I45" s="104">
        <f t="shared" si="4"/>
        <v>353.434977</v>
      </c>
      <c r="J45" s="104">
        <f t="shared" si="5"/>
        <v>1480.7942745895039</v>
      </c>
      <c r="K45" s="104">
        <f t="shared" si="6"/>
        <v>4381.65625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5862.4505245895034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4382.5</v>
      </c>
      <c r="D46" s="104">
        <f t="shared" si="0"/>
        <v>0</v>
      </c>
      <c r="E46" s="104">
        <f t="shared" si="1"/>
        <v>4382.5</v>
      </c>
      <c r="F46" s="104">
        <f t="shared" si="2"/>
        <v>1.143513934170649E-2</v>
      </c>
      <c r="G46" s="104">
        <f t="shared" si="3"/>
        <v>345.34120811953602</v>
      </c>
      <c r="H46" s="104">
        <v>4</v>
      </c>
      <c r="I46" s="104">
        <f t="shared" si="4"/>
        <v>471.24663600000002</v>
      </c>
      <c r="J46" s="104">
        <f t="shared" si="5"/>
        <v>822.11026563516111</v>
      </c>
      <c r="K46" s="104">
        <f t="shared" si="6"/>
        <v>4381.65625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5203.7665156351613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702</v>
      </c>
      <c r="D47" s="104">
        <f t="shared" si="0"/>
        <v>0</v>
      </c>
      <c r="E47" s="104">
        <f t="shared" si="1"/>
        <v>702</v>
      </c>
      <c r="F47" s="104">
        <f t="shared" si="2"/>
        <v>1.8317097131495621E-3</v>
      </c>
      <c r="G47" s="104">
        <f t="shared" si="3"/>
        <v>55.317633337116774</v>
      </c>
      <c r="H47" s="104">
        <v>3</v>
      </c>
      <c r="I47" s="104">
        <f t="shared" si="4"/>
        <v>353.434977</v>
      </c>
      <c r="J47" s="104">
        <f t="shared" si="5"/>
        <v>414.27503185274179</v>
      </c>
      <c r="K47" s="104">
        <f t="shared" si="6"/>
        <v>4381.65625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4795.9312818527414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5207.5</v>
      </c>
      <c r="D48" s="104">
        <f t="shared" si="0"/>
        <v>0</v>
      </c>
      <c r="E48" s="104">
        <f t="shared" si="1"/>
        <v>5207.5</v>
      </c>
      <c r="F48" s="104">
        <f t="shared" si="2"/>
        <v>1.3587789645621575E-2</v>
      </c>
      <c r="G48" s="104">
        <f t="shared" si="3"/>
        <v>410.35124729777158</v>
      </c>
      <c r="H48" s="104">
        <v>3</v>
      </c>
      <c r="I48" s="104">
        <f t="shared" si="4"/>
        <v>353.434977</v>
      </c>
      <c r="J48" s="104">
        <f t="shared" si="5"/>
        <v>769.30864581339665</v>
      </c>
      <c r="K48" s="104">
        <f t="shared" si="6"/>
        <v>4381.65625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5150.9648958133967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6271</v>
      </c>
      <c r="D49" s="104">
        <f t="shared" si="0"/>
        <v>0</v>
      </c>
      <c r="E49" s="104">
        <f t="shared" si="1"/>
        <v>6271</v>
      </c>
      <c r="F49" s="104">
        <f t="shared" si="2"/>
        <v>1.6362751582850291E-2</v>
      </c>
      <c r="G49" s="104">
        <f t="shared" si="3"/>
        <v>494.15509780207879</v>
      </c>
      <c r="H49" s="104">
        <v>3</v>
      </c>
      <c r="I49" s="104">
        <f t="shared" si="4"/>
        <v>353.434977</v>
      </c>
      <c r="J49" s="104">
        <f t="shared" si="5"/>
        <v>853.11249631770374</v>
      </c>
      <c r="K49" s="104">
        <f t="shared" si="6"/>
        <v>4381.65625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5234.7687463177035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2641.5</v>
      </c>
      <c r="D50" s="104">
        <f t="shared" si="0"/>
        <v>0</v>
      </c>
      <c r="E50" s="104">
        <f t="shared" si="1"/>
        <v>2641.5</v>
      </c>
      <c r="F50" s="104">
        <f t="shared" si="2"/>
        <v>6.8923948821717502E-3</v>
      </c>
      <c r="G50" s="104">
        <f t="shared" si="3"/>
        <v>208.15032544158686</v>
      </c>
      <c r="H50" s="104">
        <v>4</v>
      </c>
      <c r="I50" s="104">
        <f t="shared" si="4"/>
        <v>471.24663600000002</v>
      </c>
      <c r="J50" s="104">
        <f t="shared" si="5"/>
        <v>684.91938295721184</v>
      </c>
      <c r="K50" s="104">
        <f t="shared" si="6"/>
        <v>4381.65625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5066.5756329572123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1016</v>
      </c>
      <c r="D51" s="104">
        <f t="shared" si="0"/>
        <v>0</v>
      </c>
      <c r="E51" s="104">
        <f t="shared" si="1"/>
        <v>1016</v>
      </c>
      <c r="F51" s="104">
        <f t="shared" si="2"/>
        <v>2.6510214651851213E-3</v>
      </c>
      <c r="G51" s="104">
        <f t="shared" si="3"/>
        <v>80.060848248590659</v>
      </c>
      <c r="H51" s="104">
        <v>4</v>
      </c>
      <c r="I51" s="104">
        <f t="shared" si="4"/>
        <v>471.24663600000002</v>
      </c>
      <c r="J51" s="104">
        <f t="shared" si="5"/>
        <v>556.82990576421571</v>
      </c>
      <c r="K51" s="104">
        <f t="shared" si="6"/>
        <v>4381.65625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4938.4861557642162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14895</v>
      </c>
      <c r="D52" s="104">
        <f t="shared" si="0"/>
        <v>0</v>
      </c>
      <c r="E52" s="104">
        <f t="shared" si="1"/>
        <v>14895</v>
      </c>
      <c r="F52" s="104">
        <f t="shared" si="2"/>
        <v>3.8865122759775966E-2</v>
      </c>
      <c r="G52" s="104">
        <f t="shared" si="3"/>
        <v>1173.7267073452342</v>
      </c>
      <c r="H52" s="104">
        <v>4</v>
      </c>
      <c r="I52" s="104">
        <f t="shared" si="4"/>
        <v>471.24663600000002</v>
      </c>
      <c r="J52" s="104">
        <f t="shared" si="5"/>
        <v>1650.4957648608593</v>
      </c>
      <c r="K52" s="104">
        <f t="shared" si="6"/>
        <v>4381.65625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6032.1520148608597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4357</v>
      </c>
      <c r="D53" s="104">
        <f t="shared" si="0"/>
        <v>0</v>
      </c>
      <c r="E53" s="104">
        <f t="shared" si="1"/>
        <v>4357</v>
      </c>
      <c r="F53" s="104">
        <f t="shared" si="2"/>
        <v>1.1368602877767297E-2</v>
      </c>
      <c r="G53" s="104">
        <f t="shared" si="3"/>
        <v>343.33180690857233</v>
      </c>
      <c r="H53" s="104">
        <v>3</v>
      </c>
      <c r="I53" s="104">
        <f t="shared" si="4"/>
        <v>353.434977</v>
      </c>
      <c r="J53" s="104">
        <f t="shared" si="5"/>
        <v>702.28920542419735</v>
      </c>
      <c r="K53" s="104">
        <f t="shared" si="6"/>
        <v>4381.65625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5083.9454554241975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16311.5</v>
      </c>
      <c r="D54" s="104">
        <f t="shared" si="0"/>
        <v>0</v>
      </c>
      <c r="E54" s="104">
        <f t="shared" si="1"/>
        <v>16311.5</v>
      </c>
      <c r="F54" s="104">
        <f t="shared" si="2"/>
        <v>4.2561158099770777E-2</v>
      </c>
      <c r="G54" s="104">
        <f t="shared" si="3"/>
        <v>1285.3469746130775</v>
      </c>
      <c r="H54" s="104">
        <v>3</v>
      </c>
      <c r="I54" s="104">
        <f t="shared" si="4"/>
        <v>353.434977</v>
      </c>
      <c r="J54" s="104">
        <f t="shared" si="5"/>
        <v>1644.3043731287025</v>
      </c>
      <c r="K54" s="104">
        <f t="shared" si="6"/>
        <v>4381.65625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6025.9606231287025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11636.5</v>
      </c>
      <c r="D55" s="104">
        <f t="shared" si="0"/>
        <v>0</v>
      </c>
      <c r="E55" s="104">
        <f t="shared" si="1"/>
        <v>11636.5</v>
      </c>
      <c r="F55" s="104">
        <f t="shared" si="2"/>
        <v>3.0362806377585299E-2</v>
      </c>
      <c r="G55" s="104">
        <f t="shared" si="3"/>
        <v>916.95675260307598</v>
      </c>
      <c r="H55" s="104">
        <v>4</v>
      </c>
      <c r="I55" s="104">
        <f t="shared" si="4"/>
        <v>471.24663600000002</v>
      </c>
      <c r="J55" s="104">
        <f t="shared" si="5"/>
        <v>1393.725810118701</v>
      </c>
      <c r="K55" s="104">
        <f t="shared" si="6"/>
        <v>4381.65625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5775.3820601187008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9471</v>
      </c>
      <c r="D56" s="104">
        <f t="shared" si="0"/>
        <v>0</v>
      </c>
      <c r="E56" s="104">
        <f t="shared" si="1"/>
        <v>9471</v>
      </c>
      <c r="F56" s="104">
        <f t="shared" si="2"/>
        <v>2.4712425488945162E-2</v>
      </c>
      <c r="G56" s="104">
        <f t="shared" si="3"/>
        <v>746.31524976614389</v>
      </c>
      <c r="H56" s="104">
        <v>4</v>
      </c>
      <c r="I56" s="104">
        <f t="shared" si="4"/>
        <v>471.24663600000002</v>
      </c>
      <c r="J56" s="104">
        <f t="shared" si="5"/>
        <v>1223.0843072817688</v>
      </c>
      <c r="K56" s="104">
        <f t="shared" si="6"/>
        <v>4381.65625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5604.7405572817688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8061</v>
      </c>
      <c r="D57" s="104">
        <f t="shared" si="0"/>
        <v>0</v>
      </c>
      <c r="E57" s="104">
        <f t="shared" si="1"/>
        <v>8061</v>
      </c>
      <c r="F57" s="104">
        <f t="shared" si="2"/>
        <v>2.103335042407211E-2</v>
      </c>
      <c r="G57" s="104">
        <f t="shared" si="3"/>
        <v>635.2071828069777</v>
      </c>
      <c r="H57" s="104">
        <v>4</v>
      </c>
      <c r="I57" s="104">
        <f t="shared" si="4"/>
        <v>471.24663600000002</v>
      </c>
      <c r="J57" s="104">
        <f t="shared" si="5"/>
        <v>1111.9762403226027</v>
      </c>
      <c r="K57" s="104">
        <f t="shared" si="6"/>
        <v>4381.65625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5493.6324903226032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456</v>
      </c>
      <c r="D58" s="104">
        <f t="shared" si="0"/>
        <v>0</v>
      </c>
      <c r="E58" s="104">
        <f t="shared" si="1"/>
        <v>456</v>
      </c>
      <c r="F58" s="104">
        <f t="shared" si="2"/>
        <v>1.1898285316185192E-3</v>
      </c>
      <c r="G58" s="104">
        <f t="shared" si="3"/>
        <v>35.932821654879277</v>
      </c>
      <c r="H58" s="104">
        <v>3</v>
      </c>
      <c r="I58" s="104">
        <f t="shared" si="4"/>
        <v>353.434977</v>
      </c>
      <c r="J58" s="104">
        <f t="shared" si="5"/>
        <v>394.89022017050428</v>
      </c>
      <c r="K58" s="104">
        <f t="shared" si="6"/>
        <v>4381.65625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4776.5464701705041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11342.5</v>
      </c>
      <c r="D59" s="104">
        <f t="shared" si="0"/>
        <v>0</v>
      </c>
      <c r="E59" s="104">
        <f t="shared" si="1"/>
        <v>11342.5</v>
      </c>
      <c r="F59" s="104">
        <f t="shared" si="2"/>
        <v>2.9595680087462835E-2</v>
      </c>
      <c r="G59" s="104">
        <f t="shared" si="3"/>
        <v>893.78953864137759</v>
      </c>
      <c r="H59" s="104">
        <v>3</v>
      </c>
      <c r="I59" s="104">
        <f t="shared" si="4"/>
        <v>353.434977</v>
      </c>
      <c r="J59" s="104">
        <f t="shared" si="5"/>
        <v>1252.7469371570025</v>
      </c>
      <c r="K59" s="104">
        <f t="shared" si="6"/>
        <v>4381.65625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5634.4031871570023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790</v>
      </c>
      <c r="D60" s="104">
        <f t="shared" si="0"/>
        <v>0</v>
      </c>
      <c r="E60" s="104">
        <f t="shared" si="1"/>
        <v>790</v>
      </c>
      <c r="F60" s="104">
        <f t="shared" si="2"/>
        <v>2.0613257455671711E-3</v>
      </c>
      <c r="G60" s="104">
        <f t="shared" si="3"/>
        <v>62.252037516128567</v>
      </c>
      <c r="H60" s="104">
        <v>3</v>
      </c>
      <c r="I60" s="104">
        <f t="shared" si="4"/>
        <v>353.434977</v>
      </c>
      <c r="J60" s="104">
        <f t="shared" si="5"/>
        <v>421.20943603175357</v>
      </c>
      <c r="K60" s="104">
        <f t="shared" si="6"/>
        <v>4381.65625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4802.8656860317533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1782.5</v>
      </c>
      <c r="D61" s="104">
        <f t="shared" si="0"/>
        <v>0</v>
      </c>
      <c r="E61" s="104">
        <f t="shared" si="1"/>
        <v>1782.5</v>
      </c>
      <c r="F61" s="104">
        <f t="shared" si="2"/>
        <v>4.6510292930044082E-3</v>
      </c>
      <c r="G61" s="104">
        <f t="shared" si="3"/>
        <v>140.46108464873313</v>
      </c>
      <c r="H61" s="104">
        <v>3</v>
      </c>
      <c r="I61" s="104">
        <f t="shared" si="4"/>
        <v>353.434977</v>
      </c>
      <c r="J61" s="104">
        <f t="shared" si="5"/>
        <v>499.41848316435812</v>
      </c>
      <c r="K61" s="104">
        <f t="shared" si="6"/>
        <v>4381.65625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4881.0747331643579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4904</v>
      </c>
      <c r="D62" s="104">
        <f t="shared" si="0"/>
        <v>0</v>
      </c>
      <c r="E62" s="104">
        <f t="shared" si="1"/>
        <v>4904</v>
      </c>
      <c r="F62" s="104">
        <f t="shared" si="2"/>
        <v>1.2795875261090389E-2</v>
      </c>
      <c r="G62" s="104">
        <f t="shared" si="3"/>
        <v>386.43543288492975</v>
      </c>
      <c r="H62" s="104">
        <v>4</v>
      </c>
      <c r="I62" s="104">
        <f t="shared" si="4"/>
        <v>471.24663600000002</v>
      </c>
      <c r="J62" s="104">
        <f t="shared" si="5"/>
        <v>863.20449040055473</v>
      </c>
      <c r="K62" s="104">
        <f t="shared" si="6"/>
        <v>4381.65625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5244.8607404005543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3877</v>
      </c>
      <c r="D63" s="104">
        <f t="shared" si="0"/>
        <v>0</v>
      </c>
      <c r="E63" s="104">
        <f t="shared" si="1"/>
        <v>3877</v>
      </c>
      <c r="F63" s="104">
        <f t="shared" si="2"/>
        <v>1.0116151791853066E-2</v>
      </c>
      <c r="G63" s="104">
        <f t="shared" si="3"/>
        <v>305.5077841139626</v>
      </c>
      <c r="H63" s="104">
        <v>3</v>
      </c>
      <c r="I63" s="104">
        <f t="shared" si="4"/>
        <v>353.434977</v>
      </c>
      <c r="J63" s="104">
        <f t="shared" si="5"/>
        <v>664.46518262958762</v>
      </c>
      <c r="K63" s="104">
        <f t="shared" si="6"/>
        <v>4381.65625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5796.1214326295876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1183</v>
      </c>
      <c r="D64" s="104">
        <f t="shared" si="0"/>
        <v>0</v>
      </c>
      <c r="E64" s="104">
        <f t="shared" si="1"/>
        <v>1183</v>
      </c>
      <c r="F64" s="104">
        <f t="shared" si="2"/>
        <v>3.0867700721594477E-3</v>
      </c>
      <c r="G64" s="104">
        <f t="shared" si="3"/>
        <v>93.220456179215319</v>
      </c>
      <c r="H64" s="104">
        <v>3</v>
      </c>
      <c r="I64" s="104">
        <f t="shared" si="4"/>
        <v>353.434977</v>
      </c>
      <c r="J64" s="104">
        <f t="shared" si="5"/>
        <v>452.17785469484033</v>
      </c>
      <c r="K64" s="104">
        <f t="shared" si="6"/>
        <v>4381.65625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4833.8341046948408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1094</v>
      </c>
      <c r="D65" s="104">
        <f t="shared" si="0"/>
        <v>0</v>
      </c>
      <c r="E65" s="104">
        <f t="shared" si="1"/>
        <v>1094</v>
      </c>
      <c r="F65" s="104">
        <f t="shared" si="2"/>
        <v>2.8545447666461837E-3</v>
      </c>
      <c r="G65" s="104">
        <f t="shared" si="3"/>
        <v>86.207251952714742</v>
      </c>
      <c r="H65" s="104">
        <v>3</v>
      </c>
      <c r="I65" s="104">
        <f t="shared" si="4"/>
        <v>353.434977</v>
      </c>
      <c r="J65" s="104">
        <f t="shared" si="5"/>
        <v>445.16465046833974</v>
      </c>
      <c r="K65" s="104">
        <f t="shared" si="6"/>
        <v>4381.65625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4826.8209004683395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2330.5</v>
      </c>
      <c r="D66" s="104">
        <f t="shared" si="0"/>
        <v>0</v>
      </c>
      <c r="E66" s="104">
        <f t="shared" si="1"/>
        <v>2330.5</v>
      </c>
      <c r="F66" s="104">
        <f t="shared" si="2"/>
        <v>6.0809109494231548E-3</v>
      </c>
      <c r="G66" s="104">
        <f t="shared" si="3"/>
        <v>183.64351067257928</v>
      </c>
      <c r="H66" s="104">
        <v>4</v>
      </c>
      <c r="I66" s="104">
        <f t="shared" si="4"/>
        <v>471.24663600000002</v>
      </c>
      <c r="J66" s="104">
        <f t="shared" si="5"/>
        <v>660.41256818820432</v>
      </c>
      <c r="K66" s="104">
        <f t="shared" si="6"/>
        <v>4381.65625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5042.0688181882042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4799</v>
      </c>
      <c r="D67" s="104">
        <f t="shared" si="0"/>
        <v>0</v>
      </c>
      <c r="E67" s="104">
        <f t="shared" si="1"/>
        <v>4799</v>
      </c>
      <c r="F67" s="104">
        <f t="shared" si="2"/>
        <v>1.2521901586046651E-2</v>
      </c>
      <c r="G67" s="104">
        <f t="shared" si="3"/>
        <v>378.16142789860885</v>
      </c>
      <c r="H67" s="104">
        <v>4</v>
      </c>
      <c r="I67" s="104">
        <f t="shared" si="4"/>
        <v>471.24663600000002</v>
      </c>
      <c r="J67" s="104">
        <f t="shared" si="5"/>
        <v>854.93048541423389</v>
      </c>
      <c r="K67" s="104">
        <f t="shared" si="6"/>
        <v>4381.65625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5236.5867354142338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8287.5</v>
      </c>
      <c r="D68" s="104">
        <f t="shared" si="0"/>
        <v>0</v>
      </c>
      <c r="E68" s="104">
        <f t="shared" si="1"/>
        <v>8287.5</v>
      </c>
      <c r="F68" s="104">
        <f t="shared" si="2"/>
        <v>2.1624350780237889E-2</v>
      </c>
      <c r="G68" s="104">
        <f t="shared" si="3"/>
        <v>653.05539356318423</v>
      </c>
      <c r="H68" s="104">
        <v>4</v>
      </c>
      <c r="I68" s="104">
        <f t="shared" si="4"/>
        <v>471.24663600000002</v>
      </c>
      <c r="J68" s="104">
        <f t="shared" si="5"/>
        <v>1129.8244510788093</v>
      </c>
      <c r="K68" s="104">
        <f t="shared" si="6"/>
        <v>4381.65625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5511.480701078809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5245.5</v>
      </c>
      <c r="D69" s="104">
        <f t="shared" si="0"/>
        <v>0</v>
      </c>
      <c r="E69" s="104">
        <f t="shared" si="1"/>
        <v>5245.5</v>
      </c>
      <c r="F69" s="104">
        <f t="shared" si="2"/>
        <v>1.3686942023256451E-2</v>
      </c>
      <c r="G69" s="104">
        <f t="shared" si="3"/>
        <v>413.34564910234485</v>
      </c>
      <c r="H69" s="104">
        <v>3</v>
      </c>
      <c r="I69" s="104">
        <f t="shared" si="4"/>
        <v>353.434977</v>
      </c>
      <c r="J69" s="104">
        <f t="shared" si="5"/>
        <v>772.30304761796992</v>
      </c>
      <c r="K69" s="104">
        <f t="shared" si="6"/>
        <v>4381.65625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5153.9592976179702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383248.5</v>
      </c>
      <c r="D70" s="104">
        <f t="shared" ref="D70:E70" si="8">SUM(D3:D69)</f>
        <v>0</v>
      </c>
      <c r="E70" s="104">
        <f t="shared" si="8"/>
        <v>383248.5</v>
      </c>
      <c r="F70" s="104">
        <f t="shared" si="2"/>
        <v>1</v>
      </c>
      <c r="G70" s="104">
        <f t="shared" ref="G70:O70" si="9">SUM(G3:G69)</f>
        <v>30199.999999999996</v>
      </c>
      <c r="H70" s="104">
        <f t="shared" si="9"/>
        <v>223</v>
      </c>
      <c r="I70" s="104">
        <f t="shared" si="9"/>
        <v>26271.999957000018</v>
      </c>
      <c r="J70" s="104">
        <f t="shared" si="9"/>
        <v>56471.999956999993</v>
      </c>
      <c r="K70" s="104">
        <f t="shared" si="9"/>
        <v>280426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339897.99995700002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5497</v>
      </c>
      <c r="D2" s="86">
        <v>45923</v>
      </c>
      <c r="F2" s="86"/>
      <c r="H2" s="71"/>
      <c r="K2" s="40">
        <f t="shared" ref="K2:K65" si="0">SUM(C2,E2,G2,I2)</f>
        <v>5497</v>
      </c>
    </row>
    <row r="3" spans="1:11" ht="15" customHeight="1">
      <c r="A3" s="41" t="s">
        <v>26</v>
      </c>
      <c r="B3" s="13" t="s">
        <v>27</v>
      </c>
      <c r="C3" s="40">
        <v>26147</v>
      </c>
      <c r="D3" s="87">
        <v>45906</v>
      </c>
      <c r="F3" s="86"/>
      <c r="H3" s="72"/>
      <c r="K3" s="40">
        <f t="shared" si="0"/>
        <v>26147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45901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5554</v>
      </c>
      <c r="D5" s="87">
        <v>45922</v>
      </c>
      <c r="F5" s="86"/>
      <c r="H5" s="72"/>
      <c r="K5" s="46">
        <f t="shared" si="0"/>
        <v>5554</v>
      </c>
    </row>
    <row r="6" spans="1:11" ht="15" customHeight="1">
      <c r="A6" s="41" t="s">
        <v>35</v>
      </c>
      <c r="B6" s="13" t="s">
        <v>36</v>
      </c>
      <c r="C6" s="42">
        <v>7050</v>
      </c>
      <c r="D6" s="86">
        <v>45907</v>
      </c>
      <c r="F6" s="86"/>
      <c r="H6" s="71"/>
      <c r="K6" s="40">
        <f t="shared" si="0"/>
        <v>7050</v>
      </c>
    </row>
    <row r="7" spans="1:11" ht="15" customHeight="1">
      <c r="A7" s="41" t="s">
        <v>37</v>
      </c>
      <c r="B7" s="13" t="s">
        <v>38</v>
      </c>
      <c r="D7" s="87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0">
        <v>5939</v>
      </c>
      <c r="D8" s="86">
        <v>45922</v>
      </c>
      <c r="E8" s="42"/>
      <c r="F8" s="86"/>
      <c r="H8" s="71"/>
      <c r="K8" s="40">
        <f t="shared" si="0"/>
        <v>5939</v>
      </c>
    </row>
    <row r="9" spans="1:11" ht="15" customHeight="1">
      <c r="A9" s="41" t="s">
        <v>43</v>
      </c>
      <c r="B9" s="13" t="s">
        <v>44</v>
      </c>
      <c r="C9" s="73">
        <v>5121</v>
      </c>
      <c r="D9" s="86">
        <v>45907</v>
      </c>
      <c r="F9" s="86"/>
      <c r="H9" s="71"/>
      <c r="K9" s="46">
        <f t="shared" si="0"/>
        <v>5121</v>
      </c>
    </row>
    <row r="10" spans="1:11" ht="15" customHeight="1">
      <c r="A10" s="41" t="s">
        <v>46</v>
      </c>
      <c r="B10" s="13" t="s">
        <v>47</v>
      </c>
      <c r="C10" s="73">
        <v>5434</v>
      </c>
      <c r="D10" s="87">
        <v>45923</v>
      </c>
      <c r="F10" s="86"/>
      <c r="H10" s="71"/>
      <c r="K10" s="46">
        <f t="shared" si="0"/>
        <v>5434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5218</v>
      </c>
      <c r="D12" s="86">
        <v>45923</v>
      </c>
      <c r="F12" s="86"/>
      <c r="H12" s="71"/>
      <c r="K12" s="46">
        <f t="shared" si="0"/>
        <v>5218</v>
      </c>
    </row>
    <row r="13" spans="1:11" ht="15" customHeight="1">
      <c r="A13" s="41" t="s">
        <v>55</v>
      </c>
      <c r="B13" s="13" t="s">
        <v>56</v>
      </c>
      <c r="C13" s="46">
        <v>5108</v>
      </c>
      <c r="D13" s="86">
        <v>45907</v>
      </c>
      <c r="F13" s="86"/>
      <c r="H13" s="71"/>
      <c r="K13" s="46">
        <f t="shared" si="0"/>
        <v>5108</v>
      </c>
    </row>
    <row r="14" spans="1:11" ht="15" customHeight="1">
      <c r="A14" s="41" t="s">
        <v>58</v>
      </c>
      <c r="B14" s="13" t="s">
        <v>59</v>
      </c>
      <c r="C14" s="42">
        <v>6253.71</v>
      </c>
      <c r="D14" s="86">
        <v>45906</v>
      </c>
      <c r="E14" s="42">
        <v>6252.77</v>
      </c>
      <c r="F14" s="86">
        <v>45906</v>
      </c>
      <c r="G14" s="42"/>
      <c r="H14" s="71"/>
      <c r="K14" s="40">
        <f t="shared" si="0"/>
        <v>12506.48</v>
      </c>
    </row>
    <row r="15" spans="1:11" ht="15" customHeight="1">
      <c r="A15" s="41" t="s">
        <v>61</v>
      </c>
      <c r="B15" s="13" t="s">
        <v>62</v>
      </c>
      <c r="C15" s="46">
        <v>5439</v>
      </c>
      <c r="D15" s="86">
        <v>45923</v>
      </c>
      <c r="F15" s="86"/>
      <c r="H15" s="72"/>
      <c r="K15" s="46">
        <f t="shared" si="0"/>
        <v>5439</v>
      </c>
    </row>
    <row r="16" spans="1:11" ht="15" customHeight="1">
      <c r="A16" s="41" t="s">
        <v>63</v>
      </c>
      <c r="B16" s="13" t="s">
        <v>64</v>
      </c>
      <c r="C16" s="42">
        <v>6487</v>
      </c>
      <c r="D16" s="86">
        <v>45925</v>
      </c>
      <c r="F16" s="86"/>
      <c r="H16" s="71"/>
      <c r="K16" s="40">
        <f t="shared" si="0"/>
        <v>6487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6533</v>
      </c>
      <c r="D18" s="87">
        <v>45925</v>
      </c>
      <c r="E18" s="46"/>
      <c r="F18" s="86"/>
      <c r="H18" s="72"/>
      <c r="K18" s="46">
        <f t="shared" si="0"/>
        <v>6533</v>
      </c>
    </row>
    <row r="19" spans="1:11" ht="15" customHeight="1">
      <c r="A19" s="41" t="s">
        <v>69</v>
      </c>
      <c r="B19" s="13" t="s">
        <v>70</v>
      </c>
      <c r="C19" s="73">
        <v>6772.92</v>
      </c>
      <c r="D19" s="86">
        <v>45916</v>
      </c>
      <c r="F19" s="86"/>
      <c r="H19" s="71"/>
      <c r="K19" s="46">
        <f t="shared" si="0"/>
        <v>6772.92</v>
      </c>
    </row>
    <row r="20" spans="1:11" ht="15" customHeight="1">
      <c r="A20" s="41" t="s">
        <v>71</v>
      </c>
      <c r="B20" s="13" t="s">
        <v>72</v>
      </c>
      <c r="C20" s="73">
        <v>6558</v>
      </c>
      <c r="D20" s="86">
        <v>45930</v>
      </c>
      <c r="F20" s="86"/>
      <c r="H20" s="71"/>
      <c r="K20" s="46">
        <f t="shared" si="0"/>
        <v>6558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6">
      <c r="A22" s="41" t="s">
        <v>75</v>
      </c>
      <c r="B22" s="13" t="s">
        <v>76</v>
      </c>
      <c r="C22" s="46">
        <v>11102.41</v>
      </c>
      <c r="D22" s="86">
        <v>45910</v>
      </c>
      <c r="F22" s="86"/>
      <c r="H22" s="72"/>
      <c r="K22" s="46">
        <f t="shared" si="0"/>
        <v>11102.41</v>
      </c>
    </row>
    <row r="23" spans="1:11" ht="16">
      <c r="A23" s="41" t="s">
        <v>77</v>
      </c>
      <c r="B23" s="13" t="s">
        <v>78</v>
      </c>
      <c r="C23" s="40">
        <v>5212</v>
      </c>
      <c r="D23" s="87">
        <v>45907</v>
      </c>
      <c r="F23" s="86"/>
      <c r="H23" s="72"/>
      <c r="K23" s="40">
        <f t="shared" si="0"/>
        <v>5212</v>
      </c>
    </row>
    <row r="24" spans="1:11" ht="16">
      <c r="A24" s="41" t="s">
        <v>79</v>
      </c>
      <c r="B24" s="13" t="s">
        <v>80</v>
      </c>
      <c r="C24" s="73">
        <v>5635</v>
      </c>
      <c r="D24" s="86">
        <v>45925</v>
      </c>
      <c r="F24" s="86"/>
      <c r="H24" s="71"/>
      <c r="K24" s="46">
        <f t="shared" si="0"/>
        <v>5635</v>
      </c>
    </row>
    <row r="25" spans="1:11" ht="16">
      <c r="A25" s="41" t="s">
        <v>81</v>
      </c>
      <c r="B25" s="13" t="s">
        <v>82</v>
      </c>
      <c r="C25" s="40">
        <v>6108</v>
      </c>
      <c r="D25" s="87">
        <v>45907</v>
      </c>
      <c r="F25" s="86"/>
      <c r="H25" s="72"/>
      <c r="K25" s="40">
        <f t="shared" si="0"/>
        <v>6108</v>
      </c>
    </row>
    <row r="26" spans="1:11" ht="16">
      <c r="A26" s="41" t="s">
        <v>83</v>
      </c>
      <c r="B26" s="13" t="s">
        <v>191</v>
      </c>
      <c r="C26" s="73">
        <v>5869</v>
      </c>
      <c r="D26" s="86">
        <v>45907</v>
      </c>
      <c r="F26" s="86"/>
      <c r="H26" s="71"/>
      <c r="K26" s="46">
        <f t="shared" si="0"/>
        <v>5869</v>
      </c>
    </row>
    <row r="27" spans="1:11" ht="16">
      <c r="A27" s="41" t="s">
        <v>85</v>
      </c>
      <c r="B27" s="13" t="s">
        <v>86</v>
      </c>
      <c r="C27" s="46">
        <v>6008</v>
      </c>
      <c r="D27" s="87">
        <v>45907</v>
      </c>
      <c r="E27" s="40">
        <v>6000</v>
      </c>
      <c r="F27" s="86">
        <v>45926</v>
      </c>
      <c r="H27" s="72"/>
      <c r="K27" s="46">
        <f t="shared" si="0"/>
        <v>12008</v>
      </c>
    </row>
    <row r="28" spans="1:11" ht="16">
      <c r="A28" s="41" t="s">
        <v>87</v>
      </c>
      <c r="B28" s="13" t="s">
        <v>88</v>
      </c>
      <c r="C28" s="73">
        <v>5377</v>
      </c>
      <c r="D28" s="86" t="s">
        <v>266</v>
      </c>
      <c r="F28" s="86"/>
      <c r="H28" s="71"/>
      <c r="K28" s="46">
        <f t="shared" si="0"/>
        <v>5377</v>
      </c>
    </row>
    <row r="29" spans="1:11" ht="16">
      <c r="A29" s="41" t="s">
        <v>89</v>
      </c>
      <c r="B29" s="13" t="s">
        <v>90</v>
      </c>
      <c r="C29" s="73">
        <v>6119</v>
      </c>
      <c r="D29" s="86">
        <v>45926</v>
      </c>
      <c r="F29" s="86"/>
      <c r="H29" s="71"/>
      <c r="K29" s="46">
        <f t="shared" si="0"/>
        <v>6119</v>
      </c>
    </row>
    <row r="30" spans="1:11" ht="16">
      <c r="A30" s="41" t="s">
        <v>91</v>
      </c>
      <c r="B30" s="13" t="s">
        <v>92</v>
      </c>
      <c r="C30" s="117">
        <v>12208</v>
      </c>
      <c r="D30" s="87">
        <v>45907</v>
      </c>
      <c r="F30" s="86"/>
      <c r="H30" s="72"/>
      <c r="K30" s="117">
        <f t="shared" si="0"/>
        <v>12208</v>
      </c>
    </row>
    <row r="31" spans="1:11" ht="16">
      <c r="A31" s="41" t="s">
        <v>93</v>
      </c>
      <c r="B31" s="13" t="s">
        <v>94</v>
      </c>
      <c r="C31" s="42">
        <v>5790</v>
      </c>
      <c r="D31" s="86">
        <v>45922</v>
      </c>
      <c r="F31" s="86"/>
      <c r="H31" s="71"/>
      <c r="K31" s="40">
        <f t="shared" si="0"/>
        <v>5790</v>
      </c>
    </row>
    <row r="32" spans="1:11" ht="16">
      <c r="A32" s="41" t="s">
        <v>95</v>
      </c>
      <c r="B32" s="13" t="s">
        <v>96</v>
      </c>
      <c r="C32" s="73">
        <v>5226</v>
      </c>
      <c r="D32" s="86">
        <v>45929</v>
      </c>
      <c r="F32" s="86"/>
      <c r="H32" s="71"/>
      <c r="K32" s="46">
        <f t="shared" si="0"/>
        <v>5226</v>
      </c>
    </row>
    <row r="33" spans="1:11" ht="16">
      <c r="A33" s="41" t="s">
        <v>97</v>
      </c>
      <c r="B33" s="13" t="s">
        <v>98</v>
      </c>
      <c r="C33" s="42">
        <v>7235</v>
      </c>
      <c r="D33" s="86">
        <v>45924</v>
      </c>
      <c r="F33" s="86"/>
      <c r="H33" s="71"/>
      <c r="K33" s="40">
        <f t="shared" si="0"/>
        <v>7235</v>
      </c>
    </row>
    <row r="34" spans="1:11" ht="16">
      <c r="A34" s="41" t="s">
        <v>99</v>
      </c>
      <c r="B34" s="13" t="s">
        <v>100</v>
      </c>
      <c r="C34" s="73">
        <v>5581.91</v>
      </c>
      <c r="D34" s="86">
        <v>45906</v>
      </c>
      <c r="F34" s="86"/>
      <c r="H34" s="71"/>
      <c r="K34" s="46">
        <f t="shared" si="0"/>
        <v>5581.91</v>
      </c>
    </row>
    <row r="35" spans="1:11" ht="1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">
      <c r="A36" s="41" t="s">
        <v>103</v>
      </c>
      <c r="B36" s="13" t="s">
        <v>104</v>
      </c>
      <c r="C36" s="40">
        <v>5457</v>
      </c>
      <c r="D36" s="87">
        <v>45913</v>
      </c>
      <c r="F36" s="86"/>
      <c r="H36" s="72"/>
      <c r="K36" s="40">
        <f t="shared" si="0"/>
        <v>5457</v>
      </c>
    </row>
    <row r="37" spans="1:11" ht="16">
      <c r="A37" s="41" t="s">
        <v>105</v>
      </c>
      <c r="B37" s="13" t="s">
        <v>106</v>
      </c>
      <c r="C37" s="73">
        <v>5290</v>
      </c>
      <c r="D37" s="86">
        <v>45908</v>
      </c>
      <c r="F37" s="86"/>
      <c r="H37" s="71"/>
      <c r="K37" s="46">
        <f t="shared" si="0"/>
        <v>5290</v>
      </c>
    </row>
    <row r="38" spans="1:11" ht="1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">
      <c r="A39" s="41" t="s">
        <v>109</v>
      </c>
      <c r="B39" s="30" t="s">
        <v>110</v>
      </c>
      <c r="C39" s="40">
        <v>15000</v>
      </c>
      <c r="D39" s="86">
        <v>45909</v>
      </c>
      <c r="F39" s="86"/>
      <c r="H39" s="71"/>
      <c r="K39" s="40">
        <f t="shared" si="0"/>
        <v>15000</v>
      </c>
    </row>
    <row r="40" spans="1:11" ht="16">
      <c r="A40" s="41" t="s">
        <v>111</v>
      </c>
      <c r="B40" s="13" t="s">
        <v>112</v>
      </c>
      <c r="C40" s="73">
        <v>5168</v>
      </c>
      <c r="D40" s="86">
        <v>45924</v>
      </c>
      <c r="F40" s="86"/>
      <c r="H40" s="71"/>
      <c r="K40" s="46">
        <f t="shared" si="0"/>
        <v>5168</v>
      </c>
    </row>
    <row r="41" spans="1:11" ht="16">
      <c r="A41" s="41" t="s">
        <v>113</v>
      </c>
      <c r="B41" s="13" t="s">
        <v>114</v>
      </c>
      <c r="C41" s="73">
        <v>6981.26</v>
      </c>
      <c r="D41" s="86">
        <v>45909</v>
      </c>
      <c r="F41" s="86"/>
      <c r="H41" s="71"/>
      <c r="K41" s="46">
        <f t="shared" si="0"/>
        <v>6981.26</v>
      </c>
    </row>
    <row r="42" spans="1:11" ht="16">
      <c r="A42" s="41" t="s">
        <v>115</v>
      </c>
      <c r="B42" s="13" t="s">
        <v>116</v>
      </c>
      <c r="C42" s="73">
        <v>6000</v>
      </c>
      <c r="D42" s="86">
        <v>45909</v>
      </c>
      <c r="F42" s="86"/>
      <c r="H42" s="71"/>
      <c r="K42" s="46">
        <f t="shared" si="0"/>
        <v>6000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2">
        <v>31153</v>
      </c>
      <c r="D44" s="86">
        <v>45906</v>
      </c>
      <c r="E44" s="40">
        <v>6393</v>
      </c>
      <c r="F44" s="86">
        <v>45923</v>
      </c>
      <c r="H44" s="71"/>
      <c r="K44" s="40">
        <f t="shared" si="0"/>
        <v>37546</v>
      </c>
    </row>
    <row r="45" spans="1:11" ht="16">
      <c r="A45" s="41" t="s">
        <v>121</v>
      </c>
      <c r="B45" s="13" t="s">
        <v>122</v>
      </c>
      <c r="C45" s="73">
        <v>5905</v>
      </c>
      <c r="D45" s="86">
        <v>45922</v>
      </c>
      <c r="F45" s="86"/>
      <c r="H45" s="71"/>
      <c r="K45" s="46">
        <f t="shared" si="0"/>
        <v>5905</v>
      </c>
    </row>
    <row r="46" spans="1:11" ht="16">
      <c r="A46" s="41" t="s">
        <v>123</v>
      </c>
      <c r="B46" s="13" t="s">
        <v>124</v>
      </c>
      <c r="C46" s="42">
        <v>5522.32</v>
      </c>
      <c r="D46" s="86">
        <v>45906</v>
      </c>
      <c r="E46" s="42">
        <v>6028.01</v>
      </c>
      <c r="F46" s="86">
        <v>45906</v>
      </c>
      <c r="G46" s="42"/>
      <c r="H46" s="71"/>
      <c r="K46" s="40">
        <f t="shared" si="0"/>
        <v>11550.33</v>
      </c>
    </row>
    <row r="47" spans="1:11" ht="1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>
        <v>6788</v>
      </c>
      <c r="D48" s="86">
        <v>45924</v>
      </c>
      <c r="F48" s="86"/>
      <c r="H48" s="71"/>
      <c r="K48" s="46">
        <f t="shared" si="0"/>
        <v>6788</v>
      </c>
    </row>
    <row r="49" spans="1:11" ht="16">
      <c r="A49" s="41" t="s">
        <v>129</v>
      </c>
      <c r="B49" s="13" t="s">
        <v>130</v>
      </c>
      <c r="C49" s="40">
        <v>5931</v>
      </c>
      <c r="D49" s="87">
        <v>45911</v>
      </c>
      <c r="F49" s="86"/>
      <c r="H49" s="72"/>
      <c r="K49" s="40">
        <f t="shared" si="0"/>
        <v>5931</v>
      </c>
    </row>
    <row r="50" spans="1:11" ht="16">
      <c r="A50" s="41" t="s">
        <v>131</v>
      </c>
      <c r="B50" s="13" t="s">
        <v>132</v>
      </c>
      <c r="C50" s="42">
        <v>6417</v>
      </c>
      <c r="D50" s="47">
        <v>45923</v>
      </c>
      <c r="F50" s="86"/>
      <c r="H50" s="71"/>
      <c r="K50" s="40">
        <f t="shared" si="0"/>
        <v>6417</v>
      </c>
    </row>
    <row r="51" spans="1:11" ht="1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">
      <c r="A52" s="41" t="s">
        <v>135</v>
      </c>
      <c r="B52" s="13" t="s">
        <v>136</v>
      </c>
      <c r="C52" s="73">
        <v>6343</v>
      </c>
      <c r="D52" s="86">
        <v>45907</v>
      </c>
      <c r="F52" s="86"/>
      <c r="H52" s="71"/>
      <c r="K52" s="46">
        <f t="shared" si="0"/>
        <v>6343</v>
      </c>
    </row>
    <row r="53" spans="1:11" ht="1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16">
      <c r="A56" s="41" t="s">
        <v>143</v>
      </c>
      <c r="B56" s="13" t="s">
        <v>144</v>
      </c>
      <c r="C56" s="42">
        <v>5777.61</v>
      </c>
      <c r="D56" s="86">
        <v>45907</v>
      </c>
      <c r="F56" s="86"/>
      <c r="H56" s="71"/>
      <c r="K56" s="40">
        <f t="shared" si="0"/>
        <v>5777.61</v>
      </c>
    </row>
    <row r="57" spans="1:11" ht="16">
      <c r="A57" s="41" t="s">
        <v>145</v>
      </c>
      <c r="B57" s="13" t="s">
        <v>146</v>
      </c>
      <c r="C57" s="46"/>
      <c r="D57" s="87"/>
      <c r="F57" s="86"/>
      <c r="H57" s="72"/>
      <c r="K57" s="46">
        <f t="shared" si="0"/>
        <v>0</v>
      </c>
    </row>
    <row r="58" spans="1:11" ht="16">
      <c r="A58" s="41" t="s">
        <v>147</v>
      </c>
      <c r="B58" s="13" t="s">
        <v>148</v>
      </c>
      <c r="C58" s="40">
        <v>5840</v>
      </c>
      <c r="D58" s="87">
        <v>45907</v>
      </c>
      <c r="F58" s="86"/>
      <c r="H58" s="72"/>
      <c r="K58" s="40">
        <f t="shared" si="0"/>
        <v>5840</v>
      </c>
    </row>
    <row r="59" spans="1:11" ht="16">
      <c r="A59" s="41" t="s">
        <v>149</v>
      </c>
      <c r="B59" s="13" t="s">
        <v>36</v>
      </c>
      <c r="C59" s="73">
        <v>7000</v>
      </c>
      <c r="D59" s="86">
        <v>45926</v>
      </c>
      <c r="E59" s="40">
        <v>2000</v>
      </c>
      <c r="F59" s="86">
        <v>45926</v>
      </c>
      <c r="H59" s="71"/>
      <c r="K59" s="46">
        <f t="shared" si="0"/>
        <v>9000</v>
      </c>
    </row>
    <row r="60" spans="1:11" ht="1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6">
      <c r="A61" s="41" t="s">
        <v>152</v>
      </c>
      <c r="B61" s="13" t="s">
        <v>153</v>
      </c>
      <c r="C61" s="46">
        <v>5695.22</v>
      </c>
      <c r="D61" s="86">
        <v>45908</v>
      </c>
      <c r="F61" s="86"/>
      <c r="H61" s="71"/>
      <c r="K61" s="46">
        <f t="shared" si="0"/>
        <v>5695.22</v>
      </c>
    </row>
    <row r="62" spans="1:11" ht="16">
      <c r="A62" s="41" t="s">
        <v>154</v>
      </c>
      <c r="B62" s="13" t="s">
        <v>155</v>
      </c>
      <c r="C62" s="40">
        <v>12000</v>
      </c>
      <c r="D62" s="49">
        <v>45908</v>
      </c>
      <c r="F62" s="86"/>
      <c r="H62" s="71"/>
      <c r="K62" s="40">
        <f t="shared" si="0"/>
        <v>12000</v>
      </c>
    </row>
    <row r="63" spans="1:11" ht="16">
      <c r="A63" s="41" t="s">
        <v>156</v>
      </c>
      <c r="B63" s="13" t="s">
        <v>157</v>
      </c>
      <c r="C63" s="46"/>
      <c r="D63" s="87"/>
      <c r="F63" s="86"/>
      <c r="H63" s="72"/>
      <c r="K63" s="46">
        <f t="shared" si="0"/>
        <v>0</v>
      </c>
    </row>
    <row r="64" spans="1:11" ht="1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">
      <c r="A65" s="41" t="s">
        <v>160</v>
      </c>
      <c r="B65" s="13" t="s">
        <v>161</v>
      </c>
      <c r="C65" s="42"/>
      <c r="D65" s="86"/>
      <c r="F65" s="86"/>
      <c r="H65" s="71"/>
      <c r="K65" s="40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377525.13999999996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0" customWidth="1"/>
    <col min="19" max="19" width="50.83203125" customWidth="1"/>
    <col min="20" max="20" width="10.33203125" customWidth="1"/>
  </cols>
  <sheetData>
    <row r="1" spans="1:20" ht="16.5" customHeight="1">
      <c r="A1" s="104"/>
      <c r="B1" s="249" t="s">
        <v>267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268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38.5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>
        <f t="shared" ref="J3:J5" si="0">I3</f>
        <v>117.81165900000001</v>
      </c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>
        <f t="shared" si="0"/>
        <v>117.81165900000001</v>
      </c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'ANNUAL-EXPENSE-DETAILS'!BF9</f>
        <v>368295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>
        <f t="shared" si="0"/>
        <v>117.81165900000001</v>
      </c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'ANNUAL-EXPENSE-DETAILS'!BE9</f>
        <v>35000</v>
      </c>
    </row>
    <row r="6" spans="1:20" ht="12.75" customHeight="1">
      <c r="A6" s="104" t="s">
        <v>24</v>
      </c>
      <c r="B6" s="13" t="s">
        <v>25</v>
      </c>
      <c r="C6" s="9">
        <v>2655.5</v>
      </c>
      <c r="D6" s="104">
        <f t="shared" ref="D6:D69" si="1">SUM($C$3:$C$4)/64</f>
        <v>0.6015625</v>
      </c>
      <c r="E6" s="104">
        <f t="shared" ref="E6:E69" si="2">C6+D6</f>
        <v>2656.1015625</v>
      </c>
      <c r="F6" s="104">
        <f t="shared" ref="F6:F70" si="3">IF($C$70=0, 0, E6/$C$70)</f>
        <v>8.0638696062031133E-3</v>
      </c>
      <c r="G6" s="104">
        <f t="shared" ref="G6:G69" si="4">F6*$T$5</f>
        <v>282.23543621710894</v>
      </c>
      <c r="H6" s="104">
        <v>3</v>
      </c>
      <c r="I6" s="104">
        <f t="shared" ref="I6:I69" si="5">$T$7*H6</f>
        <v>353.434977</v>
      </c>
      <c r="J6" s="104">
        <f t="shared" ref="J6:J69" si="6">G6+$T$9+I6</f>
        <v>641.1928347327339</v>
      </c>
      <c r="K6" s="104">
        <f t="shared" ref="K6:K69" si="7">$T$11/64</f>
        <v>5754.609375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8">(J6+K6+L6+M6+N6+O6)*$B$2</f>
        <v>6395.8022097327339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7701</v>
      </c>
      <c r="D7" s="104">
        <f t="shared" si="1"/>
        <v>0.6015625</v>
      </c>
      <c r="E7" s="104">
        <f t="shared" si="2"/>
        <v>7701.6015625</v>
      </c>
      <c r="F7" s="104">
        <f t="shared" si="3"/>
        <v>2.3381903627388179E-2</v>
      </c>
      <c r="G7" s="104">
        <f t="shared" si="4"/>
        <v>818.36662695858627</v>
      </c>
      <c r="H7" s="104">
        <v>4</v>
      </c>
      <c r="I7" s="104">
        <f t="shared" si="5"/>
        <v>471.24663600000002</v>
      </c>
      <c r="J7" s="104">
        <f t="shared" si="6"/>
        <v>1295.1356844742113</v>
      </c>
      <c r="K7" s="104">
        <f t="shared" si="7"/>
        <v>5754.609375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8"/>
        <v>7049.7450594742113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11632.5</v>
      </c>
      <c r="D8" s="104">
        <f t="shared" si="1"/>
        <v>0.6015625</v>
      </c>
      <c r="E8" s="104">
        <f t="shared" si="2"/>
        <v>11633.1015625</v>
      </c>
      <c r="F8" s="104">
        <f t="shared" si="3"/>
        <v>3.5317856606139356E-2</v>
      </c>
      <c r="G8" s="104">
        <f t="shared" si="4"/>
        <v>1236.1249812148774</v>
      </c>
      <c r="H8" s="104">
        <v>4</v>
      </c>
      <c r="I8" s="104">
        <f t="shared" si="5"/>
        <v>471.24663600000002</v>
      </c>
      <c r="J8" s="104">
        <f t="shared" si="6"/>
        <v>1712.8940387305024</v>
      </c>
      <c r="K8" s="104">
        <f t="shared" si="7"/>
        <v>5754.609375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8"/>
        <v>8217.5034137305029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4341</v>
      </c>
      <c r="D9" s="104">
        <f t="shared" si="1"/>
        <v>0.6015625</v>
      </c>
      <c r="E9" s="104">
        <f t="shared" si="2"/>
        <v>4341.6015625</v>
      </c>
      <c r="F9" s="104">
        <f t="shared" si="3"/>
        <v>1.3181012871034632E-2</v>
      </c>
      <c r="G9" s="104">
        <f t="shared" si="4"/>
        <v>461.33545048621215</v>
      </c>
      <c r="H9" s="104">
        <v>4</v>
      </c>
      <c r="I9" s="104">
        <f t="shared" si="5"/>
        <v>471.24663600000002</v>
      </c>
      <c r="J9" s="104">
        <f t="shared" si="6"/>
        <v>938.10450800183719</v>
      </c>
      <c r="K9" s="104">
        <f t="shared" si="7"/>
        <v>5754.609375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8"/>
        <v>6692.7138830018375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3922.5</v>
      </c>
      <c r="D10" s="104">
        <f t="shared" si="1"/>
        <v>0.6015625</v>
      </c>
      <c r="E10" s="104">
        <f t="shared" si="2"/>
        <v>3923.1015625</v>
      </c>
      <c r="F10" s="104">
        <f t="shared" si="3"/>
        <v>1.1910455495578096E-2</v>
      </c>
      <c r="G10" s="104">
        <f t="shared" si="4"/>
        <v>416.86594234523335</v>
      </c>
      <c r="H10" s="104">
        <v>3</v>
      </c>
      <c r="I10" s="104">
        <f t="shared" si="5"/>
        <v>353.434977</v>
      </c>
      <c r="J10" s="104">
        <f t="shared" si="6"/>
        <v>775.82334086085837</v>
      </c>
      <c r="K10" s="104">
        <f t="shared" si="7"/>
        <v>5754.609375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8"/>
        <v>6530.4327158608585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4642</v>
      </c>
      <c r="D11" s="104">
        <f t="shared" si="1"/>
        <v>0.6015625</v>
      </c>
      <c r="E11" s="104">
        <f t="shared" si="2"/>
        <v>4642.6015625</v>
      </c>
      <c r="F11" s="104">
        <f t="shared" si="3"/>
        <v>1.409484266795797E-2</v>
      </c>
      <c r="G11" s="104">
        <f t="shared" si="4"/>
        <v>493.31949337852893</v>
      </c>
      <c r="H11" s="104">
        <v>3</v>
      </c>
      <c r="I11" s="104">
        <f t="shared" si="5"/>
        <v>353.434977</v>
      </c>
      <c r="J11" s="104">
        <f t="shared" si="6"/>
        <v>852.27689189415401</v>
      </c>
      <c r="K11" s="104">
        <f t="shared" si="7"/>
        <v>5754.609375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8"/>
        <v>6606.8862668941538</v>
      </c>
      <c r="S11" s="113" t="s">
        <v>21</v>
      </c>
      <c r="T11" s="114">
        <f>'ANNUAL-EXPENSE-DETAILS'!BF9</f>
        <v>368295</v>
      </c>
    </row>
    <row r="12" spans="1:20" ht="12.75" customHeight="1">
      <c r="A12" s="104" t="s">
        <v>40</v>
      </c>
      <c r="B12" s="13" t="s">
        <v>41</v>
      </c>
      <c r="C12" s="9">
        <v>184</v>
      </c>
      <c r="D12" s="104">
        <f t="shared" si="1"/>
        <v>0.6015625</v>
      </c>
      <c r="E12" s="104">
        <f t="shared" si="2"/>
        <v>184.6015625</v>
      </c>
      <c r="F12" s="104">
        <f t="shared" si="3"/>
        <v>5.6044653943889029E-4</v>
      </c>
      <c r="G12" s="104">
        <f t="shared" si="4"/>
        <v>19.615628880361161</v>
      </c>
      <c r="H12" s="104">
        <v>3</v>
      </c>
      <c r="I12" s="104">
        <f t="shared" si="5"/>
        <v>353.434977</v>
      </c>
      <c r="J12" s="104">
        <f t="shared" si="6"/>
        <v>378.57302739598617</v>
      </c>
      <c r="K12" s="104">
        <f t="shared" si="7"/>
        <v>5754.609375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8"/>
        <v>6883.1824023959862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254</v>
      </c>
      <c r="D13" s="104">
        <f t="shared" si="1"/>
        <v>0.6015625</v>
      </c>
      <c r="E13" s="104">
        <f t="shared" si="2"/>
        <v>254.6015625</v>
      </c>
      <c r="F13" s="104">
        <f t="shared" si="3"/>
        <v>7.7296509686292255E-4</v>
      </c>
      <c r="G13" s="104">
        <f t="shared" si="4"/>
        <v>27.053778390202289</v>
      </c>
      <c r="H13" s="104">
        <v>3</v>
      </c>
      <c r="I13" s="104">
        <f t="shared" si="5"/>
        <v>353.434977</v>
      </c>
      <c r="J13" s="104">
        <f t="shared" si="6"/>
        <v>386.01117690582731</v>
      </c>
      <c r="K13" s="104">
        <f t="shared" si="7"/>
        <v>5754.609375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8"/>
        <v>6140.6205519058276</v>
      </c>
      <c r="S13" s="61" t="s">
        <v>269</v>
      </c>
      <c r="T13" s="63"/>
    </row>
    <row r="14" spans="1:20" ht="12.75" customHeight="1">
      <c r="A14" s="104" t="s">
        <v>46</v>
      </c>
      <c r="B14" s="13" t="s">
        <v>47</v>
      </c>
      <c r="C14" s="9">
        <v>2126</v>
      </c>
      <c r="D14" s="104">
        <f t="shared" si="1"/>
        <v>0.6015625</v>
      </c>
      <c r="E14" s="104">
        <f t="shared" si="2"/>
        <v>2126.6015625</v>
      </c>
      <c r="F14" s="104">
        <f t="shared" si="3"/>
        <v>6.4563185182598976E-3</v>
      </c>
      <c r="G14" s="104">
        <f t="shared" si="4"/>
        <v>225.97114813909641</v>
      </c>
      <c r="H14" s="104">
        <v>4</v>
      </c>
      <c r="I14" s="104">
        <f t="shared" si="5"/>
        <v>471.24663600000002</v>
      </c>
      <c r="J14" s="104">
        <f t="shared" si="6"/>
        <v>702.74020565472142</v>
      </c>
      <c r="K14" s="104">
        <f t="shared" si="7"/>
        <v>5754.609375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8"/>
        <v>6457.3495806547216</v>
      </c>
      <c r="S14" s="61" t="s">
        <v>42</v>
      </c>
      <c r="T14" s="63"/>
    </row>
    <row r="15" spans="1:20" ht="12.75" customHeight="1">
      <c r="A15" s="104" t="s">
        <v>49</v>
      </c>
      <c r="B15" s="13" t="s">
        <v>50</v>
      </c>
      <c r="C15" s="9">
        <v>2020.5</v>
      </c>
      <c r="D15" s="104">
        <f t="shared" si="1"/>
        <v>0.6015625</v>
      </c>
      <c r="E15" s="104">
        <f t="shared" si="2"/>
        <v>2021.1015625</v>
      </c>
      <c r="F15" s="104">
        <f t="shared" si="3"/>
        <v>6.1360226924279636E-3</v>
      </c>
      <c r="G15" s="104">
        <f t="shared" si="4"/>
        <v>214.76079423497873</v>
      </c>
      <c r="H15" s="104">
        <v>3</v>
      </c>
      <c r="I15" s="104">
        <f t="shared" si="5"/>
        <v>353.434977</v>
      </c>
      <c r="J15" s="104">
        <f t="shared" si="6"/>
        <v>573.71819275060375</v>
      </c>
      <c r="K15" s="104">
        <f t="shared" si="7"/>
        <v>5754.609375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8"/>
        <v>6328.3275677506035</v>
      </c>
      <c r="S15" s="61" t="s">
        <v>45</v>
      </c>
      <c r="T15" s="63"/>
    </row>
    <row r="16" spans="1:20" ht="12.75" customHeight="1">
      <c r="A16" s="104" t="s">
        <v>52</v>
      </c>
      <c r="B16" s="13" t="s">
        <v>53</v>
      </c>
      <c r="C16" s="9">
        <v>0.5</v>
      </c>
      <c r="D16" s="104">
        <f t="shared" si="1"/>
        <v>0.6015625</v>
      </c>
      <c r="E16" s="104">
        <f t="shared" si="2"/>
        <v>1.1015625</v>
      </c>
      <c r="F16" s="104">
        <f t="shared" si="3"/>
        <v>3.3443210487487212E-6</v>
      </c>
      <c r="G16" s="104">
        <f t="shared" si="4"/>
        <v>0.11705123670620525</v>
      </c>
      <c r="H16" s="104">
        <v>3</v>
      </c>
      <c r="I16" s="104">
        <f t="shared" si="5"/>
        <v>353.434977</v>
      </c>
      <c r="J16" s="104">
        <f t="shared" si="6"/>
        <v>359.07444975233119</v>
      </c>
      <c r="K16" s="104">
        <f t="shared" si="7"/>
        <v>5754.609375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8"/>
        <v>6113.683824752331</v>
      </c>
      <c r="S16" s="64" t="s">
        <v>48</v>
      </c>
      <c r="T16" s="65">
        <f>T14-T15</f>
        <v>0</v>
      </c>
    </row>
    <row r="17" spans="1:20" ht="12.75" customHeight="1">
      <c r="A17" s="104" t="s">
        <v>55</v>
      </c>
      <c r="B17" s="13" t="s">
        <v>56</v>
      </c>
      <c r="C17" s="9">
        <v>0.5</v>
      </c>
      <c r="D17" s="104">
        <f t="shared" si="1"/>
        <v>0.6015625</v>
      </c>
      <c r="E17" s="104">
        <f t="shared" si="2"/>
        <v>1.1015625</v>
      </c>
      <c r="F17" s="104">
        <f t="shared" si="3"/>
        <v>3.3443210487487212E-6</v>
      </c>
      <c r="G17" s="104">
        <f t="shared" si="4"/>
        <v>0.11705123670620525</v>
      </c>
      <c r="H17" s="104">
        <v>3</v>
      </c>
      <c r="I17" s="104">
        <f t="shared" si="5"/>
        <v>353.434977</v>
      </c>
      <c r="J17" s="104">
        <f t="shared" si="6"/>
        <v>359.07444975233119</v>
      </c>
      <c r="K17" s="104">
        <f t="shared" si="7"/>
        <v>5754.609375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8"/>
        <v>6113.683824752331</v>
      </c>
      <c r="S17" s="66" t="s">
        <v>54</v>
      </c>
      <c r="T17" s="67">
        <f>T13-T16</f>
        <v>0</v>
      </c>
    </row>
    <row r="18" spans="1:20" ht="12.75" customHeight="1">
      <c r="A18" s="104" t="s">
        <v>58</v>
      </c>
      <c r="B18" s="13" t="s">
        <v>59</v>
      </c>
      <c r="C18" s="9">
        <v>1614</v>
      </c>
      <c r="D18" s="104">
        <f t="shared" si="1"/>
        <v>0.6015625</v>
      </c>
      <c r="E18" s="104">
        <f t="shared" si="2"/>
        <v>1614.6015625</v>
      </c>
      <c r="F18" s="104">
        <f t="shared" si="3"/>
        <v>4.9018970696726909E-3</v>
      </c>
      <c r="G18" s="104">
        <f t="shared" si="4"/>
        <v>171.56639743854419</v>
      </c>
      <c r="H18" s="104">
        <v>4</v>
      </c>
      <c r="I18" s="104">
        <f t="shared" si="5"/>
        <v>471.24663600000002</v>
      </c>
      <c r="J18" s="104">
        <f t="shared" si="6"/>
        <v>648.33545495416922</v>
      </c>
      <c r="K18" s="104">
        <f t="shared" si="7"/>
        <v>5754.609375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8"/>
        <v>6402.9448299541691</v>
      </c>
      <c r="S18" s="66" t="s">
        <v>57</v>
      </c>
      <c r="T18" s="67">
        <f>'ANNUAL-EXPENSE-DETAILS'!BH9</f>
        <v>429567</v>
      </c>
    </row>
    <row r="19" spans="1:20" ht="12.75" customHeight="1">
      <c r="A19" s="104" t="s">
        <v>61</v>
      </c>
      <c r="B19" s="13" t="s">
        <v>62</v>
      </c>
      <c r="C19" s="9">
        <v>1987.5</v>
      </c>
      <c r="D19" s="104">
        <f t="shared" si="1"/>
        <v>0.6015625</v>
      </c>
      <c r="E19" s="104">
        <f t="shared" si="2"/>
        <v>1988.1015625</v>
      </c>
      <c r="F19" s="104">
        <f t="shared" si="3"/>
        <v>6.0358353724994911E-3</v>
      </c>
      <c r="G19" s="104">
        <f t="shared" si="4"/>
        <v>211.2542380374822</v>
      </c>
      <c r="H19" s="104">
        <v>4</v>
      </c>
      <c r="I19" s="104">
        <f t="shared" si="5"/>
        <v>471.24663600000002</v>
      </c>
      <c r="J19" s="104">
        <f t="shared" si="6"/>
        <v>688.02329555310723</v>
      </c>
      <c r="K19" s="104">
        <f t="shared" si="7"/>
        <v>5754.609375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8"/>
        <v>6442.6326705531073</v>
      </c>
      <c r="S19" s="66"/>
      <c r="T19" s="67"/>
    </row>
    <row r="20" spans="1:20" ht="12.75" customHeight="1">
      <c r="A20" s="104" t="s">
        <v>63</v>
      </c>
      <c r="B20" s="13" t="s">
        <v>64</v>
      </c>
      <c r="C20" s="9">
        <v>9</v>
      </c>
      <c r="D20" s="104">
        <f t="shared" si="1"/>
        <v>0.6015625</v>
      </c>
      <c r="E20" s="104">
        <f t="shared" si="2"/>
        <v>9.6015625</v>
      </c>
      <c r="F20" s="104">
        <f t="shared" si="3"/>
        <v>2.9150145878809775E-5</v>
      </c>
      <c r="G20" s="104">
        <f t="shared" si="4"/>
        <v>1.0202551057583422</v>
      </c>
      <c r="H20" s="104">
        <v>4</v>
      </c>
      <c r="I20" s="104">
        <f t="shared" si="5"/>
        <v>471.24663600000002</v>
      </c>
      <c r="J20" s="104">
        <f t="shared" si="6"/>
        <v>477.78931262138337</v>
      </c>
      <c r="K20" s="104">
        <f t="shared" si="7"/>
        <v>5754.609375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8"/>
        <v>6982.398687621383</v>
      </c>
      <c r="S20" s="107"/>
      <c r="T20" s="110"/>
    </row>
    <row r="21" spans="1:20" ht="12.75" customHeight="1">
      <c r="A21" s="104" t="s">
        <v>65</v>
      </c>
      <c r="B21" s="13" t="s">
        <v>66</v>
      </c>
      <c r="C21" s="9">
        <v>12892.5</v>
      </c>
      <c r="D21" s="104">
        <f t="shared" si="1"/>
        <v>0.6015625</v>
      </c>
      <c r="E21" s="104">
        <f t="shared" si="2"/>
        <v>12893.1015625</v>
      </c>
      <c r="F21" s="104">
        <f t="shared" si="3"/>
        <v>3.9143190639771938E-2</v>
      </c>
      <c r="G21" s="104">
        <f t="shared" si="4"/>
        <v>1370.0116723920178</v>
      </c>
      <c r="H21" s="104">
        <v>3</v>
      </c>
      <c r="I21" s="104">
        <f t="shared" si="5"/>
        <v>353.434977</v>
      </c>
      <c r="J21" s="104">
        <f t="shared" si="6"/>
        <v>1728.9690709076426</v>
      </c>
      <c r="K21" s="104">
        <f t="shared" si="7"/>
        <v>5754.609375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8"/>
        <v>7483.5784459076422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10272</v>
      </c>
      <c r="D22" s="104">
        <f t="shared" si="1"/>
        <v>0.6015625</v>
      </c>
      <c r="E22" s="104">
        <f t="shared" si="2"/>
        <v>10272.6015625</v>
      </c>
      <c r="F22" s="104">
        <f t="shared" si="3"/>
        <v>3.1187406643633703E-2</v>
      </c>
      <c r="G22" s="104">
        <f t="shared" si="4"/>
        <v>1091.5592325271796</v>
      </c>
      <c r="H22" s="104">
        <v>3</v>
      </c>
      <c r="I22" s="104">
        <f t="shared" si="5"/>
        <v>353.434977</v>
      </c>
      <c r="J22" s="104">
        <f t="shared" si="6"/>
        <v>1450.5166310428044</v>
      </c>
      <c r="K22" s="104">
        <f t="shared" si="7"/>
        <v>5754.609375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8"/>
        <v>7205.1260060428049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11467.5</v>
      </c>
      <c r="D23" s="104">
        <f t="shared" si="1"/>
        <v>0.6015625</v>
      </c>
      <c r="E23" s="104">
        <f t="shared" si="2"/>
        <v>11468.1015625</v>
      </c>
      <c r="F23" s="104">
        <f t="shared" si="3"/>
        <v>3.4816920006496999E-2</v>
      </c>
      <c r="G23" s="104">
        <f t="shared" si="4"/>
        <v>1218.5922002273949</v>
      </c>
      <c r="H23" s="104">
        <v>4</v>
      </c>
      <c r="I23" s="104">
        <f t="shared" si="5"/>
        <v>471.24663600000002</v>
      </c>
      <c r="J23" s="104">
        <f t="shared" si="6"/>
        <v>1695.3612577430199</v>
      </c>
      <c r="K23" s="104">
        <f t="shared" si="7"/>
        <v>5754.609375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8"/>
        <v>7449.9706327430195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11716.5</v>
      </c>
      <c r="D24" s="104">
        <f t="shared" si="1"/>
        <v>0.6015625</v>
      </c>
      <c r="E24" s="104">
        <f t="shared" si="2"/>
        <v>11717.1015625</v>
      </c>
      <c r="F24" s="104">
        <f t="shared" si="3"/>
        <v>3.5572878875048196E-2</v>
      </c>
      <c r="G24" s="104">
        <f t="shared" si="4"/>
        <v>1245.050760626687</v>
      </c>
      <c r="H24" s="104">
        <v>4</v>
      </c>
      <c r="I24" s="104">
        <f t="shared" si="5"/>
        <v>471.24663600000002</v>
      </c>
      <c r="J24" s="104">
        <f t="shared" si="6"/>
        <v>1721.819818142312</v>
      </c>
      <c r="K24" s="104">
        <f t="shared" si="7"/>
        <v>5754.609375</v>
      </c>
      <c r="L24" s="7">
        <v>0</v>
      </c>
      <c r="M24" s="104">
        <v>500</v>
      </c>
      <c r="N24" s="104">
        <v>0</v>
      </c>
      <c r="O24" s="104">
        <v>0</v>
      </c>
      <c r="P24" s="109"/>
      <c r="Q24" s="109"/>
      <c r="R24" s="109">
        <f t="shared" si="8"/>
        <v>7976.4291931423122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18874.5</v>
      </c>
      <c r="D25" s="104">
        <f t="shared" si="1"/>
        <v>0.6015625</v>
      </c>
      <c r="E25" s="104">
        <f t="shared" si="2"/>
        <v>18875.1015625</v>
      </c>
      <c r="F25" s="104">
        <f t="shared" si="3"/>
        <v>5.7304419361351375E-2</v>
      </c>
      <c r="G25" s="104">
        <f t="shared" si="4"/>
        <v>2005.6546776472981</v>
      </c>
      <c r="H25" s="104">
        <v>4</v>
      </c>
      <c r="I25" s="104">
        <f t="shared" si="5"/>
        <v>471.24663600000002</v>
      </c>
      <c r="J25" s="104">
        <f t="shared" si="6"/>
        <v>2482.4237351629231</v>
      </c>
      <c r="K25" s="104">
        <f t="shared" si="7"/>
        <v>5754.609375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8"/>
        <v>8237.0331101629235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2859</v>
      </c>
      <c r="D26" s="104">
        <f t="shared" si="1"/>
        <v>0.6015625</v>
      </c>
      <c r="E26" s="104">
        <f t="shared" si="2"/>
        <v>2859.6015625</v>
      </c>
      <c r="F26" s="104">
        <f t="shared" si="3"/>
        <v>8.681691412428692E-3</v>
      </c>
      <c r="G26" s="104">
        <f t="shared" si="4"/>
        <v>303.8591994350042</v>
      </c>
      <c r="H26" s="104">
        <v>3</v>
      </c>
      <c r="I26" s="104">
        <f t="shared" si="5"/>
        <v>353.434977</v>
      </c>
      <c r="J26" s="104">
        <f t="shared" si="6"/>
        <v>662.81659795062922</v>
      </c>
      <c r="K26" s="104">
        <f t="shared" si="7"/>
        <v>5754.609375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8"/>
        <v>6417.4259729506293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4719.5</v>
      </c>
      <c r="D27" s="104">
        <f t="shared" si="1"/>
        <v>0.6015625</v>
      </c>
      <c r="E27" s="104">
        <f t="shared" si="2"/>
        <v>4720.1015625</v>
      </c>
      <c r="F27" s="104">
        <f t="shared" si="3"/>
        <v>1.4330131070820292E-2</v>
      </c>
      <c r="G27" s="104">
        <f t="shared" si="4"/>
        <v>501.55458747871023</v>
      </c>
      <c r="H27" s="104">
        <v>3</v>
      </c>
      <c r="I27" s="104">
        <f t="shared" si="5"/>
        <v>353.434977</v>
      </c>
      <c r="J27" s="104">
        <f t="shared" si="6"/>
        <v>860.51198599433519</v>
      </c>
      <c r="K27" s="104">
        <f t="shared" si="7"/>
        <v>5754.609375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8"/>
        <v>6615.1213609943352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4907</v>
      </c>
      <c r="D28" s="104">
        <f t="shared" si="1"/>
        <v>0.6015625</v>
      </c>
      <c r="E28" s="104">
        <f t="shared" si="2"/>
        <v>4907.6015625</v>
      </c>
      <c r="F28" s="104">
        <f t="shared" si="3"/>
        <v>1.4899377206777521E-2</v>
      </c>
      <c r="G28" s="104">
        <f t="shared" si="4"/>
        <v>521.47820223721317</v>
      </c>
      <c r="H28" s="104">
        <v>3</v>
      </c>
      <c r="I28" s="104">
        <f t="shared" si="5"/>
        <v>353.434977</v>
      </c>
      <c r="J28" s="104">
        <f t="shared" si="6"/>
        <v>880.43560075283813</v>
      </c>
      <c r="K28" s="104">
        <f t="shared" si="7"/>
        <v>5754.609375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8"/>
        <v>6635.0449757528386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8556.5</v>
      </c>
      <c r="D29" s="104">
        <f t="shared" si="1"/>
        <v>0.6015625</v>
      </c>
      <c r="E29" s="104">
        <f t="shared" si="2"/>
        <v>8557.1015625</v>
      </c>
      <c r="F29" s="104">
        <f t="shared" si="3"/>
        <v>2.597918399704903E-2</v>
      </c>
      <c r="G29" s="104">
        <f t="shared" si="4"/>
        <v>909.27143989671606</v>
      </c>
      <c r="H29" s="104">
        <v>3</v>
      </c>
      <c r="I29" s="104">
        <f t="shared" si="5"/>
        <v>353.434977</v>
      </c>
      <c r="J29" s="104">
        <f t="shared" si="6"/>
        <v>1268.228838412341</v>
      </c>
      <c r="K29" s="104">
        <f t="shared" si="7"/>
        <v>5754.609375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8"/>
        <v>7022.8382134123412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5255.5</v>
      </c>
      <c r="D30" s="104">
        <f t="shared" si="1"/>
        <v>0.6015625</v>
      </c>
      <c r="E30" s="104">
        <f t="shared" si="2"/>
        <v>5256.1015625</v>
      </c>
      <c r="F30" s="104">
        <f t="shared" si="3"/>
        <v>1.5957416024810024E-2</v>
      </c>
      <c r="G30" s="104">
        <f t="shared" si="4"/>
        <v>558.50956086835083</v>
      </c>
      <c r="H30" s="104">
        <v>5</v>
      </c>
      <c r="I30" s="104">
        <f t="shared" si="5"/>
        <v>589.05829500000004</v>
      </c>
      <c r="J30" s="104">
        <f t="shared" si="6"/>
        <v>1153.0902773839757</v>
      </c>
      <c r="K30" s="104">
        <f t="shared" si="7"/>
        <v>5754.609375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8"/>
        <v>6907.6996523839753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447</v>
      </c>
      <c r="D31" s="104">
        <f t="shared" si="1"/>
        <v>0.6015625</v>
      </c>
      <c r="E31" s="104">
        <f t="shared" si="2"/>
        <v>447.6015625</v>
      </c>
      <c r="F31" s="104">
        <f t="shared" si="3"/>
        <v>1.3589091194748969E-3</v>
      </c>
      <c r="G31" s="104">
        <f t="shared" si="4"/>
        <v>47.561819181621395</v>
      </c>
      <c r="H31" s="104">
        <v>3</v>
      </c>
      <c r="I31" s="104">
        <f t="shared" si="5"/>
        <v>353.434977</v>
      </c>
      <c r="J31" s="104">
        <f t="shared" si="6"/>
        <v>406.5192176972464</v>
      </c>
      <c r="K31" s="104">
        <f t="shared" si="7"/>
        <v>5754.609375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8"/>
        <v>6161.1285926972469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633.5</v>
      </c>
      <c r="D32" s="104">
        <f t="shared" si="1"/>
        <v>0.6015625</v>
      </c>
      <c r="E32" s="104">
        <f t="shared" si="2"/>
        <v>634.1015625</v>
      </c>
      <c r="F32" s="104">
        <f t="shared" si="3"/>
        <v>1.9251192760403543E-3</v>
      </c>
      <c r="G32" s="104">
        <f t="shared" si="4"/>
        <v>67.379174661412407</v>
      </c>
      <c r="H32" s="104">
        <v>3</v>
      </c>
      <c r="I32" s="104">
        <f t="shared" si="5"/>
        <v>353.434977</v>
      </c>
      <c r="J32" s="104">
        <f t="shared" si="6"/>
        <v>426.33657317703739</v>
      </c>
      <c r="K32" s="104">
        <f t="shared" si="7"/>
        <v>5754.609375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8"/>
        <v>6180.9459481770373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4254.5</v>
      </c>
      <c r="D33" s="104">
        <f t="shared" si="1"/>
        <v>0.6015625</v>
      </c>
      <c r="E33" s="104">
        <f t="shared" si="2"/>
        <v>4255.1015625</v>
      </c>
      <c r="F33" s="104">
        <f t="shared" si="3"/>
        <v>1.2918400653646363E-2</v>
      </c>
      <c r="G33" s="104">
        <f t="shared" si="4"/>
        <v>452.14402287762272</v>
      </c>
      <c r="H33" s="104">
        <v>3</v>
      </c>
      <c r="I33" s="104">
        <f t="shared" si="5"/>
        <v>353.434977</v>
      </c>
      <c r="J33" s="104">
        <f t="shared" si="6"/>
        <v>811.10142139324773</v>
      </c>
      <c r="K33" s="104">
        <f t="shared" si="7"/>
        <v>5754.609375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6565.7107963932476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5595</v>
      </c>
      <c r="D34" s="104">
        <f t="shared" si="1"/>
        <v>0.6015625</v>
      </c>
      <c r="E34" s="104">
        <f t="shared" si="2"/>
        <v>5595.6015625</v>
      </c>
      <c r="F34" s="104">
        <f t="shared" si="3"/>
        <v>1.6988131028316578E-2</v>
      </c>
      <c r="G34" s="104">
        <f t="shared" si="4"/>
        <v>594.58458599108019</v>
      </c>
      <c r="H34" s="104">
        <v>4</v>
      </c>
      <c r="I34" s="104">
        <f t="shared" si="5"/>
        <v>471.24663600000002</v>
      </c>
      <c r="J34" s="104">
        <f t="shared" si="6"/>
        <v>1071.3536435067051</v>
      </c>
      <c r="K34" s="104">
        <f t="shared" si="7"/>
        <v>5754.609375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6825.9630185067053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6734.5</v>
      </c>
      <c r="D35" s="104">
        <f t="shared" si="1"/>
        <v>0.6015625</v>
      </c>
      <c r="E35" s="104">
        <f t="shared" si="2"/>
        <v>6735.1015625</v>
      </c>
      <c r="F35" s="104">
        <f t="shared" si="3"/>
        <v>2.0447629545240646E-2</v>
      </c>
      <c r="G35" s="104">
        <f t="shared" si="4"/>
        <v>715.66703408342266</v>
      </c>
      <c r="H35" s="104">
        <v>4</v>
      </c>
      <c r="I35" s="104">
        <f t="shared" si="5"/>
        <v>471.24663600000002</v>
      </c>
      <c r="J35" s="104">
        <f t="shared" si="6"/>
        <v>1192.4360915990476</v>
      </c>
      <c r="K35" s="104">
        <f t="shared" si="7"/>
        <v>5754.609375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6947.0454665990474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3267</v>
      </c>
      <c r="D36" s="104">
        <f t="shared" si="1"/>
        <v>0.6015625</v>
      </c>
      <c r="E36" s="104">
        <f t="shared" si="2"/>
        <v>3267.6015625</v>
      </c>
      <c r="F36" s="104">
        <f t="shared" si="3"/>
        <v>9.9203710042716237E-3</v>
      </c>
      <c r="G36" s="104">
        <f t="shared" si="4"/>
        <v>347.21298514950684</v>
      </c>
      <c r="H36" s="104">
        <v>4</v>
      </c>
      <c r="I36" s="104">
        <f t="shared" si="5"/>
        <v>471.24663600000002</v>
      </c>
      <c r="J36" s="104">
        <f t="shared" si="6"/>
        <v>823.98204266513187</v>
      </c>
      <c r="K36" s="104">
        <f t="shared" si="7"/>
        <v>5754.609375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6578.5914176651322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2381</v>
      </c>
      <c r="D37" s="104">
        <f t="shared" si="1"/>
        <v>0.6015625</v>
      </c>
      <c r="E37" s="104">
        <f t="shared" si="2"/>
        <v>2381.6015625</v>
      </c>
      <c r="F37" s="104">
        <f t="shared" si="3"/>
        <v>7.2304932631617296E-3</v>
      </c>
      <c r="G37" s="104">
        <f t="shared" si="4"/>
        <v>253.06726421066054</v>
      </c>
      <c r="H37" s="104">
        <v>3</v>
      </c>
      <c r="I37" s="104">
        <f t="shared" si="5"/>
        <v>353.434977</v>
      </c>
      <c r="J37" s="104">
        <f t="shared" si="6"/>
        <v>612.02466272628556</v>
      </c>
      <c r="K37" s="104">
        <f t="shared" si="7"/>
        <v>5754.609375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6366.6340377262859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1900</v>
      </c>
      <c r="D38" s="104">
        <f t="shared" si="1"/>
        <v>0.6015625</v>
      </c>
      <c r="E38" s="104">
        <f t="shared" si="2"/>
        <v>1900.6015625</v>
      </c>
      <c r="F38" s="104">
        <f t="shared" si="3"/>
        <v>5.7701871757194515E-3</v>
      </c>
      <c r="G38" s="104">
        <f t="shared" si="4"/>
        <v>201.95655115018081</v>
      </c>
      <c r="H38" s="104">
        <v>3</v>
      </c>
      <c r="I38" s="104">
        <f t="shared" si="5"/>
        <v>353.434977</v>
      </c>
      <c r="J38" s="104">
        <f t="shared" si="6"/>
        <v>560.91394966580583</v>
      </c>
      <c r="K38" s="104">
        <f t="shared" si="7"/>
        <v>5754.609375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6315.5233246658063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29875.5</v>
      </c>
      <c r="D39" s="104">
        <f t="shared" si="1"/>
        <v>0.6015625</v>
      </c>
      <c r="E39" s="104">
        <f t="shared" si="2"/>
        <v>29876.1015625</v>
      </c>
      <c r="F39" s="104">
        <f t="shared" si="3"/>
        <v>9.0703228650233919E-2</v>
      </c>
      <c r="G39" s="104">
        <f t="shared" si="4"/>
        <v>3174.6130027581871</v>
      </c>
      <c r="H39" s="104">
        <v>4</v>
      </c>
      <c r="I39" s="104">
        <f t="shared" si="5"/>
        <v>471.24663600000002</v>
      </c>
      <c r="J39" s="104">
        <f t="shared" si="6"/>
        <v>3651.3820602738119</v>
      </c>
      <c r="K39" s="104">
        <f t="shared" si="7"/>
        <v>5754.609375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9405.9914352738124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1657</v>
      </c>
      <c r="D40" s="104">
        <f t="shared" si="1"/>
        <v>0.6015625</v>
      </c>
      <c r="E40" s="104">
        <f t="shared" si="2"/>
        <v>1657.6015625</v>
      </c>
      <c r="F40" s="104">
        <f t="shared" si="3"/>
        <v>5.032444183518882E-3</v>
      </c>
      <c r="G40" s="104">
        <f t="shared" si="4"/>
        <v>176.13554642316086</v>
      </c>
      <c r="H40" s="104">
        <v>4</v>
      </c>
      <c r="I40" s="104">
        <f t="shared" si="5"/>
        <v>471.24663600000002</v>
      </c>
      <c r="J40" s="104">
        <f t="shared" si="6"/>
        <v>652.90460393878584</v>
      </c>
      <c r="K40" s="104">
        <f t="shared" si="7"/>
        <v>5754.609375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6407.5139789387858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14894.5</v>
      </c>
      <c r="D41" s="104">
        <f t="shared" si="1"/>
        <v>0.6015625</v>
      </c>
      <c r="E41" s="104">
        <f t="shared" si="2"/>
        <v>14895.1015625</v>
      </c>
      <c r="F41" s="104">
        <f t="shared" si="3"/>
        <v>4.5221221382099261E-2</v>
      </c>
      <c r="G41" s="104">
        <f t="shared" si="4"/>
        <v>1582.7427483734741</v>
      </c>
      <c r="H41" s="104">
        <v>3</v>
      </c>
      <c r="I41" s="104">
        <f t="shared" si="5"/>
        <v>353.434977</v>
      </c>
      <c r="J41" s="104">
        <f t="shared" si="6"/>
        <v>1941.700146889099</v>
      </c>
      <c r="K41" s="104">
        <f t="shared" si="7"/>
        <v>5754.609375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7696.3095218890994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1214</v>
      </c>
      <c r="D42" s="104">
        <f t="shared" si="1"/>
        <v>0.6015625</v>
      </c>
      <c r="E42" s="104">
        <f t="shared" si="2"/>
        <v>1214.6015625</v>
      </c>
      <c r="F42" s="104">
        <f t="shared" si="3"/>
        <v>3.6875053129639358E-3</v>
      </c>
      <c r="G42" s="104">
        <f t="shared" si="4"/>
        <v>129.06268595373774</v>
      </c>
      <c r="H42" s="104">
        <v>3</v>
      </c>
      <c r="I42" s="104">
        <f t="shared" si="5"/>
        <v>353.434977</v>
      </c>
      <c r="J42" s="104">
        <f t="shared" si="6"/>
        <v>488.02008446936276</v>
      </c>
      <c r="K42" s="104">
        <f t="shared" si="7"/>
        <v>5754.609375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6242.6294594693627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156</v>
      </c>
      <c r="D43" s="104">
        <f t="shared" si="1"/>
        <v>0.6015625</v>
      </c>
      <c r="E43" s="104">
        <f t="shared" si="2"/>
        <v>156.6015625</v>
      </c>
      <c r="F43" s="104">
        <f t="shared" si="3"/>
        <v>4.7543911646927739E-4</v>
      </c>
      <c r="G43" s="104">
        <f t="shared" si="4"/>
        <v>16.640369076424708</v>
      </c>
      <c r="H43" s="104">
        <v>3</v>
      </c>
      <c r="I43" s="104">
        <f t="shared" si="5"/>
        <v>353.434977</v>
      </c>
      <c r="J43" s="104">
        <f t="shared" si="6"/>
        <v>375.59776759204971</v>
      </c>
      <c r="K43" s="104">
        <f t="shared" si="7"/>
        <v>5754.609375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6130.2071425920494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1"/>
        <v>0.6015625</v>
      </c>
      <c r="E44" s="104">
        <f t="shared" si="2"/>
        <v>0.6015625</v>
      </c>
      <c r="F44" s="104">
        <f t="shared" si="3"/>
        <v>1.8263313528627768E-6</v>
      </c>
      <c r="G44" s="104">
        <f t="shared" si="4"/>
        <v>6.3921597350197187E-2</v>
      </c>
      <c r="H44" s="104">
        <v>3</v>
      </c>
      <c r="I44" s="104">
        <f t="shared" si="5"/>
        <v>353.434977</v>
      </c>
      <c r="J44" s="104">
        <f t="shared" si="6"/>
        <v>359.02132011297522</v>
      </c>
      <c r="K44" s="104">
        <f t="shared" si="7"/>
        <v>5754.609375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6113.6306951129754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15106</v>
      </c>
      <c r="D45" s="104">
        <f t="shared" si="1"/>
        <v>0.6015625</v>
      </c>
      <c r="E45" s="104">
        <f t="shared" si="2"/>
        <v>15106.6015625</v>
      </c>
      <c r="F45" s="104">
        <f t="shared" si="3"/>
        <v>4.5863331023459013E-2</v>
      </c>
      <c r="G45" s="104">
        <f t="shared" si="4"/>
        <v>1605.2165858210653</v>
      </c>
      <c r="H45" s="104">
        <v>3</v>
      </c>
      <c r="I45" s="104">
        <f t="shared" si="5"/>
        <v>353.434977</v>
      </c>
      <c r="J45" s="104">
        <f t="shared" si="6"/>
        <v>1964.1739843366904</v>
      </c>
      <c r="K45" s="104">
        <f t="shared" si="7"/>
        <v>5754.609375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7718.7833593366904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2970.5</v>
      </c>
      <c r="D46" s="104">
        <f t="shared" si="1"/>
        <v>0.6015625</v>
      </c>
      <c r="E46" s="104">
        <f t="shared" si="2"/>
        <v>2971.1015625</v>
      </c>
      <c r="F46" s="104">
        <f t="shared" si="3"/>
        <v>9.0202031146112572E-3</v>
      </c>
      <c r="G46" s="104">
        <f t="shared" si="4"/>
        <v>315.70710901139398</v>
      </c>
      <c r="H46" s="104">
        <v>4</v>
      </c>
      <c r="I46" s="104">
        <f t="shared" si="5"/>
        <v>471.24663600000002</v>
      </c>
      <c r="J46" s="104">
        <f t="shared" si="6"/>
        <v>792.47616652701902</v>
      </c>
      <c r="K46" s="104">
        <f t="shared" si="7"/>
        <v>5754.609375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6547.0855415270189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680.5</v>
      </c>
      <c r="D47" s="104">
        <f t="shared" si="1"/>
        <v>0.6015625</v>
      </c>
      <c r="E47" s="104">
        <f t="shared" si="2"/>
        <v>681.1015625</v>
      </c>
      <c r="F47" s="104">
        <f t="shared" si="3"/>
        <v>2.0678103074536331E-3</v>
      </c>
      <c r="G47" s="104">
        <f t="shared" si="4"/>
        <v>72.373360760877162</v>
      </c>
      <c r="H47" s="104">
        <v>3</v>
      </c>
      <c r="I47" s="104">
        <f t="shared" si="5"/>
        <v>353.434977</v>
      </c>
      <c r="J47" s="104">
        <f t="shared" si="6"/>
        <v>431.33075927650214</v>
      </c>
      <c r="K47" s="104">
        <f t="shared" si="7"/>
        <v>5754.609375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6185.9401342765022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2413</v>
      </c>
      <c r="D48" s="104">
        <f t="shared" si="1"/>
        <v>0.6015625</v>
      </c>
      <c r="E48" s="104">
        <f t="shared" si="2"/>
        <v>2413.6015625</v>
      </c>
      <c r="F48" s="104">
        <f t="shared" si="3"/>
        <v>7.3276446036984301E-3</v>
      </c>
      <c r="G48" s="104">
        <f t="shared" si="4"/>
        <v>256.46756112944507</v>
      </c>
      <c r="H48" s="104">
        <v>3</v>
      </c>
      <c r="I48" s="104">
        <f t="shared" si="5"/>
        <v>353.434977</v>
      </c>
      <c r="J48" s="104">
        <f t="shared" si="6"/>
        <v>615.42495964507009</v>
      </c>
      <c r="K48" s="104">
        <f t="shared" si="7"/>
        <v>5754.609375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6370.03433464507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1882.5</v>
      </c>
      <c r="D49" s="104">
        <f t="shared" si="1"/>
        <v>0.6015625</v>
      </c>
      <c r="E49" s="104">
        <f t="shared" si="2"/>
        <v>1883.1015625</v>
      </c>
      <c r="F49" s="104">
        <f t="shared" si="3"/>
        <v>5.7170575363634435E-3</v>
      </c>
      <c r="G49" s="104">
        <f t="shared" si="4"/>
        <v>200.09701377272052</v>
      </c>
      <c r="H49" s="104">
        <v>3</v>
      </c>
      <c r="I49" s="104">
        <f t="shared" si="5"/>
        <v>353.434977</v>
      </c>
      <c r="J49" s="104">
        <f t="shared" si="6"/>
        <v>559.05441228834547</v>
      </c>
      <c r="K49" s="104">
        <f t="shared" si="7"/>
        <v>5754.609375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6313.6637872883457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1159</v>
      </c>
      <c r="D50" s="104">
        <f t="shared" si="1"/>
        <v>0.6015625</v>
      </c>
      <c r="E50" s="104">
        <f t="shared" si="2"/>
        <v>1159.6015625</v>
      </c>
      <c r="F50" s="104">
        <f t="shared" si="3"/>
        <v>3.5205264464164819E-3</v>
      </c>
      <c r="G50" s="104">
        <f t="shared" si="4"/>
        <v>123.21842562457687</v>
      </c>
      <c r="H50" s="104">
        <v>4</v>
      </c>
      <c r="I50" s="104">
        <f t="shared" si="5"/>
        <v>471.24663600000002</v>
      </c>
      <c r="J50" s="104">
        <f t="shared" si="6"/>
        <v>599.9874831402019</v>
      </c>
      <c r="K50" s="104">
        <f t="shared" si="7"/>
        <v>5754.609375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6354.5968581402021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808.5</v>
      </c>
      <c r="D51" s="104">
        <f t="shared" si="1"/>
        <v>0.6015625</v>
      </c>
      <c r="E51" s="104">
        <f t="shared" si="2"/>
        <v>809.1015625</v>
      </c>
      <c r="F51" s="104">
        <f t="shared" si="3"/>
        <v>2.4564156696004345E-3</v>
      </c>
      <c r="G51" s="104">
        <f t="shared" si="4"/>
        <v>85.974548436015212</v>
      </c>
      <c r="H51" s="104">
        <v>4</v>
      </c>
      <c r="I51" s="104">
        <f t="shared" si="5"/>
        <v>471.24663600000002</v>
      </c>
      <c r="J51" s="104">
        <f t="shared" si="6"/>
        <v>562.74360595164023</v>
      </c>
      <c r="K51" s="104">
        <f t="shared" si="7"/>
        <v>5754.609375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6317.3529809516403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15499</v>
      </c>
      <c r="D52" s="104">
        <f t="shared" si="1"/>
        <v>0.6015625</v>
      </c>
      <c r="E52" s="104">
        <f t="shared" si="2"/>
        <v>15499.6015625</v>
      </c>
      <c r="F52" s="104">
        <f t="shared" si="3"/>
        <v>4.7056470924425366E-2</v>
      </c>
      <c r="G52" s="104">
        <f t="shared" si="4"/>
        <v>1646.9764823548878</v>
      </c>
      <c r="H52" s="104">
        <v>4</v>
      </c>
      <c r="I52" s="104">
        <f t="shared" si="5"/>
        <v>471.24663600000002</v>
      </c>
      <c r="J52" s="104">
        <f t="shared" si="6"/>
        <v>2123.7455398705129</v>
      </c>
      <c r="K52" s="104">
        <f t="shared" si="7"/>
        <v>5754.609375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7878.3549148705133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3943</v>
      </c>
      <c r="D53" s="104">
        <f t="shared" si="1"/>
        <v>0.6015625</v>
      </c>
      <c r="E53" s="104">
        <f t="shared" si="2"/>
        <v>3943.6015625</v>
      </c>
      <c r="F53" s="104">
        <f t="shared" si="3"/>
        <v>1.1972693073109419E-2</v>
      </c>
      <c r="G53" s="104">
        <f t="shared" si="4"/>
        <v>419.04425755882966</v>
      </c>
      <c r="H53" s="104">
        <v>3</v>
      </c>
      <c r="I53" s="104">
        <f t="shared" si="5"/>
        <v>353.434977</v>
      </c>
      <c r="J53" s="104">
        <f t="shared" si="6"/>
        <v>778.00165607445467</v>
      </c>
      <c r="K53" s="104">
        <f t="shared" si="7"/>
        <v>5754.609375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6532.6110310744543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13960.5</v>
      </c>
      <c r="D54" s="104">
        <f t="shared" si="1"/>
        <v>0.6015625</v>
      </c>
      <c r="E54" s="104">
        <f t="shared" si="2"/>
        <v>13961.1015625</v>
      </c>
      <c r="F54" s="104">
        <f t="shared" si="3"/>
        <v>4.2385616630184315E-2</v>
      </c>
      <c r="G54" s="104">
        <f t="shared" si="4"/>
        <v>1483.496582056451</v>
      </c>
      <c r="H54" s="104">
        <v>3</v>
      </c>
      <c r="I54" s="104">
        <f t="shared" si="5"/>
        <v>353.434977</v>
      </c>
      <c r="J54" s="104">
        <f t="shared" si="6"/>
        <v>1842.453980572076</v>
      </c>
      <c r="K54" s="104">
        <f t="shared" si="7"/>
        <v>5754.609375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7597.063355572076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12355.5</v>
      </c>
      <c r="D55" s="104">
        <f t="shared" si="1"/>
        <v>0.6015625</v>
      </c>
      <c r="E55" s="104">
        <f t="shared" si="2"/>
        <v>12356.1015625</v>
      </c>
      <c r="F55" s="104">
        <f t="shared" si="3"/>
        <v>3.751286970639043E-2</v>
      </c>
      <c r="G55" s="104">
        <f t="shared" si="4"/>
        <v>1312.9504397236651</v>
      </c>
      <c r="H55" s="104">
        <v>4</v>
      </c>
      <c r="I55" s="104">
        <f t="shared" si="5"/>
        <v>471.24663600000002</v>
      </c>
      <c r="J55" s="104">
        <f t="shared" si="6"/>
        <v>1789.7194972392901</v>
      </c>
      <c r="K55" s="104">
        <f t="shared" si="7"/>
        <v>5754.609375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7544.3288722392899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3962.5</v>
      </c>
      <c r="D56" s="104">
        <f t="shared" si="1"/>
        <v>0.6015625</v>
      </c>
      <c r="E56" s="104">
        <f t="shared" si="2"/>
        <v>3963.1015625</v>
      </c>
      <c r="F56" s="104">
        <f t="shared" si="3"/>
        <v>1.2031894671248971E-2</v>
      </c>
      <c r="G56" s="104">
        <f t="shared" si="4"/>
        <v>421.11631349371396</v>
      </c>
      <c r="H56" s="104">
        <v>4</v>
      </c>
      <c r="I56" s="104">
        <f t="shared" si="5"/>
        <v>471.24663600000002</v>
      </c>
      <c r="J56" s="104">
        <f t="shared" si="6"/>
        <v>897.885371009339</v>
      </c>
      <c r="K56" s="104">
        <f t="shared" si="7"/>
        <v>5754.609375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6652.494746009339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7087</v>
      </c>
      <c r="D57" s="104">
        <f t="shared" si="1"/>
        <v>0.6015625</v>
      </c>
      <c r="E57" s="104">
        <f t="shared" si="2"/>
        <v>7087.6015625</v>
      </c>
      <c r="F57" s="104">
        <f t="shared" si="3"/>
        <v>2.1517812280840237E-2</v>
      </c>
      <c r="G57" s="104">
        <f t="shared" si="4"/>
        <v>753.12342982940834</v>
      </c>
      <c r="H57" s="104">
        <v>4</v>
      </c>
      <c r="I57" s="104">
        <f t="shared" si="5"/>
        <v>471.24663600000002</v>
      </c>
      <c r="J57" s="104">
        <f t="shared" si="6"/>
        <v>1229.8924873450333</v>
      </c>
      <c r="K57" s="104">
        <f t="shared" si="7"/>
        <v>5754.609375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6984.5018623450333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718.5</v>
      </c>
      <c r="D58" s="104">
        <f t="shared" si="1"/>
        <v>0.6015625</v>
      </c>
      <c r="E58" s="104">
        <f t="shared" si="2"/>
        <v>719.1015625</v>
      </c>
      <c r="F58" s="104">
        <f t="shared" si="3"/>
        <v>2.1831775243409649E-3</v>
      </c>
      <c r="G58" s="104">
        <f t="shared" si="4"/>
        <v>76.411213351933768</v>
      </c>
      <c r="H58" s="104">
        <v>3</v>
      </c>
      <c r="I58" s="104">
        <f t="shared" si="5"/>
        <v>353.434977</v>
      </c>
      <c r="J58" s="104">
        <f t="shared" si="6"/>
        <v>435.3686118675588</v>
      </c>
      <c r="K58" s="104">
        <f t="shared" si="7"/>
        <v>5754.609375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6189.9779868675587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12782</v>
      </c>
      <c r="D59" s="104">
        <f t="shared" si="1"/>
        <v>0.6015625</v>
      </c>
      <c r="E59" s="104">
        <f t="shared" si="2"/>
        <v>12782.6015625</v>
      </c>
      <c r="F59" s="104">
        <f t="shared" si="3"/>
        <v>3.8807714916981144E-2</v>
      </c>
      <c r="G59" s="104">
        <f t="shared" si="4"/>
        <v>1358.27002209434</v>
      </c>
      <c r="H59" s="104">
        <v>3</v>
      </c>
      <c r="I59" s="104">
        <f t="shared" si="5"/>
        <v>353.434977</v>
      </c>
      <c r="J59" s="104">
        <f t="shared" si="6"/>
        <v>1717.2274206099651</v>
      </c>
      <c r="K59" s="104">
        <f t="shared" si="7"/>
        <v>5754.609375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7471.8367956099646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1829.5</v>
      </c>
      <c r="D60" s="104">
        <f t="shared" si="1"/>
        <v>0.6015625</v>
      </c>
      <c r="E60" s="104">
        <f t="shared" si="2"/>
        <v>1830.1015625</v>
      </c>
      <c r="F60" s="104">
        <f t="shared" si="3"/>
        <v>5.5561506285995328E-3</v>
      </c>
      <c r="G60" s="104">
        <f t="shared" si="4"/>
        <v>194.46527200098365</v>
      </c>
      <c r="H60" s="104">
        <v>3</v>
      </c>
      <c r="I60" s="104">
        <f t="shared" si="5"/>
        <v>353.434977</v>
      </c>
      <c r="J60" s="104">
        <f t="shared" si="6"/>
        <v>553.4226705166086</v>
      </c>
      <c r="K60" s="104">
        <f t="shared" si="7"/>
        <v>5754.609375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6308.0320455166084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250</v>
      </c>
      <c r="D61" s="104">
        <f t="shared" si="1"/>
        <v>0.6015625</v>
      </c>
      <c r="E61" s="104">
        <f t="shared" si="2"/>
        <v>250.6015625</v>
      </c>
      <c r="F61" s="104">
        <f t="shared" si="3"/>
        <v>7.6082117929583497E-4</v>
      </c>
      <c r="G61" s="104">
        <f t="shared" si="4"/>
        <v>26.628741275354223</v>
      </c>
      <c r="H61" s="104">
        <v>3</v>
      </c>
      <c r="I61" s="104">
        <f t="shared" si="5"/>
        <v>353.434977</v>
      </c>
      <c r="J61" s="104">
        <f t="shared" si="6"/>
        <v>385.58613979097925</v>
      </c>
      <c r="K61" s="104">
        <f t="shared" si="7"/>
        <v>5754.609375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6140.1955147909794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3053.5</v>
      </c>
      <c r="D62" s="104">
        <f t="shared" si="1"/>
        <v>0.6015625</v>
      </c>
      <c r="E62" s="104">
        <f t="shared" si="2"/>
        <v>3054.1015625</v>
      </c>
      <c r="F62" s="104">
        <f t="shared" si="3"/>
        <v>9.2721894041283247E-3</v>
      </c>
      <c r="G62" s="104">
        <f t="shared" si="4"/>
        <v>324.52662914449138</v>
      </c>
      <c r="H62" s="104">
        <v>4</v>
      </c>
      <c r="I62" s="104">
        <f t="shared" si="5"/>
        <v>471.24663600000002</v>
      </c>
      <c r="J62" s="104">
        <f t="shared" si="6"/>
        <v>801.29568666011642</v>
      </c>
      <c r="K62" s="104">
        <f t="shared" si="7"/>
        <v>5754.609375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6555.9050616601162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2611.5</v>
      </c>
      <c r="D63" s="104">
        <f t="shared" si="1"/>
        <v>0.6015625</v>
      </c>
      <c r="E63" s="104">
        <f t="shared" si="2"/>
        <v>2612.1015625</v>
      </c>
      <c r="F63" s="104">
        <f t="shared" si="3"/>
        <v>7.9302865129651495E-3</v>
      </c>
      <c r="G63" s="104">
        <f t="shared" si="4"/>
        <v>277.56002795378021</v>
      </c>
      <c r="H63" s="104">
        <v>3</v>
      </c>
      <c r="I63" s="104">
        <f t="shared" si="5"/>
        <v>353.434977</v>
      </c>
      <c r="J63" s="104">
        <f t="shared" si="6"/>
        <v>636.51742646940522</v>
      </c>
      <c r="K63" s="104">
        <f t="shared" si="7"/>
        <v>5754.609375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7141.1268014694051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756.5</v>
      </c>
      <c r="D64" s="104">
        <f t="shared" si="1"/>
        <v>0.6015625</v>
      </c>
      <c r="E64" s="104">
        <f t="shared" si="2"/>
        <v>757.1015625</v>
      </c>
      <c r="F64" s="104">
        <f t="shared" si="3"/>
        <v>2.2985447412282966E-3</v>
      </c>
      <c r="G64" s="104">
        <f t="shared" si="4"/>
        <v>80.449065942990387</v>
      </c>
      <c r="H64" s="104">
        <v>3</v>
      </c>
      <c r="I64" s="104">
        <f t="shared" si="5"/>
        <v>353.434977</v>
      </c>
      <c r="J64" s="104">
        <f t="shared" si="6"/>
        <v>439.4064644586154</v>
      </c>
      <c r="K64" s="104">
        <f t="shared" si="7"/>
        <v>5754.609375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6194.0158394586151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1411.5</v>
      </c>
      <c r="D65" s="104">
        <f t="shared" si="1"/>
        <v>0.6015625</v>
      </c>
      <c r="E65" s="104">
        <f t="shared" si="2"/>
        <v>1412.1015625</v>
      </c>
      <c r="F65" s="104">
        <f t="shared" si="3"/>
        <v>4.2871112428388833E-3</v>
      </c>
      <c r="G65" s="104">
        <f t="shared" si="4"/>
        <v>150.0488934993609</v>
      </c>
      <c r="H65" s="104">
        <v>3</v>
      </c>
      <c r="I65" s="104">
        <f t="shared" si="5"/>
        <v>353.434977</v>
      </c>
      <c r="J65" s="104">
        <f t="shared" si="6"/>
        <v>509.00629201498589</v>
      </c>
      <c r="K65" s="104">
        <f t="shared" si="7"/>
        <v>5754.609375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6263.6156670149858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670</v>
      </c>
      <c r="D66" s="104">
        <f t="shared" si="1"/>
        <v>0.6015625</v>
      </c>
      <c r="E66" s="104">
        <f t="shared" si="2"/>
        <v>670.6015625</v>
      </c>
      <c r="F66" s="104">
        <f t="shared" si="3"/>
        <v>2.0359325238400281E-3</v>
      </c>
      <c r="G66" s="104">
        <f t="shared" si="4"/>
        <v>71.25763833440098</v>
      </c>
      <c r="H66" s="104">
        <v>4</v>
      </c>
      <c r="I66" s="104">
        <f t="shared" si="5"/>
        <v>471.24663600000002</v>
      </c>
      <c r="J66" s="104">
        <f t="shared" si="6"/>
        <v>548.02669585002604</v>
      </c>
      <c r="K66" s="104">
        <f t="shared" si="7"/>
        <v>5754.609375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6302.636070850026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2768.5</v>
      </c>
      <c r="D67" s="104">
        <f t="shared" si="1"/>
        <v>0.6015625</v>
      </c>
      <c r="E67" s="104">
        <f t="shared" si="2"/>
        <v>2769.1015625</v>
      </c>
      <c r="F67" s="104">
        <f t="shared" si="3"/>
        <v>8.4069352774733368E-3</v>
      </c>
      <c r="G67" s="104">
        <f t="shared" si="4"/>
        <v>294.24273471156681</v>
      </c>
      <c r="H67" s="104">
        <v>4</v>
      </c>
      <c r="I67" s="104">
        <f t="shared" si="5"/>
        <v>471.24663600000002</v>
      </c>
      <c r="J67" s="104">
        <f t="shared" si="6"/>
        <v>771.01179222719179</v>
      </c>
      <c r="K67" s="104">
        <f t="shared" si="7"/>
        <v>5754.609375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6525.621167227192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8532</v>
      </c>
      <c r="D68" s="104">
        <f t="shared" si="1"/>
        <v>0.6015625</v>
      </c>
      <c r="E68" s="104">
        <f t="shared" si="2"/>
        <v>8532.6015625</v>
      </c>
      <c r="F68" s="104">
        <f t="shared" si="3"/>
        <v>2.5904802501950618E-2</v>
      </c>
      <c r="G68" s="104">
        <f t="shared" si="4"/>
        <v>906.66808756827163</v>
      </c>
      <c r="H68" s="104">
        <v>4</v>
      </c>
      <c r="I68" s="104">
        <f t="shared" si="5"/>
        <v>471.24663600000002</v>
      </c>
      <c r="J68" s="104">
        <f t="shared" si="6"/>
        <v>1383.4371450838967</v>
      </c>
      <c r="K68" s="104">
        <f t="shared" si="7"/>
        <v>5754.609375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7138.0465200838971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4513</v>
      </c>
      <c r="D69" s="104">
        <f t="shared" si="1"/>
        <v>0.6015625</v>
      </c>
      <c r="E69" s="104">
        <f t="shared" si="2"/>
        <v>4513.6015625</v>
      </c>
      <c r="F69" s="104">
        <f t="shared" si="3"/>
        <v>1.3703201326419397E-2</v>
      </c>
      <c r="G69" s="104">
        <f t="shared" si="4"/>
        <v>479.61204642467891</v>
      </c>
      <c r="H69" s="104">
        <v>3</v>
      </c>
      <c r="I69" s="104">
        <f t="shared" si="5"/>
        <v>353.434977</v>
      </c>
      <c r="J69" s="104">
        <f t="shared" si="6"/>
        <v>838.56944494030392</v>
      </c>
      <c r="K69" s="104">
        <f t="shared" si="7"/>
        <v>5754.609375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6593.1788199403036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329383</v>
      </c>
      <c r="D70" s="104">
        <f t="shared" ref="D70:E70" si="9">SUM(D3:D69)</f>
        <v>38.5</v>
      </c>
      <c r="E70" s="104">
        <f t="shared" si="9"/>
        <v>329383</v>
      </c>
      <c r="F70" s="104">
        <f t="shared" si="3"/>
        <v>1</v>
      </c>
      <c r="G70" s="104">
        <f t="shared" ref="G70:O70" si="10">SUM(G3:G69)</f>
        <v>35000</v>
      </c>
      <c r="H70" s="104">
        <f t="shared" si="10"/>
        <v>223</v>
      </c>
      <c r="I70" s="104">
        <f t="shared" si="10"/>
        <v>26271.999957000018</v>
      </c>
      <c r="J70" s="104">
        <f t="shared" si="10"/>
        <v>61625.434933999997</v>
      </c>
      <c r="K70" s="104">
        <f t="shared" si="10"/>
        <v>368295</v>
      </c>
      <c r="L70" s="104">
        <f t="shared" si="10"/>
        <v>3000</v>
      </c>
      <c r="M70" s="104">
        <f t="shared" si="10"/>
        <v>500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433066.99995700002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45931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5148</v>
      </c>
      <c r="D5" s="87">
        <v>45945</v>
      </c>
      <c r="F5" s="86"/>
      <c r="H5" s="72"/>
      <c r="K5" s="46">
        <f t="shared" si="0"/>
        <v>5148</v>
      </c>
    </row>
    <row r="6" spans="1:11" ht="15" customHeight="1">
      <c r="A6" s="41" t="s">
        <v>35</v>
      </c>
      <c r="B6" s="13" t="s">
        <v>270</v>
      </c>
      <c r="C6" s="73">
        <v>5209.99</v>
      </c>
      <c r="D6" s="86">
        <v>45942</v>
      </c>
      <c r="F6" s="86"/>
      <c r="H6" s="71"/>
      <c r="K6" s="46">
        <f t="shared" si="0"/>
        <v>5209.99</v>
      </c>
    </row>
    <row r="7" spans="1:11" ht="15" customHeight="1">
      <c r="A7" s="41" t="s">
        <v>37</v>
      </c>
      <c r="B7" s="13" t="s">
        <v>38</v>
      </c>
      <c r="C7" s="46">
        <v>5135</v>
      </c>
      <c r="D7" s="87">
        <v>45959</v>
      </c>
      <c r="F7" s="86"/>
      <c r="H7" s="72"/>
      <c r="K7" s="46">
        <f t="shared" si="0"/>
        <v>5135</v>
      </c>
    </row>
    <row r="8" spans="1:11" ht="15" customHeight="1">
      <c r="A8" s="41" t="s">
        <v>40</v>
      </c>
      <c r="B8" s="13" t="s">
        <v>41</v>
      </c>
      <c r="D8" s="86"/>
      <c r="E8" s="42"/>
      <c r="F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73">
        <v>4769</v>
      </c>
      <c r="D9" s="86">
        <v>45948</v>
      </c>
      <c r="F9" s="86"/>
      <c r="H9" s="71"/>
      <c r="K9" s="46">
        <f t="shared" si="0"/>
        <v>4769</v>
      </c>
    </row>
    <row r="10" spans="1:11" ht="15" customHeight="1">
      <c r="A10" s="41" t="s">
        <v>46</v>
      </c>
      <c r="B10" s="13" t="s">
        <v>47</v>
      </c>
      <c r="C10" s="73">
        <v>5031</v>
      </c>
      <c r="D10" s="87">
        <v>45954</v>
      </c>
      <c r="F10" s="86"/>
      <c r="H10" s="71"/>
      <c r="K10" s="46">
        <f t="shared" si="0"/>
        <v>5031</v>
      </c>
    </row>
    <row r="11" spans="1:11" ht="15" customHeight="1">
      <c r="A11" s="41" t="s">
        <v>49</v>
      </c>
      <c r="B11" s="13" t="s">
        <v>50</v>
      </c>
      <c r="C11" s="46">
        <v>5794</v>
      </c>
      <c r="D11" s="87">
        <v>45943</v>
      </c>
      <c r="F11" s="86"/>
      <c r="H11" s="72"/>
      <c r="K11" s="46">
        <f t="shared" si="0"/>
        <v>5794</v>
      </c>
    </row>
    <row r="12" spans="1:11" ht="15" customHeight="1">
      <c r="A12" s="41" t="s">
        <v>52</v>
      </c>
      <c r="B12" s="13" t="s">
        <v>166</v>
      </c>
      <c r="C12" s="73">
        <v>4780</v>
      </c>
      <c r="D12" s="86">
        <v>45948</v>
      </c>
      <c r="F12" s="86"/>
      <c r="H12" s="71"/>
      <c r="K12" s="46">
        <f t="shared" si="0"/>
        <v>4780</v>
      </c>
    </row>
    <row r="13" spans="1:11" ht="15" customHeight="1">
      <c r="A13" s="41" t="s">
        <v>55</v>
      </c>
      <c r="B13" s="13" t="s">
        <v>56</v>
      </c>
      <c r="C13" s="46">
        <v>4741</v>
      </c>
      <c r="D13" s="86">
        <v>45943</v>
      </c>
      <c r="F13" s="86"/>
      <c r="H13" s="71"/>
      <c r="K13" s="46">
        <f t="shared" si="0"/>
        <v>4741</v>
      </c>
    </row>
    <row r="14" spans="1:11" ht="15" customHeight="1">
      <c r="A14" s="41" t="s">
        <v>58</v>
      </c>
      <c r="B14" s="13" t="s">
        <v>59</v>
      </c>
      <c r="C14" s="73">
        <v>5226</v>
      </c>
      <c r="D14" s="86">
        <v>45946</v>
      </c>
      <c r="E14" s="42"/>
      <c r="F14" s="86"/>
      <c r="G14" s="42"/>
      <c r="H14" s="71"/>
      <c r="K14" s="46">
        <f t="shared" si="0"/>
        <v>5226</v>
      </c>
    </row>
    <row r="15" spans="1:11" ht="15" customHeight="1">
      <c r="A15" s="41" t="s">
        <v>61</v>
      </c>
      <c r="B15" s="13" t="s">
        <v>62</v>
      </c>
      <c r="C15" s="46">
        <v>4975</v>
      </c>
      <c r="D15" s="86">
        <v>45946</v>
      </c>
      <c r="F15" s="86"/>
      <c r="H15" s="72"/>
      <c r="K15" s="46">
        <f t="shared" si="0"/>
        <v>4975</v>
      </c>
    </row>
    <row r="16" spans="1:11" ht="15" customHeight="1">
      <c r="A16" s="41" t="s">
        <v>63</v>
      </c>
      <c r="B16" s="13" t="s">
        <v>64</v>
      </c>
      <c r="C16" s="73">
        <v>5911</v>
      </c>
      <c r="D16" s="86">
        <v>45946</v>
      </c>
      <c r="F16" s="86"/>
      <c r="H16" s="71"/>
      <c r="K16" s="46">
        <f t="shared" si="0"/>
        <v>5911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6">
        <v>5603</v>
      </c>
      <c r="D18" s="87">
        <v>45947</v>
      </c>
      <c r="E18" s="46"/>
      <c r="F18" s="86"/>
      <c r="H18" s="72"/>
      <c r="K18" s="46">
        <f t="shared" si="0"/>
        <v>5603</v>
      </c>
    </row>
    <row r="19" spans="1:11" ht="15" customHeight="1">
      <c r="A19" s="41" t="s">
        <v>69</v>
      </c>
      <c r="B19" s="13" t="s">
        <v>70</v>
      </c>
      <c r="C19" s="73">
        <v>7311.21</v>
      </c>
      <c r="D19" s="86">
        <v>45952</v>
      </c>
      <c r="F19" s="86"/>
      <c r="H19" s="71"/>
      <c r="K19" s="46">
        <f t="shared" si="0"/>
        <v>7311.21</v>
      </c>
    </row>
    <row r="20" spans="1:11" ht="15" customHeight="1">
      <c r="A20" s="41" t="s">
        <v>71</v>
      </c>
      <c r="B20" s="13" t="s">
        <v>72</v>
      </c>
      <c r="C20" s="73">
        <v>5742</v>
      </c>
      <c r="D20" s="86">
        <v>45953</v>
      </c>
      <c r="F20" s="86"/>
      <c r="H20" s="71"/>
      <c r="K20" s="46">
        <f t="shared" si="0"/>
        <v>5742</v>
      </c>
    </row>
    <row r="21" spans="1:11" ht="15" customHeight="1">
      <c r="A21" s="41" t="s">
        <v>73</v>
      </c>
      <c r="B21" s="13" t="s">
        <v>74</v>
      </c>
      <c r="C21" s="73">
        <v>6287</v>
      </c>
      <c r="D21" s="86">
        <v>45946</v>
      </c>
      <c r="F21" s="86"/>
      <c r="H21" s="71"/>
      <c r="K21" s="46">
        <f t="shared" si="0"/>
        <v>6287</v>
      </c>
    </row>
    <row r="22" spans="1:11" ht="16">
      <c r="A22" s="41" t="s">
        <v>75</v>
      </c>
      <c r="B22" s="13" t="s">
        <v>76</v>
      </c>
      <c r="C22" s="46">
        <v>6000</v>
      </c>
      <c r="D22" s="86">
        <v>45953</v>
      </c>
      <c r="F22" s="86"/>
      <c r="H22" s="72"/>
      <c r="K22" s="46">
        <f t="shared" si="0"/>
        <v>6000</v>
      </c>
    </row>
    <row r="23" spans="1:11" ht="1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">
      <c r="A24" s="41" t="s">
        <v>79</v>
      </c>
      <c r="B24" s="13" t="s">
        <v>80</v>
      </c>
      <c r="C24" s="73">
        <v>5264</v>
      </c>
      <c r="D24" s="86">
        <v>45951</v>
      </c>
      <c r="F24" s="86"/>
      <c r="H24" s="71"/>
      <c r="K24" s="46">
        <f t="shared" si="0"/>
        <v>5264</v>
      </c>
    </row>
    <row r="25" spans="1:11" ht="1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">
      <c r="A26" s="41" t="s">
        <v>83</v>
      </c>
      <c r="B26" s="13" t="s">
        <v>191</v>
      </c>
      <c r="C26" s="73">
        <v>5500</v>
      </c>
      <c r="D26" s="86">
        <v>45941</v>
      </c>
      <c r="F26" s="86"/>
      <c r="H26" s="71"/>
      <c r="K26" s="46">
        <f t="shared" si="0"/>
        <v>5500</v>
      </c>
    </row>
    <row r="27" spans="1:11" ht="16">
      <c r="A27" s="41" t="s">
        <v>85</v>
      </c>
      <c r="B27" s="13" t="s">
        <v>86</v>
      </c>
      <c r="C27" s="46"/>
      <c r="D27" s="87"/>
      <c r="F27" s="86"/>
      <c r="H27" s="72"/>
      <c r="K27" s="46">
        <f t="shared" si="0"/>
        <v>0</v>
      </c>
    </row>
    <row r="28" spans="1:11" ht="16">
      <c r="A28" s="41" t="s">
        <v>87</v>
      </c>
      <c r="B28" s="13" t="s">
        <v>88</v>
      </c>
      <c r="C28" s="73">
        <v>4935</v>
      </c>
      <c r="D28" s="86">
        <v>45945</v>
      </c>
      <c r="F28" s="86"/>
      <c r="H28" s="71"/>
      <c r="K28" s="46">
        <f t="shared" si="0"/>
        <v>4935</v>
      </c>
    </row>
    <row r="29" spans="1:11" ht="16">
      <c r="A29" s="41" t="s">
        <v>89</v>
      </c>
      <c r="B29" s="13" t="s">
        <v>90</v>
      </c>
      <c r="C29" s="73">
        <v>4978</v>
      </c>
      <c r="D29" s="86">
        <v>45956</v>
      </c>
      <c r="F29" s="86"/>
      <c r="H29" s="71"/>
      <c r="K29" s="46">
        <f t="shared" si="0"/>
        <v>4978</v>
      </c>
    </row>
    <row r="30" spans="1:11" ht="1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73">
        <v>5304</v>
      </c>
      <c r="D31" s="86">
        <v>45945</v>
      </c>
      <c r="F31" s="86"/>
      <c r="H31" s="71"/>
      <c r="K31" s="46">
        <f t="shared" si="0"/>
        <v>5304</v>
      </c>
    </row>
    <row r="32" spans="1:11" ht="1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">
      <c r="A33" s="41" t="s">
        <v>97</v>
      </c>
      <c r="B33" s="13" t="s">
        <v>98</v>
      </c>
      <c r="C33" s="73">
        <v>4944</v>
      </c>
      <c r="D33" s="86">
        <v>45953</v>
      </c>
      <c r="F33" s="86"/>
      <c r="H33" s="71"/>
      <c r="K33" s="46">
        <f t="shared" si="0"/>
        <v>4944</v>
      </c>
    </row>
    <row r="34" spans="1:11" ht="16">
      <c r="A34" s="41" t="s">
        <v>99</v>
      </c>
      <c r="B34" s="13" t="s">
        <v>100</v>
      </c>
      <c r="C34" s="73">
        <v>4841.04</v>
      </c>
      <c r="D34" s="86">
        <v>45943</v>
      </c>
      <c r="F34" s="86"/>
      <c r="H34" s="71"/>
      <c r="K34" s="46">
        <f t="shared" si="0"/>
        <v>4841.04</v>
      </c>
    </row>
    <row r="35" spans="1:11" ht="1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">
      <c r="A36" s="41" t="s">
        <v>103</v>
      </c>
      <c r="B36" s="13" t="s">
        <v>104</v>
      </c>
      <c r="C36" s="46">
        <v>4997</v>
      </c>
      <c r="D36" s="87">
        <v>45952</v>
      </c>
      <c r="F36" s="86"/>
      <c r="H36" s="72"/>
      <c r="K36" s="46">
        <f t="shared" si="0"/>
        <v>4997</v>
      </c>
    </row>
    <row r="37" spans="1:11" ht="1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">
      <c r="A38" s="41" t="s">
        <v>107</v>
      </c>
      <c r="B38" s="13" t="s">
        <v>108</v>
      </c>
      <c r="C38" s="73">
        <v>4935</v>
      </c>
      <c r="D38" s="86">
        <v>45950</v>
      </c>
      <c r="F38" s="86"/>
      <c r="H38" s="71"/>
      <c r="K38" s="46">
        <f t="shared" si="0"/>
        <v>4935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4741</v>
      </c>
      <c r="D40" s="86">
        <v>45955</v>
      </c>
      <c r="F40" s="86"/>
      <c r="H40" s="71"/>
      <c r="K40" s="46">
        <f t="shared" si="0"/>
        <v>4741</v>
      </c>
    </row>
    <row r="41" spans="1:11" ht="16">
      <c r="A41" s="41" t="s">
        <v>113</v>
      </c>
      <c r="B41" s="13" t="s">
        <v>114</v>
      </c>
      <c r="C41" s="73">
        <v>5862.45</v>
      </c>
      <c r="D41" s="86">
        <v>45956</v>
      </c>
      <c r="F41" s="86"/>
      <c r="H41" s="71"/>
      <c r="K41" s="46">
        <f t="shared" si="0"/>
        <v>5862.45</v>
      </c>
    </row>
    <row r="42" spans="1:11" ht="16">
      <c r="A42" s="41" t="s">
        <v>115</v>
      </c>
      <c r="B42" s="13" t="s">
        <v>116</v>
      </c>
      <c r="C42" s="73">
        <v>5205</v>
      </c>
      <c r="D42" s="86">
        <v>45947</v>
      </c>
      <c r="F42" s="86"/>
      <c r="H42" s="71"/>
      <c r="K42" s="46">
        <f t="shared" si="0"/>
        <v>5205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73">
        <v>5151</v>
      </c>
      <c r="D44" s="86">
        <v>45945</v>
      </c>
      <c r="F44" s="86"/>
      <c r="H44" s="71"/>
      <c r="K44" s="46">
        <f t="shared" si="0"/>
        <v>5151</v>
      </c>
    </row>
    <row r="45" spans="1:11" ht="16">
      <c r="A45" s="41" t="s">
        <v>121</v>
      </c>
      <c r="B45" s="13" t="s">
        <v>122</v>
      </c>
      <c r="C45" s="73"/>
      <c r="D45" s="86"/>
      <c r="F45" s="86"/>
      <c r="H45" s="71"/>
      <c r="K45" s="46">
        <f t="shared" si="0"/>
        <v>0</v>
      </c>
    </row>
    <row r="46" spans="1:11" ht="16">
      <c r="A46" s="41" t="s">
        <v>123</v>
      </c>
      <c r="B46" s="13" t="s">
        <v>124</v>
      </c>
      <c r="C46" s="73">
        <v>5067</v>
      </c>
      <c r="D46" s="86">
        <v>45946</v>
      </c>
      <c r="E46" s="42"/>
      <c r="F46" s="86"/>
      <c r="G46" s="42"/>
      <c r="H46" s="71"/>
      <c r="K46" s="46">
        <f t="shared" si="0"/>
        <v>5067</v>
      </c>
    </row>
    <row r="47" spans="1:11" ht="16">
      <c r="A47" s="41" t="s">
        <v>125</v>
      </c>
      <c r="B47" s="13" t="s">
        <v>126</v>
      </c>
      <c r="C47" s="40">
        <v>17240</v>
      </c>
      <c r="D47" s="87">
        <v>45933</v>
      </c>
      <c r="F47" s="86"/>
      <c r="H47" s="72"/>
      <c r="K47" s="40">
        <f t="shared" si="0"/>
        <v>17240</v>
      </c>
    </row>
    <row r="48" spans="1:11" ht="16">
      <c r="A48" s="41" t="s">
        <v>127</v>
      </c>
      <c r="B48" s="13" t="s">
        <v>128</v>
      </c>
      <c r="C48" s="73">
        <v>6032</v>
      </c>
      <c r="D48" s="86">
        <v>45944</v>
      </c>
      <c r="F48" s="86"/>
      <c r="H48" s="71"/>
      <c r="K48" s="46">
        <f t="shared" si="0"/>
        <v>6032</v>
      </c>
    </row>
    <row r="49" spans="1:11" ht="16">
      <c r="A49" s="41" t="s">
        <v>129</v>
      </c>
      <c r="B49" s="13" t="s">
        <v>130</v>
      </c>
      <c r="C49" s="46">
        <v>5084</v>
      </c>
      <c r="D49" s="87">
        <v>45943</v>
      </c>
      <c r="F49" s="86"/>
      <c r="H49" s="72"/>
      <c r="K49" s="46">
        <f t="shared" si="0"/>
        <v>5084</v>
      </c>
    </row>
    <row r="50" spans="1:11" ht="16">
      <c r="A50" s="41" t="s">
        <v>131</v>
      </c>
      <c r="B50" s="13" t="s">
        <v>132</v>
      </c>
      <c r="C50" s="73">
        <v>6026</v>
      </c>
      <c r="D50" s="47">
        <v>45943</v>
      </c>
      <c r="F50" s="86"/>
      <c r="H50" s="71"/>
      <c r="K50" s="46">
        <f t="shared" si="0"/>
        <v>6026</v>
      </c>
    </row>
    <row r="51" spans="1:11" ht="16">
      <c r="A51" s="41" t="s">
        <v>133</v>
      </c>
      <c r="B51" s="13" t="s">
        <v>134</v>
      </c>
      <c r="C51" s="46">
        <v>5775</v>
      </c>
      <c r="D51" s="87">
        <v>45953</v>
      </c>
      <c r="F51" s="86"/>
      <c r="H51" s="72"/>
      <c r="K51" s="46">
        <f t="shared" si="0"/>
        <v>5775</v>
      </c>
    </row>
    <row r="52" spans="1:11" ht="16">
      <c r="A52" s="41" t="s">
        <v>135</v>
      </c>
      <c r="B52" s="13" t="s">
        <v>136</v>
      </c>
      <c r="C52" s="73">
        <v>5605</v>
      </c>
      <c r="D52" s="86">
        <v>45944</v>
      </c>
      <c r="F52" s="86"/>
      <c r="H52" s="71"/>
      <c r="K52" s="46">
        <f t="shared" si="0"/>
        <v>5605</v>
      </c>
    </row>
    <row r="53" spans="1:11" ht="1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73">
        <v>4776</v>
      </c>
      <c r="D54" s="86">
        <v>45955</v>
      </c>
      <c r="F54" s="86"/>
      <c r="H54" s="71"/>
      <c r="K54" s="46">
        <f t="shared" si="0"/>
        <v>4776</v>
      </c>
    </row>
    <row r="55" spans="1:11" ht="16">
      <c r="A55" s="41" t="s">
        <v>141</v>
      </c>
      <c r="B55" s="13" t="s">
        <v>142</v>
      </c>
      <c r="C55" s="46">
        <v>6296</v>
      </c>
      <c r="D55" s="87">
        <v>45943</v>
      </c>
      <c r="F55" s="86"/>
      <c r="H55" s="72"/>
      <c r="K55" s="46">
        <f t="shared" si="0"/>
        <v>6296</v>
      </c>
    </row>
    <row r="56" spans="1:11" ht="16">
      <c r="A56" s="41" t="s">
        <v>143</v>
      </c>
      <c r="B56" s="13" t="s">
        <v>144</v>
      </c>
      <c r="C56" s="42"/>
      <c r="D56" s="86"/>
      <c r="F56" s="86"/>
      <c r="H56" s="71"/>
      <c r="K56" s="40">
        <f t="shared" si="0"/>
        <v>0</v>
      </c>
    </row>
    <row r="57" spans="1:11" ht="16">
      <c r="A57" s="41" t="s">
        <v>145</v>
      </c>
      <c r="B57" s="13" t="s">
        <v>146</v>
      </c>
      <c r="C57" s="46">
        <v>4881</v>
      </c>
      <c r="D57" s="87">
        <v>45955</v>
      </c>
      <c r="F57" s="86"/>
      <c r="H57" s="72"/>
      <c r="K57" s="46">
        <f t="shared" si="0"/>
        <v>4881</v>
      </c>
    </row>
    <row r="58" spans="1:11" ht="16">
      <c r="A58" s="41" t="s">
        <v>147</v>
      </c>
      <c r="B58" s="13" t="s">
        <v>148</v>
      </c>
      <c r="C58" s="46">
        <v>5245</v>
      </c>
      <c r="D58" s="87">
        <v>45944</v>
      </c>
      <c r="F58" s="86"/>
      <c r="H58" s="72"/>
      <c r="K58" s="46">
        <f t="shared" si="0"/>
        <v>5245</v>
      </c>
    </row>
    <row r="59" spans="1:11" ht="16">
      <c r="A59" s="41" t="s">
        <v>149</v>
      </c>
      <c r="B59" s="13" t="s">
        <v>36</v>
      </c>
      <c r="C59" s="73">
        <v>5796</v>
      </c>
      <c r="D59" s="86">
        <v>45944</v>
      </c>
      <c r="F59" s="86"/>
      <c r="H59" s="71"/>
      <c r="K59" s="46">
        <f t="shared" si="0"/>
        <v>5796</v>
      </c>
    </row>
    <row r="60" spans="1:11" ht="16">
      <c r="A60" s="41" t="s">
        <v>150</v>
      </c>
      <c r="B60" s="13" t="s">
        <v>151</v>
      </c>
      <c r="C60" s="73">
        <v>5176</v>
      </c>
      <c r="D60" s="86">
        <v>45943</v>
      </c>
      <c r="F60" s="86"/>
      <c r="H60" s="71"/>
      <c r="K60" s="46">
        <f t="shared" si="0"/>
        <v>5176</v>
      </c>
    </row>
    <row r="61" spans="1:11" ht="16">
      <c r="A61" s="41" t="s">
        <v>152</v>
      </c>
      <c r="B61" s="13" t="s">
        <v>153</v>
      </c>
      <c r="C61" s="46">
        <v>4826.82</v>
      </c>
      <c r="D61" s="86">
        <v>45943</v>
      </c>
      <c r="F61" s="86"/>
      <c r="H61" s="71"/>
      <c r="K61" s="46">
        <f t="shared" si="0"/>
        <v>4826.82</v>
      </c>
    </row>
    <row r="62" spans="1:11" ht="16">
      <c r="A62" s="41" t="s">
        <v>154</v>
      </c>
      <c r="B62" s="13" t="s">
        <v>155</v>
      </c>
      <c r="C62" s="40">
        <v>12000</v>
      </c>
      <c r="D62" s="49">
        <v>45931</v>
      </c>
      <c r="F62" s="86"/>
      <c r="H62" s="71"/>
      <c r="K62" s="40">
        <f t="shared" si="0"/>
        <v>12000</v>
      </c>
    </row>
    <row r="63" spans="1:11" ht="16">
      <c r="A63" s="41" t="s">
        <v>156</v>
      </c>
      <c r="B63" s="13" t="s">
        <v>157</v>
      </c>
      <c r="C63" s="46">
        <v>5237</v>
      </c>
      <c r="D63" s="87">
        <v>45959</v>
      </c>
      <c r="F63" s="86"/>
      <c r="H63" s="72"/>
      <c r="K63" s="46">
        <f t="shared" si="0"/>
        <v>5237</v>
      </c>
    </row>
    <row r="64" spans="1:11" ht="16">
      <c r="A64" s="41" t="s">
        <v>158</v>
      </c>
      <c r="B64" s="13" t="s">
        <v>159</v>
      </c>
      <c r="C64" s="73">
        <v>5511</v>
      </c>
      <c r="D64" s="86">
        <v>45960</v>
      </c>
      <c r="F64" s="86"/>
      <c r="H64" s="71"/>
      <c r="K64" s="46">
        <f t="shared" si="0"/>
        <v>5511</v>
      </c>
    </row>
    <row r="65" spans="1:27" ht="16">
      <c r="A65" s="41" t="s">
        <v>160</v>
      </c>
      <c r="B65" s="13" t="s">
        <v>161</v>
      </c>
      <c r="C65" s="73">
        <v>5154</v>
      </c>
      <c r="D65" s="86">
        <v>45957</v>
      </c>
      <c r="F65" s="86"/>
      <c r="H65" s="71"/>
      <c r="K65" s="46">
        <f t="shared" si="0"/>
        <v>5154</v>
      </c>
    </row>
    <row r="66" spans="1:27">
      <c r="A66" s="50" t="s">
        <v>162</v>
      </c>
      <c r="B66" s="51"/>
      <c r="C66" s="51"/>
      <c r="D66" s="88"/>
      <c r="E66" s="51"/>
      <c r="F66" s="86"/>
      <c r="G66" s="51"/>
      <c r="H66" s="76"/>
      <c r="I66" s="51"/>
      <c r="J66" s="51"/>
      <c r="K66" s="51">
        <f>SUM(K2:K65)</f>
        <v>276048.51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6.83203125" customWidth="1"/>
    <col min="10" max="10" width="28.1640625" customWidth="1"/>
    <col min="11" max="18" width="16.83203125" customWidth="1"/>
    <col min="19" max="19" width="44.5" customWidth="1"/>
    <col min="20" max="20" width="10.33203125" customWidth="1"/>
  </cols>
  <sheetData>
    <row r="1" spans="1:20" ht="16.5" customHeight="1">
      <c r="A1" s="104"/>
      <c r="B1" s="249" t="s">
        <v>271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19" t="s">
        <v>272</v>
      </c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17.5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7930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'ANNUAL-EXPENSE-DETAILS'!BF10</f>
        <v>389962</v>
      </c>
    </row>
    <row r="5" spans="1:20" ht="12.75" customHeight="1">
      <c r="A5" s="104" t="s">
        <v>22</v>
      </c>
      <c r="B5" s="108" t="s">
        <v>19</v>
      </c>
      <c r="C5" s="104"/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'ANNUAL-EXPENSE-DETAILS'!BE10</f>
        <v>39800</v>
      </c>
    </row>
    <row r="6" spans="1:20" ht="12.75" customHeight="1">
      <c r="A6" s="104" t="s">
        <v>24</v>
      </c>
      <c r="B6" s="13" t="s">
        <v>25</v>
      </c>
      <c r="C6" s="9">
        <v>1643.5</v>
      </c>
      <c r="D6" s="104">
        <f t="shared" ref="D6:D69" si="0">SUM($C$3:$C$5)/64</f>
        <v>124.1796875</v>
      </c>
      <c r="E6" s="104">
        <f t="shared" ref="E6:E69" si="1">C6+D6</f>
        <v>1767.6796875</v>
      </c>
      <c r="F6" s="104">
        <f t="shared" ref="F6:F70" si="2">IF($C$70=0, 0, E6/$C$70)</f>
        <v>4.3010127642542483E-3</v>
      </c>
      <c r="G6" s="104">
        <f t="shared" ref="G6:G69" si="3">F6*$T$5</f>
        <v>171.18030801731908</v>
      </c>
      <c r="H6" s="104">
        <v>3</v>
      </c>
      <c r="I6" s="104">
        <f t="shared" ref="I6:I69" si="4">$T$7*H6</f>
        <v>353.434977</v>
      </c>
      <c r="J6" s="104">
        <f t="shared" ref="J6:J69" si="5">G6+$T$9+I6</f>
        <v>530.13770653294409</v>
      </c>
      <c r="K6" s="104">
        <f t="shared" ref="K6:K69" si="6">$T$11/64</f>
        <v>6093.15625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30" si="7">(J6+K6+L6+M6+N6+O6)*$B$2</f>
        <v>6623.2939565329443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6154</v>
      </c>
      <c r="D7" s="104">
        <f t="shared" si="0"/>
        <v>124.1796875</v>
      </c>
      <c r="E7" s="104">
        <f t="shared" si="1"/>
        <v>6278.1796875</v>
      </c>
      <c r="F7" s="104">
        <f t="shared" si="2"/>
        <v>1.527569228925659E-2</v>
      </c>
      <c r="G7" s="104">
        <f t="shared" si="3"/>
        <v>607.97255311241224</v>
      </c>
      <c r="H7" s="104">
        <v>4</v>
      </c>
      <c r="I7" s="104">
        <f t="shared" si="4"/>
        <v>471.24663600000002</v>
      </c>
      <c r="J7" s="104">
        <f t="shared" si="5"/>
        <v>1084.7416106280373</v>
      </c>
      <c r="K7" s="104">
        <f t="shared" si="6"/>
        <v>6093.15625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7177.8978606280371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12942</v>
      </c>
      <c r="D8" s="104">
        <f t="shared" si="0"/>
        <v>124.1796875</v>
      </c>
      <c r="E8" s="104">
        <f t="shared" si="1"/>
        <v>13066.1796875</v>
      </c>
      <c r="F8" s="104">
        <f t="shared" si="2"/>
        <v>3.179184894943083E-2</v>
      </c>
      <c r="G8" s="104">
        <f t="shared" si="3"/>
        <v>1265.315588187347</v>
      </c>
      <c r="H8" s="104">
        <v>4</v>
      </c>
      <c r="I8" s="104">
        <f t="shared" si="4"/>
        <v>471.24663600000002</v>
      </c>
      <c r="J8" s="104">
        <f t="shared" si="5"/>
        <v>1742.084645702972</v>
      </c>
      <c r="K8" s="104">
        <f t="shared" si="6"/>
        <v>6093.15625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8585.2408957029729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4134</v>
      </c>
      <c r="D9" s="104">
        <f t="shared" si="0"/>
        <v>124.1796875</v>
      </c>
      <c r="E9" s="104">
        <f t="shared" si="1"/>
        <v>4258.1796875</v>
      </c>
      <c r="F9" s="104">
        <f t="shared" si="2"/>
        <v>1.0360748792858247E-2</v>
      </c>
      <c r="G9" s="104">
        <f t="shared" si="3"/>
        <v>412.35780195575825</v>
      </c>
      <c r="H9" s="104">
        <v>4</v>
      </c>
      <c r="I9" s="104">
        <f t="shared" si="4"/>
        <v>471.24663600000002</v>
      </c>
      <c r="J9" s="104">
        <f t="shared" si="5"/>
        <v>889.12685947138334</v>
      </c>
      <c r="K9" s="104">
        <f t="shared" si="6"/>
        <v>6093.15625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6982.2831094713838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5409.5</v>
      </c>
      <c r="D10" s="104">
        <f t="shared" si="0"/>
        <v>124.1796875</v>
      </c>
      <c r="E10" s="104">
        <f t="shared" si="1"/>
        <v>5533.6796875</v>
      </c>
      <c r="F10" s="104">
        <f t="shared" si="2"/>
        <v>1.3464219302588983E-2</v>
      </c>
      <c r="G10" s="104">
        <f t="shared" si="3"/>
        <v>535.87592824304147</v>
      </c>
      <c r="H10" s="104">
        <v>3</v>
      </c>
      <c r="I10" s="104">
        <f t="shared" si="4"/>
        <v>353.434977</v>
      </c>
      <c r="J10" s="104">
        <f t="shared" si="5"/>
        <v>894.83332675866643</v>
      </c>
      <c r="K10" s="104">
        <f t="shared" si="6"/>
        <v>6093.15625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6987.9895767586668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5463.5</v>
      </c>
      <c r="D11" s="104">
        <f t="shared" si="0"/>
        <v>124.1796875</v>
      </c>
      <c r="E11" s="104">
        <f t="shared" si="1"/>
        <v>5587.6796875</v>
      </c>
      <c r="F11" s="104">
        <f t="shared" si="2"/>
        <v>1.3595608881205572E-2</v>
      </c>
      <c r="G11" s="104">
        <f t="shared" si="3"/>
        <v>541.10523347198182</v>
      </c>
      <c r="H11" s="104">
        <v>3</v>
      </c>
      <c r="I11" s="104">
        <f t="shared" si="4"/>
        <v>353.434977</v>
      </c>
      <c r="J11" s="104">
        <f t="shared" si="5"/>
        <v>900.06263198760678</v>
      </c>
      <c r="K11" s="104">
        <f t="shared" si="6"/>
        <v>6093.15625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6993.2188819876064</v>
      </c>
      <c r="S11" s="113" t="s">
        <v>21</v>
      </c>
      <c r="T11" s="114">
        <f>'ANNUAL-EXPENSE-DETAILS'!BF10</f>
        <v>389962</v>
      </c>
    </row>
    <row r="12" spans="1:20" ht="12.75" customHeight="1">
      <c r="A12" s="104" t="s">
        <v>40</v>
      </c>
      <c r="B12" s="13" t="s">
        <v>41</v>
      </c>
      <c r="C12" s="9">
        <v>67.5</v>
      </c>
      <c r="D12" s="104">
        <f t="shared" si="0"/>
        <v>124.1796875</v>
      </c>
      <c r="E12" s="104">
        <f t="shared" si="1"/>
        <v>191.6796875</v>
      </c>
      <c r="F12" s="104">
        <f t="shared" si="2"/>
        <v>4.6638358092563958E-4</v>
      </c>
      <c r="G12" s="104">
        <f t="shared" si="3"/>
        <v>18.562066520840457</v>
      </c>
      <c r="H12" s="104">
        <v>3</v>
      </c>
      <c r="I12" s="104">
        <f t="shared" si="4"/>
        <v>353.434977</v>
      </c>
      <c r="J12" s="104">
        <f t="shared" si="5"/>
        <v>377.51946503646548</v>
      </c>
      <c r="K12" s="104">
        <f t="shared" si="6"/>
        <v>6093.15625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7220.6757150364656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10153.5</v>
      </c>
      <c r="D13" s="104">
        <f t="shared" si="0"/>
        <v>124.1796875</v>
      </c>
      <c r="E13" s="104">
        <f t="shared" si="1"/>
        <v>10277.6796875</v>
      </c>
      <c r="F13" s="104">
        <f t="shared" si="2"/>
        <v>2.5007037098090837E-2</v>
      </c>
      <c r="G13" s="104">
        <f t="shared" si="3"/>
        <v>995.28007650401526</v>
      </c>
      <c r="H13" s="104">
        <v>3</v>
      </c>
      <c r="I13" s="104">
        <f t="shared" si="4"/>
        <v>353.434977</v>
      </c>
      <c r="J13" s="104">
        <f t="shared" si="5"/>
        <v>1354.2374750196402</v>
      </c>
      <c r="K13" s="104">
        <f t="shared" si="6"/>
        <v>6093.15625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7447.3937250196404</v>
      </c>
      <c r="S13" s="107"/>
      <c r="T13" s="110"/>
    </row>
    <row r="14" spans="1:20" ht="12.75" customHeight="1">
      <c r="A14" s="104" t="s">
        <v>46</v>
      </c>
      <c r="B14" s="13" t="s">
        <v>47</v>
      </c>
      <c r="C14" s="9">
        <v>1753.5</v>
      </c>
      <c r="D14" s="104">
        <f t="shared" si="0"/>
        <v>124.1796875</v>
      </c>
      <c r="E14" s="104">
        <f t="shared" si="1"/>
        <v>1877.6796875</v>
      </c>
      <c r="F14" s="104">
        <f t="shared" si="2"/>
        <v>4.5686582021769303E-3</v>
      </c>
      <c r="G14" s="104">
        <f t="shared" si="3"/>
        <v>181.83259644664182</v>
      </c>
      <c r="H14" s="104">
        <v>4</v>
      </c>
      <c r="I14" s="104">
        <f t="shared" si="4"/>
        <v>471.24663600000002</v>
      </c>
      <c r="J14" s="104">
        <f t="shared" si="5"/>
        <v>658.60165396226682</v>
      </c>
      <c r="K14" s="104">
        <f t="shared" si="6"/>
        <v>6093.15625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6751.7579039622669</v>
      </c>
      <c r="S14" s="115" t="s">
        <v>273</v>
      </c>
      <c r="T14" s="116">
        <f>CEILING( I70,1)</f>
        <v>26272</v>
      </c>
    </row>
    <row r="15" spans="1:20" ht="12.75" customHeight="1">
      <c r="A15" s="104" t="s">
        <v>49</v>
      </c>
      <c r="B15" s="13" t="s">
        <v>50</v>
      </c>
      <c r="C15" s="9">
        <v>2803</v>
      </c>
      <c r="D15" s="104">
        <f t="shared" si="0"/>
        <v>124.1796875</v>
      </c>
      <c r="E15" s="104">
        <f t="shared" si="1"/>
        <v>2927.1796875</v>
      </c>
      <c r="F15" s="104">
        <f t="shared" si="2"/>
        <v>7.122238993993793E-3</v>
      </c>
      <c r="G15" s="104">
        <f t="shared" si="3"/>
        <v>283.46511196095298</v>
      </c>
      <c r="H15" s="104">
        <v>3</v>
      </c>
      <c r="I15" s="104">
        <f t="shared" si="4"/>
        <v>353.434977</v>
      </c>
      <c r="J15" s="104">
        <f t="shared" si="5"/>
        <v>642.42251047657805</v>
      </c>
      <c r="K15" s="104">
        <f t="shared" si="6"/>
        <v>6093.15625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6735.5787604765783</v>
      </c>
      <c r="S15" s="107"/>
      <c r="T15" s="110"/>
    </row>
    <row r="16" spans="1:20" ht="12.75" customHeight="1">
      <c r="A16" s="104" t="s">
        <v>52</v>
      </c>
      <c r="B16" s="13" t="s">
        <v>53</v>
      </c>
      <c r="C16" s="9">
        <v>596</v>
      </c>
      <c r="D16" s="104">
        <f t="shared" si="0"/>
        <v>124.1796875</v>
      </c>
      <c r="E16" s="104">
        <f t="shared" si="1"/>
        <v>720.1796875</v>
      </c>
      <c r="F16" s="104">
        <f t="shared" si="2"/>
        <v>1.7522982531268895E-3</v>
      </c>
      <c r="G16" s="104">
        <f t="shared" si="3"/>
        <v>69.741470474450196</v>
      </c>
      <c r="H16" s="104">
        <v>3</v>
      </c>
      <c r="I16" s="104">
        <f t="shared" si="4"/>
        <v>353.434977</v>
      </c>
      <c r="J16" s="104">
        <f t="shared" si="5"/>
        <v>428.6988689900752</v>
      </c>
      <c r="K16" s="104">
        <f t="shared" si="6"/>
        <v>6093.15625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6521.8551189900754</v>
      </c>
      <c r="S16" s="61" t="s">
        <v>274</v>
      </c>
      <c r="T16" s="63"/>
    </row>
    <row r="17" spans="1:20" ht="12.75" customHeight="1">
      <c r="A17" s="104" t="s">
        <v>55</v>
      </c>
      <c r="B17" s="13" t="s">
        <v>56</v>
      </c>
      <c r="C17" s="9">
        <v>7938</v>
      </c>
      <c r="D17" s="104">
        <f t="shared" si="0"/>
        <v>124.1796875</v>
      </c>
      <c r="E17" s="104">
        <f t="shared" si="1"/>
        <v>8062.1796875</v>
      </c>
      <c r="F17" s="104">
        <f t="shared" si="2"/>
        <v>1.9616414664293542E-2</v>
      </c>
      <c r="G17" s="104">
        <f t="shared" si="3"/>
        <v>780.73330363888294</v>
      </c>
      <c r="H17" s="104">
        <v>3</v>
      </c>
      <c r="I17" s="104">
        <f t="shared" si="4"/>
        <v>353.434977</v>
      </c>
      <c r="J17" s="104">
        <f t="shared" si="5"/>
        <v>1139.690702154508</v>
      </c>
      <c r="K17" s="104">
        <f t="shared" si="6"/>
        <v>6093.15625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7232.8469521545085</v>
      </c>
      <c r="S17" s="61" t="s">
        <v>42</v>
      </c>
      <c r="T17" s="63"/>
    </row>
    <row r="18" spans="1:20" ht="12.75" customHeight="1">
      <c r="A18" s="104" t="s">
        <v>58</v>
      </c>
      <c r="B18" s="13" t="s">
        <v>59</v>
      </c>
      <c r="C18" s="9">
        <v>5060</v>
      </c>
      <c r="D18" s="104">
        <f t="shared" si="0"/>
        <v>124.1796875</v>
      </c>
      <c r="E18" s="104">
        <f t="shared" si="1"/>
        <v>5184.1796875</v>
      </c>
      <c r="F18" s="104">
        <f t="shared" si="2"/>
        <v>1.2613836752098279E-2</v>
      </c>
      <c r="G18" s="104">
        <f t="shared" si="3"/>
        <v>502.03070273351153</v>
      </c>
      <c r="H18" s="104">
        <v>4</v>
      </c>
      <c r="I18" s="104">
        <f t="shared" si="4"/>
        <v>471.24663600000002</v>
      </c>
      <c r="J18" s="104">
        <f t="shared" si="5"/>
        <v>978.79976024913663</v>
      </c>
      <c r="K18" s="104">
        <f t="shared" si="6"/>
        <v>6093.15625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7071.9560102491369</v>
      </c>
      <c r="S18" s="61" t="s">
        <v>45</v>
      </c>
      <c r="T18" s="63"/>
    </row>
    <row r="19" spans="1:20" ht="12.75" customHeight="1">
      <c r="A19" s="104" t="s">
        <v>61</v>
      </c>
      <c r="B19" s="13" t="s">
        <v>62</v>
      </c>
      <c r="C19" s="9">
        <v>5375</v>
      </c>
      <c r="D19" s="104">
        <f t="shared" si="0"/>
        <v>124.1796875</v>
      </c>
      <c r="E19" s="104">
        <f t="shared" si="1"/>
        <v>5499.1796875</v>
      </c>
      <c r="F19" s="104">
        <f t="shared" si="2"/>
        <v>1.338027596069505E-2</v>
      </c>
      <c r="G19" s="104">
        <f t="shared" si="3"/>
        <v>532.53498323566305</v>
      </c>
      <c r="H19" s="104">
        <v>4</v>
      </c>
      <c r="I19" s="104">
        <f t="shared" si="4"/>
        <v>471.24663600000002</v>
      </c>
      <c r="J19" s="104">
        <f t="shared" si="5"/>
        <v>1009.3040407512881</v>
      </c>
      <c r="K19" s="104">
        <f t="shared" si="6"/>
        <v>6093.15625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7102.4602907512881</v>
      </c>
      <c r="S19" s="64" t="s">
        <v>48</v>
      </c>
      <c r="T19" s="65">
        <f>T17-T18</f>
        <v>0</v>
      </c>
    </row>
    <row r="20" spans="1:20" ht="12.75" customHeight="1">
      <c r="A20" s="104" t="s">
        <v>63</v>
      </c>
      <c r="B20" s="13" t="s">
        <v>64</v>
      </c>
      <c r="C20" s="9">
        <v>2321</v>
      </c>
      <c r="D20" s="104">
        <f t="shared" si="0"/>
        <v>124.1796875</v>
      </c>
      <c r="E20" s="104">
        <f t="shared" si="1"/>
        <v>2445.1796875</v>
      </c>
      <c r="F20" s="104">
        <f t="shared" si="2"/>
        <v>5.949465347823495E-3</v>
      </c>
      <c r="G20" s="104">
        <f t="shared" si="3"/>
        <v>236.7887208433751</v>
      </c>
      <c r="H20" s="104">
        <v>4</v>
      </c>
      <c r="I20" s="104">
        <f t="shared" si="4"/>
        <v>471.24663600000002</v>
      </c>
      <c r="J20" s="104">
        <f t="shared" si="5"/>
        <v>713.55777835900017</v>
      </c>
      <c r="K20" s="104">
        <f t="shared" si="6"/>
        <v>6093.15625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7556.7140283589997</v>
      </c>
      <c r="S20" s="66" t="s">
        <v>54</v>
      </c>
      <c r="T20" s="67">
        <f>T16-T19</f>
        <v>0</v>
      </c>
    </row>
    <row r="21" spans="1:20" ht="12.75" customHeight="1">
      <c r="A21" s="104" t="s">
        <v>65</v>
      </c>
      <c r="B21" s="13" t="s">
        <v>66</v>
      </c>
      <c r="C21" s="9">
        <v>13770</v>
      </c>
      <c r="D21" s="104">
        <f t="shared" si="0"/>
        <v>124.1796875</v>
      </c>
      <c r="E21" s="104">
        <f t="shared" si="1"/>
        <v>13894.1796875</v>
      </c>
      <c r="F21" s="104">
        <f t="shared" si="2"/>
        <v>3.3806489154885197E-2</v>
      </c>
      <c r="G21" s="104">
        <f t="shared" si="3"/>
        <v>1345.4982683644309</v>
      </c>
      <c r="H21" s="104">
        <v>3</v>
      </c>
      <c r="I21" s="104">
        <f t="shared" si="4"/>
        <v>353.434977</v>
      </c>
      <c r="J21" s="104">
        <f t="shared" si="5"/>
        <v>1704.455666880056</v>
      </c>
      <c r="K21" s="104">
        <f t="shared" si="6"/>
        <v>6093.15625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7797.611916880056</v>
      </c>
      <c r="S21" s="66" t="s">
        <v>57</v>
      </c>
      <c r="T21" s="67">
        <f>'ANNUAL-EXPENSE-DETAILS'!BH10</f>
        <v>456034</v>
      </c>
    </row>
    <row r="22" spans="1:20" ht="12.75" customHeight="1">
      <c r="A22" s="104" t="s">
        <v>67</v>
      </c>
      <c r="B22" s="13" t="s">
        <v>68</v>
      </c>
      <c r="C22" s="9">
        <v>7123</v>
      </c>
      <c r="D22" s="104">
        <f t="shared" si="0"/>
        <v>124.1796875</v>
      </c>
      <c r="E22" s="104">
        <f t="shared" si="1"/>
        <v>7247.1796875</v>
      </c>
      <c r="F22" s="104">
        <f t="shared" si="2"/>
        <v>1.7633405283320944E-2</v>
      </c>
      <c r="G22" s="104">
        <f t="shared" si="3"/>
        <v>701.80953027617363</v>
      </c>
      <c r="H22" s="104">
        <v>3</v>
      </c>
      <c r="I22" s="104">
        <f t="shared" si="4"/>
        <v>353.434977</v>
      </c>
      <c r="J22" s="104">
        <f t="shared" si="5"/>
        <v>1060.7669287917986</v>
      </c>
      <c r="K22" s="104">
        <f t="shared" si="6"/>
        <v>6093.15625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7153.9231787917988</v>
      </c>
      <c r="S22" s="66"/>
      <c r="T22" s="67"/>
    </row>
    <row r="23" spans="1:20" ht="12.75" customHeight="1">
      <c r="A23" s="104" t="s">
        <v>69</v>
      </c>
      <c r="B23" s="13" t="s">
        <v>70</v>
      </c>
      <c r="C23" s="9">
        <v>16075.5</v>
      </c>
      <c r="D23" s="104">
        <f t="shared" si="0"/>
        <v>124.1796875</v>
      </c>
      <c r="E23" s="104">
        <f t="shared" si="1"/>
        <v>16199.6796875</v>
      </c>
      <c r="F23" s="104">
        <f t="shared" si="2"/>
        <v>3.9416094219710138E-2</v>
      </c>
      <c r="G23" s="104">
        <f t="shared" si="3"/>
        <v>1568.7605499444635</v>
      </c>
      <c r="H23" s="104">
        <v>4</v>
      </c>
      <c r="I23" s="104">
        <f t="shared" si="4"/>
        <v>471.24663600000002</v>
      </c>
      <c r="J23" s="104">
        <f t="shared" si="5"/>
        <v>2045.5296074600885</v>
      </c>
      <c r="K23" s="104">
        <f t="shared" si="6"/>
        <v>6093.15625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8138.6858574600883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7276.5</v>
      </c>
      <c r="D24" s="104">
        <f t="shared" si="0"/>
        <v>124.1796875</v>
      </c>
      <c r="E24" s="104">
        <f t="shared" si="1"/>
        <v>7400.6796875</v>
      </c>
      <c r="F24" s="104">
        <f t="shared" si="2"/>
        <v>1.8006892326240323E-2</v>
      </c>
      <c r="G24" s="104">
        <f t="shared" si="3"/>
        <v>716.67431458436488</v>
      </c>
      <c r="H24" s="104">
        <v>4</v>
      </c>
      <c r="I24" s="104">
        <f t="shared" si="4"/>
        <v>471.24663600000002</v>
      </c>
      <c r="J24" s="104">
        <f t="shared" si="5"/>
        <v>1193.4433720999898</v>
      </c>
      <c r="K24" s="104">
        <f t="shared" si="6"/>
        <v>6093.15625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7286.5996220999896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14066</v>
      </c>
      <c r="D25" s="104">
        <f t="shared" si="0"/>
        <v>124.1796875</v>
      </c>
      <c r="E25" s="104">
        <f t="shared" si="1"/>
        <v>14190.1796875</v>
      </c>
      <c r="F25" s="104">
        <f t="shared" si="2"/>
        <v>3.4526698696931687E-2</v>
      </c>
      <c r="G25" s="104">
        <f t="shared" si="3"/>
        <v>1374.1626081378811</v>
      </c>
      <c r="H25" s="104">
        <v>4</v>
      </c>
      <c r="I25" s="104">
        <f t="shared" si="4"/>
        <v>471.24663600000002</v>
      </c>
      <c r="J25" s="104">
        <f t="shared" si="5"/>
        <v>1850.9316656535061</v>
      </c>
      <c r="K25" s="104">
        <f t="shared" si="6"/>
        <v>6093.15625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7944.0879156535066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4783</v>
      </c>
      <c r="D26" s="104">
        <f t="shared" si="0"/>
        <v>124.1796875</v>
      </c>
      <c r="E26" s="104">
        <f t="shared" si="1"/>
        <v>4907.1796875</v>
      </c>
      <c r="F26" s="104">
        <f t="shared" si="2"/>
        <v>1.1939856876602071E-2</v>
      </c>
      <c r="G26" s="104">
        <f t="shared" si="3"/>
        <v>475.20630368876243</v>
      </c>
      <c r="H26" s="104">
        <v>3</v>
      </c>
      <c r="I26" s="104">
        <f t="shared" si="4"/>
        <v>353.434977</v>
      </c>
      <c r="J26" s="104">
        <f t="shared" si="5"/>
        <v>834.16370220438739</v>
      </c>
      <c r="K26" s="104">
        <f t="shared" si="6"/>
        <v>6093.15625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6927.3199522043869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3536.5</v>
      </c>
      <c r="D27" s="104">
        <f t="shared" si="0"/>
        <v>124.1796875</v>
      </c>
      <c r="E27" s="104">
        <f t="shared" si="1"/>
        <v>3660.6796875</v>
      </c>
      <c r="F27" s="104">
        <f t="shared" si="2"/>
        <v>8.906947436869133E-3</v>
      </c>
      <c r="G27" s="104">
        <f t="shared" si="3"/>
        <v>354.49650798739151</v>
      </c>
      <c r="H27" s="104">
        <v>3</v>
      </c>
      <c r="I27" s="104">
        <f t="shared" si="4"/>
        <v>353.434977</v>
      </c>
      <c r="J27" s="104">
        <f t="shared" si="5"/>
        <v>713.45390650301647</v>
      </c>
      <c r="K27" s="104">
        <f t="shared" si="6"/>
        <v>6093.15625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6806.6101565030167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3014.5</v>
      </c>
      <c r="D28" s="104">
        <f t="shared" si="0"/>
        <v>124.1796875</v>
      </c>
      <c r="E28" s="104">
        <f t="shared" si="1"/>
        <v>3138.6796875</v>
      </c>
      <c r="F28" s="104">
        <f t="shared" si="2"/>
        <v>7.6368481769087679E-3</v>
      </c>
      <c r="G28" s="104">
        <f t="shared" si="3"/>
        <v>303.94655744096895</v>
      </c>
      <c r="H28" s="104">
        <v>3</v>
      </c>
      <c r="I28" s="104">
        <f t="shared" si="4"/>
        <v>353.434977</v>
      </c>
      <c r="J28" s="104">
        <f t="shared" si="5"/>
        <v>662.90395595659402</v>
      </c>
      <c r="K28" s="104">
        <f t="shared" si="6"/>
        <v>6093.15625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6756.0602059565936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9028</v>
      </c>
      <c r="D29" s="104">
        <f t="shared" si="0"/>
        <v>124.1796875</v>
      </c>
      <c r="E29" s="104">
        <f t="shared" si="1"/>
        <v>9152.1796875</v>
      </c>
      <c r="F29" s="104">
        <f t="shared" si="2"/>
        <v>2.2268537640072847E-2</v>
      </c>
      <c r="G29" s="104">
        <f t="shared" si="3"/>
        <v>886.28779807489934</v>
      </c>
      <c r="H29" s="104">
        <v>3</v>
      </c>
      <c r="I29" s="104">
        <f t="shared" si="4"/>
        <v>353.434977</v>
      </c>
      <c r="J29" s="104">
        <f t="shared" si="5"/>
        <v>1245.2451965905243</v>
      </c>
      <c r="K29" s="104">
        <f t="shared" si="6"/>
        <v>6093.15625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7338.4014465905238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3402.5</v>
      </c>
      <c r="D30" s="104">
        <f t="shared" si="0"/>
        <v>124.1796875</v>
      </c>
      <c r="E30" s="104">
        <f t="shared" si="1"/>
        <v>3526.6796875</v>
      </c>
      <c r="F30" s="104">
        <f t="shared" si="2"/>
        <v>8.5809066306724111E-3</v>
      </c>
      <c r="G30" s="104">
        <f t="shared" si="3"/>
        <v>341.52008390076196</v>
      </c>
      <c r="H30" s="104">
        <v>5</v>
      </c>
      <c r="I30" s="104">
        <f t="shared" si="4"/>
        <v>589.05829500000004</v>
      </c>
      <c r="J30" s="104">
        <f t="shared" si="5"/>
        <v>936.10080041638707</v>
      </c>
      <c r="K30" s="104">
        <f t="shared" si="6"/>
        <v>6093.15625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7029.2570504163868</v>
      </c>
      <c r="S30" s="107"/>
      <c r="T30" s="110"/>
    </row>
    <row r="31" spans="1:20" ht="12.75" customHeight="1">
      <c r="A31" s="104" t="s">
        <v>85</v>
      </c>
      <c r="B31" s="13" t="s">
        <v>275</v>
      </c>
      <c r="C31" s="9">
        <v>2481.5</v>
      </c>
      <c r="D31" s="104">
        <f t="shared" si="0"/>
        <v>124.1796875</v>
      </c>
      <c r="E31" s="104">
        <f t="shared" si="1"/>
        <v>2605.6796875</v>
      </c>
      <c r="F31" s="104">
        <f t="shared" si="2"/>
        <v>6.3399843731561361E-3</v>
      </c>
      <c r="G31" s="104">
        <f t="shared" si="3"/>
        <v>252.33137805161422</v>
      </c>
      <c r="H31" s="104">
        <v>3</v>
      </c>
      <c r="I31" s="104">
        <f t="shared" si="4"/>
        <v>353.434977</v>
      </c>
      <c r="J31" s="104">
        <f t="shared" si="5"/>
        <v>611.28877656723921</v>
      </c>
      <c r="K31" s="104">
        <f t="shared" si="6"/>
        <v>6093.15625</v>
      </c>
      <c r="L31" s="7">
        <v>0</v>
      </c>
      <c r="M31" s="104">
        <v>0</v>
      </c>
      <c r="N31" s="104">
        <v>0</v>
      </c>
      <c r="O31" s="104">
        <v>0</v>
      </c>
      <c r="P31" s="109">
        <v>1134</v>
      </c>
      <c r="Q31" s="109"/>
      <c r="R31" s="109">
        <f>(J31+K31+L31+M31+N31+O31+P31)*$B$2</f>
        <v>7838.4450265672394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1688.5</v>
      </c>
      <c r="D32" s="104">
        <f t="shared" si="0"/>
        <v>124.1796875</v>
      </c>
      <c r="E32" s="104">
        <f t="shared" si="1"/>
        <v>1812.6796875</v>
      </c>
      <c r="F32" s="104">
        <f t="shared" si="2"/>
        <v>4.4105040797680732E-3</v>
      </c>
      <c r="G32" s="104">
        <f t="shared" si="3"/>
        <v>175.53806237476931</v>
      </c>
      <c r="H32" s="104">
        <v>3</v>
      </c>
      <c r="I32" s="104">
        <f t="shared" si="4"/>
        <v>353.434977</v>
      </c>
      <c r="J32" s="104">
        <f t="shared" si="5"/>
        <v>534.49546089039427</v>
      </c>
      <c r="K32" s="104">
        <f t="shared" si="6"/>
        <v>6093.15625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ref="R32:R69" si="8">(J32+K32+L32+M32+N32+O32)*$B$2</f>
        <v>6627.6517108903945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14346.5</v>
      </c>
      <c r="D33" s="104">
        <f t="shared" si="0"/>
        <v>124.1796875</v>
      </c>
      <c r="E33" s="104">
        <f t="shared" si="1"/>
        <v>14470.6796875</v>
      </c>
      <c r="F33" s="104">
        <f t="shared" si="2"/>
        <v>3.5209194563634527E-2</v>
      </c>
      <c r="G33" s="104">
        <f t="shared" si="3"/>
        <v>1401.3259436326541</v>
      </c>
      <c r="H33" s="104">
        <v>3</v>
      </c>
      <c r="I33" s="104">
        <f t="shared" si="4"/>
        <v>353.434977</v>
      </c>
      <c r="J33" s="104">
        <f t="shared" si="5"/>
        <v>1760.2833421482792</v>
      </c>
      <c r="K33" s="104">
        <f t="shared" si="6"/>
        <v>6093.15625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8"/>
        <v>7853.4395921482792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12069</v>
      </c>
      <c r="D34" s="104">
        <f t="shared" si="0"/>
        <v>124.1796875</v>
      </c>
      <c r="E34" s="104">
        <f t="shared" si="1"/>
        <v>12193.1796875</v>
      </c>
      <c r="F34" s="104">
        <f t="shared" si="2"/>
        <v>2.9667717428462633E-2</v>
      </c>
      <c r="G34" s="104">
        <f t="shared" si="3"/>
        <v>1180.7751536528128</v>
      </c>
      <c r="H34" s="104">
        <v>4</v>
      </c>
      <c r="I34" s="104">
        <f t="shared" si="4"/>
        <v>471.24663600000002</v>
      </c>
      <c r="J34" s="104">
        <f t="shared" si="5"/>
        <v>1657.5442111684379</v>
      </c>
      <c r="K34" s="104">
        <f t="shared" si="6"/>
        <v>6093.15625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8"/>
        <v>7750.7004611684379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7255</v>
      </c>
      <c r="D35" s="104">
        <f t="shared" si="0"/>
        <v>124.1796875</v>
      </c>
      <c r="E35" s="104">
        <f t="shared" si="1"/>
        <v>7379.1796875</v>
      </c>
      <c r="F35" s="104">
        <f t="shared" si="2"/>
        <v>1.7954579808828162E-2</v>
      </c>
      <c r="G35" s="104">
        <f t="shared" si="3"/>
        <v>714.59227639136088</v>
      </c>
      <c r="H35" s="104">
        <v>4</v>
      </c>
      <c r="I35" s="104">
        <f t="shared" si="4"/>
        <v>471.24663600000002</v>
      </c>
      <c r="J35" s="104">
        <f t="shared" si="5"/>
        <v>1191.3613339069859</v>
      </c>
      <c r="K35" s="104">
        <f t="shared" si="6"/>
        <v>6093.15625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8"/>
        <v>7284.5175839069861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10256</v>
      </c>
      <c r="D36" s="104">
        <f t="shared" si="0"/>
        <v>124.1796875</v>
      </c>
      <c r="E36" s="104">
        <f t="shared" si="1"/>
        <v>10380.1796875</v>
      </c>
      <c r="F36" s="104">
        <f t="shared" si="2"/>
        <v>2.5256433983427883E-2</v>
      </c>
      <c r="G36" s="104">
        <f t="shared" si="3"/>
        <v>1005.2060725404298</v>
      </c>
      <c r="H36" s="104">
        <v>4</v>
      </c>
      <c r="I36" s="104">
        <f t="shared" si="4"/>
        <v>471.24663600000002</v>
      </c>
      <c r="J36" s="104">
        <f t="shared" si="5"/>
        <v>1481.9751300560547</v>
      </c>
      <c r="K36" s="104">
        <f t="shared" si="6"/>
        <v>6093.15625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8"/>
        <v>7575.1313800560547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3014</v>
      </c>
      <c r="D37" s="104">
        <f t="shared" si="0"/>
        <v>124.1796875</v>
      </c>
      <c r="E37" s="104">
        <f t="shared" si="1"/>
        <v>3138.1796875</v>
      </c>
      <c r="F37" s="104">
        <f t="shared" si="2"/>
        <v>7.6356316067363924E-3</v>
      </c>
      <c r="G37" s="104">
        <f t="shared" si="3"/>
        <v>303.8981379481084</v>
      </c>
      <c r="H37" s="104">
        <v>3</v>
      </c>
      <c r="I37" s="104">
        <f t="shared" si="4"/>
        <v>353.434977</v>
      </c>
      <c r="J37" s="104">
        <f t="shared" si="5"/>
        <v>662.85553646373342</v>
      </c>
      <c r="K37" s="104">
        <f t="shared" si="6"/>
        <v>6093.15625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8"/>
        <v>6756.0117864637332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7224.5</v>
      </c>
      <c r="D38" s="104">
        <f t="shared" si="0"/>
        <v>124.1796875</v>
      </c>
      <c r="E38" s="104">
        <f t="shared" si="1"/>
        <v>7348.6796875</v>
      </c>
      <c r="F38" s="104">
        <f t="shared" si="2"/>
        <v>1.7880369028313237E-2</v>
      </c>
      <c r="G38" s="104">
        <f t="shared" si="3"/>
        <v>711.63868732686683</v>
      </c>
      <c r="H38" s="104">
        <v>3</v>
      </c>
      <c r="I38" s="104">
        <f t="shared" si="4"/>
        <v>353.434977</v>
      </c>
      <c r="J38" s="104">
        <f t="shared" si="5"/>
        <v>1070.5960858424919</v>
      </c>
      <c r="K38" s="104">
        <f t="shared" si="6"/>
        <v>6093.15625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8"/>
        <v>7163.7523358424914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24430</v>
      </c>
      <c r="D39" s="104">
        <f t="shared" si="0"/>
        <v>124.1796875</v>
      </c>
      <c r="E39" s="104">
        <f t="shared" si="1"/>
        <v>24554.1796875</v>
      </c>
      <c r="F39" s="104">
        <f t="shared" si="2"/>
        <v>5.9743765229937844E-2</v>
      </c>
      <c r="G39" s="104">
        <f t="shared" si="3"/>
        <v>2377.8018561515264</v>
      </c>
      <c r="H39" s="104">
        <v>4</v>
      </c>
      <c r="I39" s="104">
        <f t="shared" si="4"/>
        <v>471.24663600000002</v>
      </c>
      <c r="J39" s="104">
        <f t="shared" si="5"/>
        <v>2854.5709136671512</v>
      </c>
      <c r="K39" s="104">
        <f t="shared" si="6"/>
        <v>6093.15625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8"/>
        <v>8947.7271636671503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1871.5</v>
      </c>
      <c r="D40" s="104">
        <f t="shared" si="0"/>
        <v>124.1796875</v>
      </c>
      <c r="E40" s="104">
        <f t="shared" si="1"/>
        <v>1995.6796875</v>
      </c>
      <c r="F40" s="104">
        <f t="shared" si="2"/>
        <v>4.8557687628576259E-3</v>
      </c>
      <c r="G40" s="104">
        <f t="shared" si="3"/>
        <v>193.25959676173352</v>
      </c>
      <c r="H40" s="104">
        <v>4</v>
      </c>
      <c r="I40" s="104">
        <f t="shared" si="4"/>
        <v>471.24663600000002</v>
      </c>
      <c r="J40" s="104">
        <f t="shared" si="5"/>
        <v>670.02865427735856</v>
      </c>
      <c r="K40" s="104">
        <f t="shared" si="6"/>
        <v>6093.15625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8"/>
        <v>6763.1849042773583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12639.5</v>
      </c>
      <c r="D41" s="104">
        <f t="shared" si="0"/>
        <v>124.1796875</v>
      </c>
      <c r="E41" s="104">
        <f t="shared" si="1"/>
        <v>12763.6796875</v>
      </c>
      <c r="F41" s="104">
        <f t="shared" si="2"/>
        <v>3.1055823995143454E-2</v>
      </c>
      <c r="G41" s="104">
        <f t="shared" si="3"/>
        <v>1236.0217950067095</v>
      </c>
      <c r="H41" s="104">
        <v>3</v>
      </c>
      <c r="I41" s="104">
        <f t="shared" si="4"/>
        <v>353.434977</v>
      </c>
      <c r="J41" s="104">
        <f t="shared" si="5"/>
        <v>1594.9791935223343</v>
      </c>
      <c r="K41" s="104">
        <f t="shared" si="6"/>
        <v>6093.15625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8"/>
        <v>7688.1354435223348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850</v>
      </c>
      <c r="D42" s="104">
        <f t="shared" si="0"/>
        <v>124.1796875</v>
      </c>
      <c r="E42" s="104">
        <f t="shared" si="1"/>
        <v>974.1796875</v>
      </c>
      <c r="F42" s="104">
        <f t="shared" si="2"/>
        <v>2.3703159006938099E-3</v>
      </c>
      <c r="G42" s="104">
        <f t="shared" si="3"/>
        <v>94.338572847613634</v>
      </c>
      <c r="H42" s="104">
        <v>3</v>
      </c>
      <c r="I42" s="104">
        <f t="shared" si="4"/>
        <v>353.434977</v>
      </c>
      <c r="J42" s="104">
        <f t="shared" si="5"/>
        <v>453.29597136323866</v>
      </c>
      <c r="K42" s="104">
        <f t="shared" si="6"/>
        <v>6093.15625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8"/>
        <v>6546.452221363239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1.5</v>
      </c>
      <c r="D43" s="104">
        <f t="shared" si="0"/>
        <v>124.1796875</v>
      </c>
      <c r="E43" s="104">
        <f t="shared" si="1"/>
        <v>125.6796875</v>
      </c>
      <c r="F43" s="104">
        <f t="shared" si="2"/>
        <v>3.0579631817203033E-4</v>
      </c>
      <c r="G43" s="104">
        <f t="shared" si="3"/>
        <v>12.170693463246808</v>
      </c>
      <c r="H43" s="104">
        <v>3</v>
      </c>
      <c r="I43" s="104">
        <f t="shared" si="4"/>
        <v>353.434977</v>
      </c>
      <c r="J43" s="104">
        <f t="shared" si="5"/>
        <v>371.12809197887179</v>
      </c>
      <c r="K43" s="104">
        <f t="shared" si="6"/>
        <v>6093.15625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8"/>
        <v>6464.2843419788715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124.1796875</v>
      </c>
      <c r="E44" s="104">
        <f t="shared" si="1"/>
        <v>124.1796875</v>
      </c>
      <c r="F44" s="104">
        <f t="shared" si="2"/>
        <v>3.0214660765490284E-4</v>
      </c>
      <c r="G44" s="104">
        <f t="shared" si="3"/>
        <v>12.025434984665132</v>
      </c>
      <c r="H44" s="104">
        <v>3</v>
      </c>
      <c r="I44" s="104">
        <f t="shared" si="4"/>
        <v>353.434977</v>
      </c>
      <c r="J44" s="104">
        <f t="shared" si="5"/>
        <v>370.98283350029016</v>
      </c>
      <c r="K44" s="104">
        <f t="shared" si="6"/>
        <v>6093.15625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8"/>
        <v>6464.1390835002903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14478</v>
      </c>
      <c r="D45" s="104">
        <f t="shared" si="0"/>
        <v>124.1796875</v>
      </c>
      <c r="E45" s="104">
        <f t="shared" si="1"/>
        <v>14602.1796875</v>
      </c>
      <c r="F45" s="104">
        <f t="shared" si="2"/>
        <v>3.5529152518969369E-2</v>
      </c>
      <c r="G45" s="104">
        <f t="shared" si="3"/>
        <v>1414.0602702549809</v>
      </c>
      <c r="H45" s="104">
        <v>3</v>
      </c>
      <c r="I45" s="104">
        <f t="shared" si="4"/>
        <v>353.434977</v>
      </c>
      <c r="J45" s="104">
        <f t="shared" si="5"/>
        <v>1773.0176687706057</v>
      </c>
      <c r="K45" s="104">
        <f t="shared" si="6"/>
        <v>6093.15625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8"/>
        <v>7866.1739187706062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9685.5</v>
      </c>
      <c r="D46" s="104">
        <f t="shared" si="0"/>
        <v>124.1796875</v>
      </c>
      <c r="E46" s="104">
        <f t="shared" si="1"/>
        <v>9809.6796875</v>
      </c>
      <c r="F46" s="104">
        <f t="shared" si="2"/>
        <v>2.3868327416747062E-2</v>
      </c>
      <c r="G46" s="104">
        <f t="shared" si="3"/>
        <v>949.95943118653304</v>
      </c>
      <c r="H46" s="104">
        <v>4</v>
      </c>
      <c r="I46" s="104">
        <f t="shared" si="4"/>
        <v>471.24663600000002</v>
      </c>
      <c r="J46" s="104">
        <f t="shared" si="5"/>
        <v>1426.7284887021581</v>
      </c>
      <c r="K46" s="104">
        <f t="shared" si="6"/>
        <v>6093.15625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8"/>
        <v>7519.8847387021578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448.5</v>
      </c>
      <c r="D47" s="104">
        <f t="shared" si="0"/>
        <v>124.1796875</v>
      </c>
      <c r="E47" s="104">
        <f t="shared" si="1"/>
        <v>572.6796875</v>
      </c>
      <c r="F47" s="104">
        <f t="shared" si="2"/>
        <v>1.3934100522760204E-3</v>
      </c>
      <c r="G47" s="104">
        <f t="shared" si="3"/>
        <v>55.457720080585609</v>
      </c>
      <c r="H47" s="104">
        <v>3</v>
      </c>
      <c r="I47" s="104">
        <f t="shared" si="4"/>
        <v>353.434977</v>
      </c>
      <c r="J47" s="104">
        <f t="shared" si="5"/>
        <v>414.41511859621062</v>
      </c>
      <c r="K47" s="104">
        <f t="shared" si="6"/>
        <v>6093.15625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8"/>
        <v>6507.571368596211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7510</v>
      </c>
      <c r="D48" s="104">
        <f t="shared" si="0"/>
        <v>124.1796875</v>
      </c>
      <c r="E48" s="104">
        <f t="shared" si="1"/>
        <v>7634.1796875</v>
      </c>
      <c r="F48" s="104">
        <f t="shared" si="2"/>
        <v>1.8575030596739834E-2</v>
      </c>
      <c r="G48" s="104">
        <f t="shared" si="3"/>
        <v>739.28621775024544</v>
      </c>
      <c r="H48" s="104">
        <v>3</v>
      </c>
      <c r="I48" s="104">
        <f t="shared" si="4"/>
        <v>353.434977</v>
      </c>
      <c r="J48" s="104">
        <f t="shared" si="5"/>
        <v>1098.2436162658705</v>
      </c>
      <c r="K48" s="104">
        <f t="shared" si="6"/>
        <v>6093.15625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8"/>
        <v>7191.3998662658705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2612.5</v>
      </c>
      <c r="D49" s="104">
        <f t="shared" si="0"/>
        <v>124.1796875</v>
      </c>
      <c r="E49" s="104">
        <f t="shared" si="1"/>
        <v>2736.6796875</v>
      </c>
      <c r="F49" s="104">
        <f t="shared" si="2"/>
        <v>6.6587257583186031E-3</v>
      </c>
      <c r="G49" s="104">
        <f t="shared" si="3"/>
        <v>265.01728518108041</v>
      </c>
      <c r="H49" s="104">
        <v>3</v>
      </c>
      <c r="I49" s="104">
        <f t="shared" si="4"/>
        <v>353.434977</v>
      </c>
      <c r="J49" s="104">
        <f t="shared" si="5"/>
        <v>623.97468369670537</v>
      </c>
      <c r="K49" s="104">
        <f t="shared" si="6"/>
        <v>6093.15625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8"/>
        <v>6717.1309336967051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2812</v>
      </c>
      <c r="D50" s="104">
        <f t="shared" si="0"/>
        <v>124.1796875</v>
      </c>
      <c r="E50" s="104">
        <f t="shared" si="1"/>
        <v>2936.1796875</v>
      </c>
      <c r="F50" s="104">
        <f t="shared" si="2"/>
        <v>7.1441372570965576E-3</v>
      </c>
      <c r="G50" s="104">
        <f t="shared" si="3"/>
        <v>284.33666283244298</v>
      </c>
      <c r="H50" s="104">
        <v>4</v>
      </c>
      <c r="I50" s="104">
        <f t="shared" si="4"/>
        <v>471.24663600000002</v>
      </c>
      <c r="J50" s="104">
        <f t="shared" si="5"/>
        <v>761.10572034806796</v>
      </c>
      <c r="K50" s="104">
        <f t="shared" si="6"/>
        <v>6093.15625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8"/>
        <v>6854.2619703480677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3694</v>
      </c>
      <c r="D51" s="104">
        <f t="shared" si="0"/>
        <v>124.1796875</v>
      </c>
      <c r="E51" s="104">
        <f t="shared" si="1"/>
        <v>3818.1796875</v>
      </c>
      <c r="F51" s="104">
        <f t="shared" si="2"/>
        <v>9.2901670411675175E-3</v>
      </c>
      <c r="G51" s="104">
        <f t="shared" si="3"/>
        <v>369.74864823846718</v>
      </c>
      <c r="H51" s="104">
        <v>4</v>
      </c>
      <c r="I51" s="104">
        <f t="shared" si="4"/>
        <v>471.24663600000002</v>
      </c>
      <c r="J51" s="104">
        <f t="shared" si="5"/>
        <v>846.51770575409228</v>
      </c>
      <c r="K51" s="104">
        <f t="shared" si="6"/>
        <v>6093.15625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8"/>
        <v>6939.6739557540923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14556</v>
      </c>
      <c r="D52" s="104">
        <f t="shared" si="0"/>
        <v>124.1796875</v>
      </c>
      <c r="E52" s="104">
        <f t="shared" si="1"/>
        <v>14680.1796875</v>
      </c>
      <c r="F52" s="104">
        <f t="shared" si="2"/>
        <v>3.5718937465860003E-2</v>
      </c>
      <c r="G52" s="104">
        <f t="shared" si="3"/>
        <v>1421.6137111412281</v>
      </c>
      <c r="H52" s="104">
        <v>4</v>
      </c>
      <c r="I52" s="104">
        <f t="shared" si="4"/>
        <v>471.24663600000002</v>
      </c>
      <c r="J52" s="104">
        <f t="shared" si="5"/>
        <v>1898.3827686568532</v>
      </c>
      <c r="K52" s="104">
        <f t="shared" si="6"/>
        <v>6093.15625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8"/>
        <v>7991.5390186568529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4964</v>
      </c>
      <c r="D53" s="104">
        <f t="shared" si="0"/>
        <v>124.1796875</v>
      </c>
      <c r="E53" s="104">
        <f t="shared" si="1"/>
        <v>5088.1796875</v>
      </c>
      <c r="F53" s="104">
        <f t="shared" si="2"/>
        <v>1.238025527900212E-2</v>
      </c>
      <c r="G53" s="104">
        <f t="shared" si="3"/>
        <v>492.73416010428434</v>
      </c>
      <c r="H53" s="104">
        <v>3</v>
      </c>
      <c r="I53" s="104">
        <f t="shared" si="4"/>
        <v>353.434977</v>
      </c>
      <c r="J53" s="104">
        <f t="shared" si="5"/>
        <v>851.6915586199093</v>
      </c>
      <c r="K53" s="104">
        <f t="shared" si="6"/>
        <v>6093.15625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8"/>
        <v>6944.8478086199093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12804</v>
      </c>
      <c r="D54" s="104">
        <f t="shared" si="0"/>
        <v>124.1796875</v>
      </c>
      <c r="E54" s="104">
        <f t="shared" si="1"/>
        <v>12928.1796875</v>
      </c>
      <c r="F54" s="104">
        <f t="shared" si="2"/>
        <v>3.1456075581855099E-2</v>
      </c>
      <c r="G54" s="104">
        <f t="shared" si="3"/>
        <v>1251.9518081578328</v>
      </c>
      <c r="H54" s="104">
        <v>3</v>
      </c>
      <c r="I54" s="104">
        <f t="shared" si="4"/>
        <v>353.434977</v>
      </c>
      <c r="J54" s="104">
        <f t="shared" si="5"/>
        <v>1610.9092066734579</v>
      </c>
      <c r="K54" s="104">
        <f t="shared" si="6"/>
        <v>6093.15625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8"/>
        <v>7704.0654566734574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12945</v>
      </c>
      <c r="D55" s="104">
        <f t="shared" si="0"/>
        <v>124.1796875</v>
      </c>
      <c r="E55" s="104">
        <f t="shared" si="1"/>
        <v>13069.1796875</v>
      </c>
      <c r="F55" s="104">
        <f t="shared" si="2"/>
        <v>3.1799148370465082E-2</v>
      </c>
      <c r="G55" s="104">
        <f t="shared" si="3"/>
        <v>1265.6061051445101</v>
      </c>
      <c r="H55" s="104">
        <v>4</v>
      </c>
      <c r="I55" s="104">
        <f t="shared" si="4"/>
        <v>471.24663600000002</v>
      </c>
      <c r="J55" s="104">
        <f t="shared" si="5"/>
        <v>1742.3751626601352</v>
      </c>
      <c r="K55" s="104">
        <f t="shared" si="6"/>
        <v>6093.15625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8"/>
        <v>7835.5314126601352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1936.5</v>
      </c>
      <c r="D56" s="104">
        <f t="shared" si="0"/>
        <v>124.1796875</v>
      </c>
      <c r="E56" s="104">
        <f t="shared" si="1"/>
        <v>2060.6796875</v>
      </c>
      <c r="F56" s="104">
        <f t="shared" si="2"/>
        <v>5.0139228852664839E-3</v>
      </c>
      <c r="G56" s="104">
        <f t="shared" si="3"/>
        <v>199.55413083360605</v>
      </c>
      <c r="H56" s="104">
        <v>4</v>
      </c>
      <c r="I56" s="104">
        <f t="shared" si="4"/>
        <v>471.24663600000002</v>
      </c>
      <c r="J56" s="104">
        <f t="shared" si="5"/>
        <v>676.32318834923103</v>
      </c>
      <c r="K56" s="104">
        <f t="shared" si="6"/>
        <v>6093.15625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8"/>
        <v>6769.4794383492308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5421</v>
      </c>
      <c r="D57" s="104">
        <f t="shared" si="0"/>
        <v>124.1796875</v>
      </c>
      <c r="E57" s="104">
        <f t="shared" si="1"/>
        <v>5545.1796875</v>
      </c>
      <c r="F57" s="104">
        <f t="shared" si="2"/>
        <v>1.3492200416553628E-2</v>
      </c>
      <c r="G57" s="104">
        <f t="shared" si="3"/>
        <v>536.98957657883443</v>
      </c>
      <c r="H57" s="104">
        <v>4</v>
      </c>
      <c r="I57" s="104">
        <f t="shared" si="4"/>
        <v>471.24663600000002</v>
      </c>
      <c r="J57" s="104">
        <f t="shared" si="5"/>
        <v>1013.7586340944595</v>
      </c>
      <c r="K57" s="104">
        <f t="shared" si="6"/>
        <v>6093.15625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8"/>
        <v>7106.9148840944599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3949.5</v>
      </c>
      <c r="D58" s="104">
        <f t="shared" si="0"/>
        <v>124.1796875</v>
      </c>
      <c r="E58" s="104">
        <f t="shared" si="1"/>
        <v>4073.6796875</v>
      </c>
      <c r="F58" s="104">
        <f t="shared" si="2"/>
        <v>9.9118343992515654E-3</v>
      </c>
      <c r="G58" s="104">
        <f t="shared" si="3"/>
        <v>394.49100909021229</v>
      </c>
      <c r="H58" s="104">
        <v>3</v>
      </c>
      <c r="I58" s="104">
        <f t="shared" si="4"/>
        <v>353.434977</v>
      </c>
      <c r="J58" s="104">
        <f t="shared" si="5"/>
        <v>753.44840760583725</v>
      </c>
      <c r="K58" s="104">
        <f t="shared" si="6"/>
        <v>6093.15625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8"/>
        <v>6846.604657605837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12069</v>
      </c>
      <c r="D59" s="104">
        <f t="shared" si="0"/>
        <v>124.1796875</v>
      </c>
      <c r="E59" s="104">
        <f t="shared" si="1"/>
        <v>12193.1796875</v>
      </c>
      <c r="F59" s="104">
        <f t="shared" si="2"/>
        <v>2.9667717428462633E-2</v>
      </c>
      <c r="G59" s="104">
        <f t="shared" si="3"/>
        <v>1180.7751536528128</v>
      </c>
      <c r="H59" s="104">
        <v>3</v>
      </c>
      <c r="I59" s="104">
        <f t="shared" si="4"/>
        <v>353.434977</v>
      </c>
      <c r="J59" s="104">
        <f t="shared" si="5"/>
        <v>1539.7325521684379</v>
      </c>
      <c r="K59" s="104">
        <f t="shared" si="6"/>
        <v>6093.15625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8"/>
        <v>7632.8888021684379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1009.5</v>
      </c>
      <c r="D60" s="104">
        <f t="shared" si="0"/>
        <v>124.1796875</v>
      </c>
      <c r="E60" s="104">
        <f t="shared" si="1"/>
        <v>1133.6796875</v>
      </c>
      <c r="F60" s="104">
        <f t="shared" si="2"/>
        <v>2.7584017856816991E-3</v>
      </c>
      <c r="G60" s="104">
        <f t="shared" si="3"/>
        <v>109.78439107013162</v>
      </c>
      <c r="H60" s="104">
        <v>3</v>
      </c>
      <c r="I60" s="104">
        <f t="shared" si="4"/>
        <v>353.434977</v>
      </c>
      <c r="J60" s="104">
        <f t="shared" si="5"/>
        <v>468.74178958575664</v>
      </c>
      <c r="K60" s="104">
        <f t="shared" si="6"/>
        <v>6093.15625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8"/>
        <v>6561.898039585757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1478</v>
      </c>
      <c r="D61" s="104">
        <f t="shared" si="0"/>
        <v>124.1796875</v>
      </c>
      <c r="E61" s="104">
        <f t="shared" si="1"/>
        <v>1602.1796875</v>
      </c>
      <c r="F61" s="104">
        <f t="shared" si="2"/>
        <v>3.8983280371978498E-3</v>
      </c>
      <c r="G61" s="104">
        <f t="shared" si="3"/>
        <v>155.15345588047441</v>
      </c>
      <c r="H61" s="104">
        <v>3</v>
      </c>
      <c r="I61" s="104">
        <f t="shared" si="4"/>
        <v>353.434977</v>
      </c>
      <c r="J61" s="104">
        <f t="shared" si="5"/>
        <v>514.1108543960994</v>
      </c>
      <c r="K61" s="104">
        <f t="shared" si="6"/>
        <v>6093.15625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8"/>
        <v>6607.2671043960991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4374.5</v>
      </c>
      <c r="D62" s="104">
        <f t="shared" si="0"/>
        <v>124.1796875</v>
      </c>
      <c r="E62" s="104">
        <f t="shared" si="1"/>
        <v>4498.6796875</v>
      </c>
      <c r="F62" s="104">
        <f t="shared" si="2"/>
        <v>1.0945919045771019E-2</v>
      </c>
      <c r="G62" s="104">
        <f t="shared" si="3"/>
        <v>435.64757802168657</v>
      </c>
      <c r="H62" s="104">
        <v>4</v>
      </c>
      <c r="I62" s="104">
        <f t="shared" si="4"/>
        <v>471.24663600000002</v>
      </c>
      <c r="J62" s="104">
        <f t="shared" si="5"/>
        <v>912.41663553731155</v>
      </c>
      <c r="K62" s="104">
        <f t="shared" si="6"/>
        <v>6093.15625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8"/>
        <v>7005.5728855373118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271</v>
      </c>
      <c r="D63" s="104">
        <f t="shared" si="0"/>
        <v>124.1796875</v>
      </c>
      <c r="E63" s="104">
        <f t="shared" si="1"/>
        <v>395.1796875</v>
      </c>
      <c r="F63" s="104">
        <f t="shared" si="2"/>
        <v>9.615276410826015E-4</v>
      </c>
      <c r="G63" s="104">
        <f t="shared" si="3"/>
        <v>38.268800115087537</v>
      </c>
      <c r="H63" s="104">
        <v>3</v>
      </c>
      <c r="I63" s="104">
        <f t="shared" si="4"/>
        <v>353.434977</v>
      </c>
      <c r="J63" s="104">
        <f t="shared" si="5"/>
        <v>397.22619863071253</v>
      </c>
      <c r="K63" s="104">
        <f t="shared" si="6"/>
        <v>6093.15625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8"/>
        <v>7240.3824486307121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5310.5</v>
      </c>
      <c r="D64" s="104">
        <f t="shared" si="0"/>
        <v>124.1796875</v>
      </c>
      <c r="E64" s="104">
        <f t="shared" si="1"/>
        <v>5434.6796875</v>
      </c>
      <c r="F64" s="104">
        <f t="shared" si="2"/>
        <v>1.3223338408458568E-2</v>
      </c>
      <c r="G64" s="104">
        <f t="shared" si="3"/>
        <v>526.28886865665106</v>
      </c>
      <c r="H64" s="104">
        <v>3</v>
      </c>
      <c r="I64" s="104">
        <f t="shared" si="4"/>
        <v>353.434977</v>
      </c>
      <c r="J64" s="104">
        <f t="shared" si="5"/>
        <v>885.24626717227602</v>
      </c>
      <c r="K64" s="104">
        <f t="shared" si="6"/>
        <v>6093.15625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8"/>
        <v>6978.402517172276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4486.5</v>
      </c>
      <c r="D65" s="104">
        <f t="shared" si="0"/>
        <v>124.1796875</v>
      </c>
      <c r="E65" s="104">
        <f t="shared" si="1"/>
        <v>4610.6796875</v>
      </c>
      <c r="F65" s="104">
        <f t="shared" si="2"/>
        <v>1.1218430764383206E-2</v>
      </c>
      <c r="G65" s="104">
        <f t="shared" si="3"/>
        <v>446.49354442245158</v>
      </c>
      <c r="H65" s="104">
        <v>3</v>
      </c>
      <c r="I65" s="104">
        <f t="shared" si="4"/>
        <v>353.434977</v>
      </c>
      <c r="J65" s="104">
        <f t="shared" si="5"/>
        <v>805.45094293807665</v>
      </c>
      <c r="K65" s="104">
        <f t="shared" si="6"/>
        <v>6093.15625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8"/>
        <v>6898.6071929380769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5059.5</v>
      </c>
      <c r="D66" s="104">
        <f t="shared" si="0"/>
        <v>124.1796875</v>
      </c>
      <c r="E66" s="104">
        <f t="shared" si="1"/>
        <v>5183.6796875</v>
      </c>
      <c r="F66" s="104">
        <f t="shared" si="2"/>
        <v>1.2612620181925903E-2</v>
      </c>
      <c r="G66" s="104">
        <f t="shared" si="3"/>
        <v>501.98228324065093</v>
      </c>
      <c r="H66" s="104">
        <v>4</v>
      </c>
      <c r="I66" s="104">
        <f t="shared" si="4"/>
        <v>471.24663600000002</v>
      </c>
      <c r="J66" s="104">
        <f t="shared" si="5"/>
        <v>978.75134075627602</v>
      </c>
      <c r="K66" s="104">
        <f t="shared" si="6"/>
        <v>6093.15625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8"/>
        <v>7071.9075907562765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3938.5</v>
      </c>
      <c r="D67" s="104">
        <f t="shared" si="0"/>
        <v>124.1796875</v>
      </c>
      <c r="E67" s="104">
        <f t="shared" si="1"/>
        <v>4062.6796875</v>
      </c>
      <c r="F67" s="104">
        <f t="shared" si="2"/>
        <v>9.8850698554592987E-3</v>
      </c>
      <c r="G67" s="104">
        <f t="shared" si="3"/>
        <v>393.4257802472801</v>
      </c>
      <c r="H67" s="104">
        <v>4</v>
      </c>
      <c r="I67" s="104">
        <f t="shared" si="4"/>
        <v>471.24663600000002</v>
      </c>
      <c r="J67" s="104">
        <f t="shared" si="5"/>
        <v>870.19483776290508</v>
      </c>
      <c r="K67" s="104">
        <f t="shared" si="6"/>
        <v>6093.15625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8"/>
        <v>6963.3510877629051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8203.5</v>
      </c>
      <c r="D68" s="104">
        <f t="shared" si="0"/>
        <v>124.1796875</v>
      </c>
      <c r="E68" s="104">
        <f t="shared" si="1"/>
        <v>8327.6796875</v>
      </c>
      <c r="F68" s="104">
        <f t="shared" si="2"/>
        <v>2.0262413425825108E-2</v>
      </c>
      <c r="G68" s="104">
        <f t="shared" si="3"/>
        <v>806.44405434783926</v>
      </c>
      <c r="H68" s="104">
        <v>4</v>
      </c>
      <c r="I68" s="104">
        <f t="shared" si="4"/>
        <v>471.24663600000002</v>
      </c>
      <c r="J68" s="104">
        <f t="shared" si="5"/>
        <v>1283.2131118634643</v>
      </c>
      <c r="K68" s="104">
        <f t="shared" si="6"/>
        <v>6093.15625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8"/>
        <v>7376.3693618634643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7010</v>
      </c>
      <c r="D69" s="104">
        <f t="shared" si="0"/>
        <v>124.1796875</v>
      </c>
      <c r="E69" s="104">
        <f t="shared" si="1"/>
        <v>7134.1796875</v>
      </c>
      <c r="F69" s="104">
        <f t="shared" si="2"/>
        <v>1.7358460424364008E-2</v>
      </c>
      <c r="G69" s="104">
        <f t="shared" si="3"/>
        <v>690.86672488968759</v>
      </c>
      <c r="H69" s="104">
        <v>3</v>
      </c>
      <c r="I69" s="104">
        <f t="shared" si="4"/>
        <v>353.434977</v>
      </c>
      <c r="J69" s="104">
        <f t="shared" si="5"/>
        <v>1049.8241234053125</v>
      </c>
      <c r="K69" s="104">
        <f t="shared" si="6"/>
        <v>6093.15625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8"/>
        <v>7142.980373405313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410991.5</v>
      </c>
      <c r="D70" s="104">
        <f t="shared" ref="D70:E70" si="9">SUM(D3:D69)</f>
        <v>7947.5</v>
      </c>
      <c r="E70" s="104">
        <f t="shared" si="9"/>
        <v>410991.5</v>
      </c>
      <c r="F70" s="104">
        <f t="shared" si="2"/>
        <v>1</v>
      </c>
      <c r="G70" s="104">
        <f t="shared" ref="G70:O70" si="10">SUM(G3:G69)</f>
        <v>39800.000000000007</v>
      </c>
      <c r="H70" s="104">
        <f t="shared" si="10"/>
        <v>223</v>
      </c>
      <c r="I70" s="104">
        <f t="shared" si="10"/>
        <v>26271.999957000018</v>
      </c>
      <c r="J70" s="104">
        <f t="shared" si="10"/>
        <v>66071.999956999993</v>
      </c>
      <c r="K70" s="104">
        <f t="shared" si="10"/>
        <v>389962</v>
      </c>
      <c r="L70" s="104">
        <f t="shared" si="10"/>
        <v>3000</v>
      </c>
      <c r="M70" s="104">
        <f t="shared" si="10"/>
        <v>0</v>
      </c>
      <c r="N70" s="104">
        <f t="shared" si="10"/>
        <v>0</v>
      </c>
      <c r="O70" s="104">
        <f t="shared" si="10"/>
        <v>0</v>
      </c>
      <c r="P70" s="104"/>
      <c r="Q70" s="104"/>
      <c r="R70" s="104">
        <f>SUM(R3:R69)</f>
        <v>460167.99995699996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/>
      <c r="D2" s="86"/>
      <c r="F2" s="86"/>
      <c r="H2" s="71"/>
      <c r="K2" s="40">
        <f t="shared" ref="K2:K65" si="0">SUM(C2,E2,G2,I2)</f>
        <v>0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45962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6231</v>
      </c>
      <c r="D5" s="87">
        <v>45977</v>
      </c>
      <c r="F5" s="86"/>
      <c r="H5" s="72"/>
      <c r="K5" s="46">
        <f t="shared" si="0"/>
        <v>6231</v>
      </c>
    </row>
    <row r="6" spans="1:11" ht="15" customHeight="1">
      <c r="A6" s="41" t="s">
        <v>35</v>
      </c>
      <c r="B6" s="13" t="s">
        <v>270</v>
      </c>
      <c r="C6" s="42">
        <v>6114</v>
      </c>
      <c r="D6" s="86">
        <v>45977</v>
      </c>
      <c r="F6" s="86"/>
      <c r="H6" s="71"/>
      <c r="K6" s="40">
        <f t="shared" si="0"/>
        <v>6114</v>
      </c>
    </row>
    <row r="7" spans="1:11" ht="15" customHeight="1">
      <c r="A7" s="41" t="s">
        <v>37</v>
      </c>
      <c r="B7" s="13" t="s">
        <v>38</v>
      </c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6">
        <v>5505</v>
      </c>
      <c r="D8" s="86">
        <v>45966</v>
      </c>
      <c r="E8" s="42"/>
      <c r="F8" s="86"/>
      <c r="H8" s="71"/>
      <c r="K8" s="46">
        <f t="shared" si="0"/>
        <v>5505</v>
      </c>
    </row>
    <row r="9" spans="1:11" ht="15" customHeight="1">
      <c r="A9" s="41" t="s">
        <v>43</v>
      </c>
      <c r="B9" s="13" t="s">
        <v>276</v>
      </c>
      <c r="C9" s="40">
        <v>6114</v>
      </c>
      <c r="D9" s="45">
        <v>45978</v>
      </c>
      <c r="F9" s="86"/>
      <c r="H9" s="71"/>
      <c r="K9" s="40">
        <f t="shared" si="0"/>
        <v>6114</v>
      </c>
    </row>
    <row r="10" spans="1:11" ht="15" customHeight="1">
      <c r="A10" s="41" t="s">
        <v>46</v>
      </c>
      <c r="B10" s="13" t="s">
        <v>47</v>
      </c>
      <c r="C10" s="40">
        <v>6231</v>
      </c>
      <c r="D10" s="45">
        <v>45985</v>
      </c>
      <c r="F10" s="86"/>
      <c r="H10" s="71"/>
      <c r="K10" s="40">
        <f t="shared" si="0"/>
        <v>6231</v>
      </c>
    </row>
    <row r="11" spans="1:11" ht="15" customHeight="1">
      <c r="A11" s="41" t="s">
        <v>49</v>
      </c>
      <c r="B11" s="13" t="s">
        <v>50</v>
      </c>
      <c r="F11" s="86"/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277</v>
      </c>
      <c r="C12" s="73">
        <v>6114</v>
      </c>
      <c r="D12" s="86">
        <v>45979</v>
      </c>
      <c r="F12" s="86"/>
      <c r="H12" s="71"/>
      <c r="K12" s="46">
        <f t="shared" si="0"/>
        <v>6114</v>
      </c>
    </row>
    <row r="13" spans="1:11" ht="15" customHeight="1">
      <c r="A13" s="41" t="s">
        <v>55</v>
      </c>
      <c r="B13" s="13" t="s">
        <v>56</v>
      </c>
      <c r="C13" s="46">
        <v>6114</v>
      </c>
      <c r="D13" s="86">
        <v>45978</v>
      </c>
      <c r="F13" s="86"/>
      <c r="H13" s="71"/>
      <c r="K13" s="46">
        <f t="shared" si="0"/>
        <v>6114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0">
        <v>6231</v>
      </c>
      <c r="D15" s="45">
        <v>45985</v>
      </c>
      <c r="F15" s="86"/>
      <c r="H15" s="72"/>
      <c r="K15" s="40">
        <f t="shared" si="0"/>
        <v>6231</v>
      </c>
    </row>
    <row r="16" spans="1:11" ht="15" customHeight="1">
      <c r="A16" s="41" t="s">
        <v>63</v>
      </c>
      <c r="B16" s="13" t="s">
        <v>64</v>
      </c>
      <c r="C16" s="40">
        <v>6981</v>
      </c>
      <c r="D16" s="45">
        <v>45985</v>
      </c>
      <c r="F16" s="86"/>
      <c r="H16" s="71"/>
      <c r="K16" s="40">
        <f t="shared" si="0"/>
        <v>6981</v>
      </c>
    </row>
    <row r="17" spans="1:11" ht="15" customHeight="1">
      <c r="A17" s="41" t="s">
        <v>65</v>
      </c>
      <c r="B17" s="13" t="s">
        <v>66</v>
      </c>
      <c r="D17" s="87"/>
      <c r="F17" s="86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E18" s="46"/>
      <c r="F18" s="86"/>
      <c r="H18" s="72"/>
      <c r="K18" s="40">
        <f t="shared" si="0"/>
        <v>0</v>
      </c>
    </row>
    <row r="19" spans="1:11" ht="15" customHeight="1">
      <c r="A19" s="41" t="s">
        <v>69</v>
      </c>
      <c r="B19" s="13" t="s">
        <v>70</v>
      </c>
      <c r="C19" s="73">
        <v>6231.38</v>
      </c>
      <c r="D19" s="86">
        <v>45987</v>
      </c>
      <c r="F19" s="86"/>
      <c r="H19" s="71"/>
      <c r="K19" s="46">
        <f t="shared" si="0"/>
        <v>6231.38</v>
      </c>
    </row>
    <row r="20" spans="1:11" ht="15" customHeight="1">
      <c r="A20" s="41" t="s">
        <v>71</v>
      </c>
      <c r="B20" s="13" t="s">
        <v>72</v>
      </c>
      <c r="C20" s="73">
        <v>6731</v>
      </c>
      <c r="D20" s="86">
        <v>45989</v>
      </c>
      <c r="F20" s="86"/>
      <c r="H20" s="71"/>
      <c r="K20" s="46">
        <f t="shared" si="0"/>
        <v>6731</v>
      </c>
    </row>
    <row r="21" spans="1:11" ht="15" customHeight="1">
      <c r="A21" s="41" t="s">
        <v>73</v>
      </c>
      <c r="B21" s="13" t="s">
        <v>74</v>
      </c>
      <c r="C21" s="73"/>
      <c r="D21" s="86"/>
      <c r="F21" s="86"/>
      <c r="H21" s="71"/>
      <c r="K21" s="46">
        <f t="shared" si="0"/>
        <v>0</v>
      </c>
    </row>
    <row r="22" spans="1:11" ht="16">
      <c r="A22" s="41" t="s">
        <v>75</v>
      </c>
      <c r="B22" s="13" t="s">
        <v>76</v>
      </c>
      <c r="C22" s="46">
        <v>6114</v>
      </c>
      <c r="D22" s="86">
        <v>45984</v>
      </c>
      <c r="F22" s="86"/>
      <c r="H22" s="72"/>
      <c r="K22" s="46">
        <f t="shared" si="0"/>
        <v>6114</v>
      </c>
    </row>
    <row r="23" spans="1:11" ht="16">
      <c r="A23" s="41" t="s">
        <v>77</v>
      </c>
      <c r="B23" s="13" t="s">
        <v>78</v>
      </c>
      <c r="D23" s="87"/>
      <c r="F23" s="86"/>
      <c r="H23" s="72"/>
      <c r="K23" s="40">
        <f t="shared" si="0"/>
        <v>0</v>
      </c>
    </row>
    <row r="24" spans="1:11" ht="16">
      <c r="A24" s="41" t="s">
        <v>79</v>
      </c>
      <c r="B24" s="13" t="s">
        <v>80</v>
      </c>
      <c r="C24" s="40">
        <v>6114</v>
      </c>
      <c r="D24" s="45">
        <v>45987</v>
      </c>
      <c r="F24" s="86"/>
      <c r="H24" s="71"/>
      <c r="K24" s="40">
        <f t="shared" si="0"/>
        <v>6114</v>
      </c>
    </row>
    <row r="25" spans="1:11" ht="16">
      <c r="A25" s="41" t="s">
        <v>81</v>
      </c>
      <c r="B25" s="13" t="s">
        <v>82</v>
      </c>
      <c r="D25" s="87"/>
      <c r="F25" s="86"/>
      <c r="H25" s="72"/>
      <c r="K25" s="40">
        <f t="shared" si="0"/>
        <v>0</v>
      </c>
    </row>
    <row r="26" spans="1:11" ht="16">
      <c r="A26" s="41" t="s">
        <v>83</v>
      </c>
      <c r="B26" s="13" t="s">
        <v>84</v>
      </c>
      <c r="C26" s="73">
        <v>6354</v>
      </c>
      <c r="D26" s="86">
        <v>45990</v>
      </c>
      <c r="F26" s="86"/>
      <c r="H26" s="71"/>
      <c r="K26" s="46">
        <f t="shared" si="0"/>
        <v>6354</v>
      </c>
    </row>
    <row r="27" spans="1:11" ht="16">
      <c r="A27" s="41" t="s">
        <v>85</v>
      </c>
      <c r="B27" s="13" t="s">
        <v>86</v>
      </c>
      <c r="C27" s="46">
        <v>6114</v>
      </c>
      <c r="D27" s="87">
        <v>45989</v>
      </c>
      <c r="F27" s="86"/>
      <c r="H27" s="72"/>
      <c r="K27" s="46">
        <f t="shared" si="0"/>
        <v>6114</v>
      </c>
    </row>
    <row r="28" spans="1:11" ht="16">
      <c r="A28" s="41" t="s">
        <v>87</v>
      </c>
      <c r="B28" s="13" t="s">
        <v>88</v>
      </c>
      <c r="C28" s="40">
        <v>6114</v>
      </c>
      <c r="D28" s="45">
        <v>45979</v>
      </c>
      <c r="F28" s="86"/>
      <c r="H28" s="71"/>
      <c r="K28" s="40">
        <f t="shared" si="0"/>
        <v>6114</v>
      </c>
    </row>
    <row r="29" spans="1:11" ht="16">
      <c r="A29" s="41" t="s">
        <v>89</v>
      </c>
      <c r="B29" s="13" t="s">
        <v>90</v>
      </c>
      <c r="C29" s="73">
        <v>6114</v>
      </c>
      <c r="D29" s="47">
        <v>45988</v>
      </c>
      <c r="F29" s="86"/>
      <c r="H29" s="71"/>
      <c r="K29" s="46">
        <f t="shared" si="0"/>
        <v>6114</v>
      </c>
    </row>
    <row r="30" spans="1:11" ht="1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40">
        <v>6231</v>
      </c>
      <c r="D31" s="45">
        <v>45980</v>
      </c>
      <c r="F31" s="86"/>
      <c r="H31" s="71"/>
      <c r="K31" s="40">
        <f t="shared" si="0"/>
        <v>6231</v>
      </c>
    </row>
    <row r="32" spans="1:11" ht="16">
      <c r="A32" s="41" t="s">
        <v>95</v>
      </c>
      <c r="B32" s="13" t="s">
        <v>96</v>
      </c>
      <c r="C32" s="73">
        <v>5011</v>
      </c>
      <c r="D32" s="86">
        <v>45965</v>
      </c>
      <c r="E32" s="40">
        <v>6231</v>
      </c>
      <c r="F32" s="86">
        <v>45987</v>
      </c>
      <c r="H32" s="71"/>
      <c r="K32" s="46">
        <f t="shared" si="0"/>
        <v>11242</v>
      </c>
    </row>
    <row r="33" spans="1:11" ht="16">
      <c r="A33" s="41" t="s">
        <v>97</v>
      </c>
      <c r="B33" s="13" t="s">
        <v>98</v>
      </c>
      <c r="C33" s="42">
        <v>6114</v>
      </c>
      <c r="D33" s="86">
        <v>45988</v>
      </c>
      <c r="F33" s="86"/>
      <c r="H33" s="71"/>
      <c r="K33" s="40">
        <f t="shared" si="0"/>
        <v>6114</v>
      </c>
    </row>
    <row r="34" spans="1:11" ht="16">
      <c r="A34" s="41" t="s">
        <v>99</v>
      </c>
      <c r="B34" s="13" t="s">
        <v>100</v>
      </c>
      <c r="C34" s="73">
        <v>6114</v>
      </c>
      <c r="D34" s="86">
        <v>45978</v>
      </c>
      <c r="F34" s="86"/>
      <c r="H34" s="71"/>
      <c r="K34" s="46">
        <f t="shared" si="0"/>
        <v>6114</v>
      </c>
    </row>
    <row r="35" spans="1:11" ht="1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">
      <c r="A36" s="41" t="s">
        <v>103</v>
      </c>
      <c r="B36" s="13" t="s">
        <v>104</v>
      </c>
      <c r="C36" s="40">
        <v>6231</v>
      </c>
      <c r="D36" s="45">
        <v>45986</v>
      </c>
      <c r="F36" s="86"/>
      <c r="H36" s="72"/>
      <c r="K36" s="40">
        <f t="shared" si="0"/>
        <v>6231</v>
      </c>
    </row>
    <row r="37" spans="1:11" ht="16">
      <c r="A37" s="41" t="s">
        <v>105</v>
      </c>
      <c r="B37" s="13" t="s">
        <v>106</v>
      </c>
      <c r="C37" s="73">
        <v>5637</v>
      </c>
      <c r="D37" s="86">
        <v>45975</v>
      </c>
      <c r="E37" s="40">
        <v>6114</v>
      </c>
      <c r="F37" s="86">
        <v>45990</v>
      </c>
      <c r="H37" s="71"/>
      <c r="K37" s="46">
        <f t="shared" si="0"/>
        <v>11751</v>
      </c>
    </row>
    <row r="38" spans="1:11" ht="16">
      <c r="A38" s="41" t="s">
        <v>107</v>
      </c>
      <c r="B38" s="13" t="s">
        <v>108</v>
      </c>
      <c r="F38" s="86"/>
      <c r="H38" s="71"/>
      <c r="K38" s="40">
        <f t="shared" si="0"/>
        <v>0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40">
        <v>6114</v>
      </c>
      <c r="D40" s="45">
        <v>45986</v>
      </c>
      <c r="F40" s="86"/>
      <c r="H40" s="71"/>
      <c r="K40" s="40">
        <f t="shared" si="0"/>
        <v>6114</v>
      </c>
    </row>
    <row r="41" spans="1:11" ht="16">
      <c r="A41" s="41" t="s">
        <v>113</v>
      </c>
      <c r="B41" s="13" t="s">
        <v>114</v>
      </c>
      <c r="C41" s="73">
        <v>6114</v>
      </c>
      <c r="D41" s="86">
        <v>45984</v>
      </c>
      <c r="F41" s="86"/>
      <c r="H41" s="71"/>
      <c r="K41" s="46">
        <f t="shared" si="0"/>
        <v>6114</v>
      </c>
    </row>
    <row r="42" spans="1:11" ht="16">
      <c r="A42" s="41" t="s">
        <v>115</v>
      </c>
      <c r="B42" s="13" t="s">
        <v>116</v>
      </c>
      <c r="C42" s="73">
        <v>6240</v>
      </c>
      <c r="D42" s="86">
        <v>45978</v>
      </c>
      <c r="F42" s="86"/>
      <c r="H42" s="71"/>
      <c r="K42" s="46">
        <f t="shared" si="0"/>
        <v>6240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40">
        <v>6114</v>
      </c>
      <c r="D44" s="45">
        <v>45988</v>
      </c>
      <c r="F44" s="86"/>
      <c r="H44" s="71"/>
      <c r="K44" s="40">
        <f t="shared" si="0"/>
        <v>6114</v>
      </c>
    </row>
    <row r="45" spans="1:11" ht="16">
      <c r="A45" s="41" t="s">
        <v>121</v>
      </c>
      <c r="B45" s="13" t="s">
        <v>122</v>
      </c>
      <c r="C45" s="73">
        <v>5235</v>
      </c>
      <c r="D45" s="86">
        <v>45963</v>
      </c>
      <c r="E45" s="40">
        <v>6114</v>
      </c>
      <c r="F45" s="86">
        <v>45982</v>
      </c>
      <c r="H45" s="71"/>
      <c r="K45" s="46">
        <f t="shared" si="0"/>
        <v>11349</v>
      </c>
    </row>
    <row r="46" spans="1:11" ht="1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F48" s="86"/>
      <c r="H48" s="71"/>
      <c r="K48" s="40">
        <f t="shared" si="0"/>
        <v>0</v>
      </c>
    </row>
    <row r="49" spans="1:11" ht="16">
      <c r="A49" s="41" t="s">
        <v>129</v>
      </c>
      <c r="B49" s="13" t="s">
        <v>130</v>
      </c>
      <c r="C49" s="40">
        <v>6114</v>
      </c>
      <c r="D49" s="87">
        <v>45977</v>
      </c>
      <c r="F49" s="86"/>
      <c r="H49" s="72"/>
      <c r="K49" s="40">
        <f t="shared" si="0"/>
        <v>6114</v>
      </c>
    </row>
    <row r="50" spans="1:11" ht="16">
      <c r="A50" s="41" t="s">
        <v>131</v>
      </c>
      <c r="B50" s="13" t="s">
        <v>132</v>
      </c>
      <c r="C50" s="42">
        <v>6114</v>
      </c>
      <c r="D50" s="47">
        <v>45982</v>
      </c>
      <c r="F50" s="86"/>
      <c r="H50" s="71"/>
      <c r="K50" s="40">
        <f t="shared" si="0"/>
        <v>6114</v>
      </c>
    </row>
    <row r="51" spans="1:11" ht="16">
      <c r="A51" s="41" t="s">
        <v>133</v>
      </c>
      <c r="B51" s="13" t="s">
        <v>134</v>
      </c>
      <c r="F51" s="86"/>
      <c r="H51" s="72"/>
      <c r="K51" s="40">
        <f t="shared" si="0"/>
        <v>0</v>
      </c>
    </row>
    <row r="52" spans="1:11" ht="16">
      <c r="A52" s="41" t="s">
        <v>135</v>
      </c>
      <c r="B52" s="13" t="s">
        <v>136</v>
      </c>
      <c r="C52" s="40">
        <v>6231</v>
      </c>
      <c r="D52" s="45">
        <v>45981</v>
      </c>
      <c r="F52" s="86"/>
      <c r="H52" s="71"/>
      <c r="K52" s="40">
        <f t="shared" si="0"/>
        <v>6231</v>
      </c>
    </row>
    <row r="53" spans="1:11" ht="1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">
      <c r="A55" s="41" t="s">
        <v>141</v>
      </c>
      <c r="B55" s="13" t="s">
        <v>142</v>
      </c>
      <c r="C55" s="46">
        <v>5634</v>
      </c>
      <c r="D55" s="86">
        <v>45965</v>
      </c>
      <c r="H55" s="72"/>
      <c r="K55" s="46">
        <f t="shared" si="0"/>
        <v>5634</v>
      </c>
    </row>
    <row r="56" spans="1:11" ht="16">
      <c r="A56" s="41" t="s">
        <v>143</v>
      </c>
      <c r="B56" s="13" t="s">
        <v>144</v>
      </c>
      <c r="C56" s="42">
        <v>6114</v>
      </c>
      <c r="D56" s="86">
        <v>45983</v>
      </c>
      <c r="F56" s="86"/>
      <c r="H56" s="71"/>
      <c r="K56" s="40">
        <f t="shared" si="0"/>
        <v>6114</v>
      </c>
    </row>
    <row r="57" spans="1:11" ht="16">
      <c r="A57" s="41" t="s">
        <v>145</v>
      </c>
      <c r="B57" s="13" t="s">
        <v>146</v>
      </c>
      <c r="C57" s="40">
        <v>6114</v>
      </c>
      <c r="D57" s="45">
        <v>45984</v>
      </c>
      <c r="F57" s="86"/>
      <c r="H57" s="72"/>
      <c r="K57" s="40">
        <f t="shared" si="0"/>
        <v>6114</v>
      </c>
    </row>
    <row r="58" spans="1:11" ht="16">
      <c r="A58" s="41" t="s">
        <v>147</v>
      </c>
      <c r="B58" s="13" t="s">
        <v>148</v>
      </c>
      <c r="C58" s="40">
        <v>6231</v>
      </c>
      <c r="D58" s="45">
        <v>45977</v>
      </c>
      <c r="F58" s="86"/>
      <c r="H58" s="72"/>
      <c r="K58" s="40">
        <f t="shared" si="0"/>
        <v>6231</v>
      </c>
    </row>
    <row r="59" spans="1:11" ht="16">
      <c r="A59" s="41" t="s">
        <v>149</v>
      </c>
      <c r="B59" s="13" t="s">
        <v>36</v>
      </c>
      <c r="C59" s="120">
        <v>6864</v>
      </c>
      <c r="D59" s="86">
        <v>45977</v>
      </c>
      <c r="F59" s="86"/>
      <c r="H59" s="71"/>
      <c r="K59" s="46">
        <f t="shared" si="0"/>
        <v>6864</v>
      </c>
    </row>
    <row r="60" spans="1:11" ht="16">
      <c r="A60" s="41" t="s">
        <v>150</v>
      </c>
      <c r="B60" s="13" t="s">
        <v>151</v>
      </c>
      <c r="C60" s="46">
        <v>4834</v>
      </c>
      <c r="D60" s="86">
        <v>45973</v>
      </c>
      <c r="H60" s="71"/>
      <c r="K60" s="46">
        <f t="shared" si="0"/>
        <v>4834</v>
      </c>
    </row>
    <row r="61" spans="1:11" ht="16">
      <c r="A61" s="41" t="s">
        <v>152</v>
      </c>
      <c r="B61" s="13" t="s">
        <v>153</v>
      </c>
      <c r="C61" s="46">
        <v>6114</v>
      </c>
      <c r="D61" s="86">
        <v>45978</v>
      </c>
      <c r="F61" s="86"/>
      <c r="H61" s="71"/>
      <c r="K61" s="46">
        <f t="shared" si="0"/>
        <v>6114</v>
      </c>
    </row>
    <row r="62" spans="1:11" ht="16">
      <c r="A62" s="41" t="s">
        <v>154</v>
      </c>
      <c r="B62" s="13" t="s">
        <v>278</v>
      </c>
      <c r="C62" s="46">
        <v>12000</v>
      </c>
      <c r="D62" s="49">
        <v>45965</v>
      </c>
      <c r="F62" s="86"/>
      <c r="H62" s="71"/>
      <c r="K62" s="46">
        <f t="shared" si="0"/>
        <v>12000</v>
      </c>
    </row>
    <row r="63" spans="1:11" ht="16">
      <c r="A63" s="41" t="s">
        <v>156</v>
      </c>
      <c r="B63" s="13" t="s">
        <v>157</v>
      </c>
      <c r="C63" s="46">
        <v>6231</v>
      </c>
      <c r="D63" s="87">
        <v>45987</v>
      </c>
      <c r="F63" s="86"/>
      <c r="H63" s="72"/>
      <c r="K63" s="46">
        <f t="shared" si="0"/>
        <v>6231</v>
      </c>
    </row>
    <row r="64" spans="1:11" ht="16">
      <c r="A64" s="41" t="s">
        <v>158</v>
      </c>
      <c r="B64" s="13" t="s">
        <v>159</v>
      </c>
      <c r="C64" s="73"/>
      <c r="D64" s="86"/>
      <c r="F64" s="86"/>
      <c r="H64" s="71"/>
      <c r="K64" s="46">
        <f t="shared" si="0"/>
        <v>0</v>
      </c>
    </row>
    <row r="65" spans="1:27" ht="16">
      <c r="A65" s="41" t="s">
        <v>160</v>
      </c>
      <c r="B65" s="13" t="s">
        <v>161</v>
      </c>
      <c r="C65" s="73"/>
      <c r="D65" s="86"/>
      <c r="F65" s="86"/>
      <c r="H65" s="71"/>
      <c r="K65" s="46">
        <f t="shared" si="0"/>
        <v>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273730.38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7.33203125" customWidth="1"/>
    <col min="10" max="10" width="28.5" customWidth="1"/>
    <col min="11" max="18" width="17.33203125" customWidth="1"/>
    <col min="19" max="19" width="42.6640625" customWidth="1"/>
    <col min="20" max="20" width="10.33203125" customWidth="1"/>
  </cols>
  <sheetData>
    <row r="1" spans="1:20" ht="16.5" customHeight="1">
      <c r="A1" s="104"/>
      <c r="B1" s="249" t="s">
        <v>279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</row>
    <row r="2" spans="1:20" ht="58.5" customHeight="1">
      <c r="A2" s="104" t="s">
        <v>1</v>
      </c>
      <c r="B2" s="105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18" t="s">
        <v>19</v>
      </c>
      <c r="C3" s="9">
        <v>5.5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18" t="s">
        <v>19</v>
      </c>
      <c r="C4" s="9">
        <v>32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'ANNUAL-EXPENSE-DETAILS'!BF11</f>
        <v>285324</v>
      </c>
    </row>
    <row r="5" spans="1:20" ht="12.75" customHeight="1">
      <c r="A5" s="104" t="s">
        <v>22</v>
      </c>
      <c r="B5" s="11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'ANNUAL-EXPENSE-DETAILS'!BE11</f>
        <v>39800</v>
      </c>
    </row>
    <row r="6" spans="1:20" ht="12.75" customHeight="1">
      <c r="A6" s="104" t="s">
        <v>24</v>
      </c>
      <c r="B6" s="13" t="s">
        <v>25</v>
      </c>
      <c r="C6" s="9">
        <v>3110</v>
      </c>
      <c r="D6" s="104">
        <f t="shared" ref="D6:D69" si="0">SUM($C$3:$C$5)/64</f>
        <v>0.5859375</v>
      </c>
      <c r="E6" s="104">
        <f t="shared" ref="E6:E69" si="1">C6+D6</f>
        <v>3110.5859375</v>
      </c>
      <c r="F6" s="104">
        <f t="shared" ref="F6:F70" si="2">IF($C$70=0, 0, E6/$C$70)</f>
        <v>7.3717816740271848E-3</v>
      </c>
      <c r="G6" s="104">
        <f t="shared" ref="G6:G69" si="3">F6*$T$5</f>
        <v>293.39691062628197</v>
      </c>
      <c r="H6" s="104">
        <v>3</v>
      </c>
      <c r="I6" s="104">
        <f t="shared" ref="I6:I69" si="4">$T$7*H6</f>
        <v>353.434977</v>
      </c>
      <c r="J6" s="104">
        <f t="shared" ref="J6:J69" si="5">G6+$T$9+I6</f>
        <v>652.35430914190692</v>
      </c>
      <c r="K6" s="104">
        <f t="shared" ref="K6:K69" si="6">$T$11/64</f>
        <v>4458.1875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5110.5418091419069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10075.5</v>
      </c>
      <c r="D7" s="104">
        <f t="shared" si="0"/>
        <v>0.5859375</v>
      </c>
      <c r="E7" s="104">
        <f t="shared" si="1"/>
        <v>10076.0859375</v>
      </c>
      <c r="F7" s="104">
        <f t="shared" si="2"/>
        <v>2.3879329217209748E-2</v>
      </c>
      <c r="G7" s="104">
        <f t="shared" si="3"/>
        <v>950.39730284494794</v>
      </c>
      <c r="H7" s="104">
        <v>4</v>
      </c>
      <c r="I7" s="104">
        <f t="shared" si="4"/>
        <v>471.24663600000002</v>
      </c>
      <c r="J7" s="104">
        <f t="shared" si="5"/>
        <v>1427.166360360573</v>
      </c>
      <c r="K7" s="104">
        <f t="shared" si="6"/>
        <v>4458.1875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5885.353860360573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13055.5</v>
      </c>
      <c r="D8" s="104">
        <f t="shared" si="0"/>
        <v>0.5859375</v>
      </c>
      <c r="E8" s="104">
        <f t="shared" si="1"/>
        <v>13056.0859375</v>
      </c>
      <c r="F8" s="104">
        <f t="shared" si="2"/>
        <v>3.094163510748095E-2</v>
      </c>
      <c r="G8" s="104">
        <f t="shared" si="3"/>
        <v>1231.4770772777417</v>
      </c>
      <c r="H8" s="104">
        <v>4</v>
      </c>
      <c r="I8" s="104">
        <f t="shared" si="4"/>
        <v>471.24663600000002</v>
      </c>
      <c r="J8" s="104">
        <f t="shared" si="5"/>
        <v>1708.2461347933668</v>
      </c>
      <c r="K8" s="104">
        <f t="shared" si="6"/>
        <v>4458.1875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6916.4336347933668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3730.5</v>
      </c>
      <c r="D9" s="104">
        <f t="shared" si="0"/>
        <v>0.5859375</v>
      </c>
      <c r="E9" s="104">
        <f t="shared" si="1"/>
        <v>3731.0859375</v>
      </c>
      <c r="F9" s="104">
        <f t="shared" si="2"/>
        <v>8.8423054340651987E-3</v>
      </c>
      <c r="G9" s="104">
        <f t="shared" si="3"/>
        <v>351.92375627579491</v>
      </c>
      <c r="H9" s="104">
        <v>4</v>
      </c>
      <c r="I9" s="104">
        <f t="shared" si="4"/>
        <v>471.24663600000002</v>
      </c>
      <c r="J9" s="104">
        <f t="shared" si="5"/>
        <v>828.69281379141989</v>
      </c>
      <c r="K9" s="104">
        <f t="shared" si="6"/>
        <v>4458.1875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5286.8803137914201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5728</v>
      </c>
      <c r="D10" s="104">
        <f t="shared" si="0"/>
        <v>0.5859375</v>
      </c>
      <c r="E10" s="104">
        <f t="shared" si="1"/>
        <v>5728.5859375</v>
      </c>
      <c r="F10" s="104">
        <f t="shared" si="2"/>
        <v>1.3576183291721815E-2</v>
      </c>
      <c r="G10" s="104">
        <f t="shared" si="3"/>
        <v>540.33209501052829</v>
      </c>
      <c r="H10" s="104">
        <v>3</v>
      </c>
      <c r="I10" s="104">
        <f t="shared" si="4"/>
        <v>353.434977</v>
      </c>
      <c r="J10" s="104">
        <f t="shared" si="5"/>
        <v>899.28949352615325</v>
      </c>
      <c r="K10" s="104">
        <f t="shared" si="6"/>
        <v>4458.1875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5357.4769935261529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3612.5</v>
      </c>
      <c r="D11" s="104">
        <f t="shared" si="0"/>
        <v>0.5859375</v>
      </c>
      <c r="E11" s="104">
        <f t="shared" si="1"/>
        <v>3613.0859375</v>
      </c>
      <c r="F11" s="104">
        <f t="shared" si="2"/>
        <v>8.5626570800209027E-3</v>
      </c>
      <c r="G11" s="104">
        <f t="shared" si="3"/>
        <v>340.7937517848319</v>
      </c>
      <c r="H11" s="104">
        <v>3</v>
      </c>
      <c r="I11" s="104">
        <f t="shared" si="4"/>
        <v>353.434977</v>
      </c>
      <c r="J11" s="104">
        <f t="shared" si="5"/>
        <v>699.75115030045686</v>
      </c>
      <c r="K11" s="104">
        <f t="shared" si="6"/>
        <v>4458.1875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5157.9386503004571</v>
      </c>
      <c r="S11" s="113" t="s">
        <v>21</v>
      </c>
      <c r="T11" s="114">
        <f>'ANNUAL-EXPENSE-DETAILS'!BF11</f>
        <v>285324</v>
      </c>
    </row>
    <row r="12" spans="1:20" ht="12.75" customHeight="1">
      <c r="A12" s="104" t="s">
        <v>40</v>
      </c>
      <c r="B12" s="13" t="s">
        <v>41</v>
      </c>
      <c r="C12" s="9">
        <v>19</v>
      </c>
      <c r="D12" s="104">
        <f t="shared" si="0"/>
        <v>0.5859375</v>
      </c>
      <c r="E12" s="104">
        <f t="shared" si="1"/>
        <v>19.5859375</v>
      </c>
      <c r="F12" s="104">
        <f t="shared" si="2"/>
        <v>4.6416738849910592E-5</v>
      </c>
      <c r="G12" s="104">
        <f t="shared" si="3"/>
        <v>1.8473862062264417</v>
      </c>
      <c r="H12" s="104">
        <v>3</v>
      </c>
      <c r="I12" s="104">
        <f t="shared" si="4"/>
        <v>353.434977</v>
      </c>
      <c r="J12" s="104">
        <f t="shared" si="5"/>
        <v>360.80478472185143</v>
      </c>
      <c r="K12" s="104">
        <f t="shared" si="6"/>
        <v>4458.1875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5568.9922847218513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22651</v>
      </c>
      <c r="D13" s="104">
        <f t="shared" si="0"/>
        <v>0.5859375</v>
      </c>
      <c r="E13" s="104">
        <f t="shared" si="1"/>
        <v>22651.5859375</v>
      </c>
      <c r="F13" s="104">
        <f t="shared" si="2"/>
        <v>5.3682023084023665E-2</v>
      </c>
      <c r="G13" s="104">
        <f t="shared" si="3"/>
        <v>2136.5445187441419</v>
      </c>
      <c r="H13" s="104">
        <v>3</v>
      </c>
      <c r="I13" s="104">
        <f t="shared" si="4"/>
        <v>353.434977</v>
      </c>
      <c r="J13" s="104">
        <f t="shared" si="5"/>
        <v>2495.5019172597667</v>
      </c>
      <c r="K13" s="104">
        <f t="shared" si="6"/>
        <v>4458.1875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6953.6894172597667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1887.5</v>
      </c>
      <c r="D14" s="104">
        <f t="shared" si="0"/>
        <v>0.5859375</v>
      </c>
      <c r="E14" s="104">
        <f t="shared" si="1"/>
        <v>1888.0859375</v>
      </c>
      <c r="F14" s="104">
        <f t="shared" si="2"/>
        <v>4.4745773281021708E-3</v>
      </c>
      <c r="G14" s="104">
        <f t="shared" si="3"/>
        <v>178.08817765846641</v>
      </c>
      <c r="H14" s="104">
        <v>4</v>
      </c>
      <c r="I14" s="104">
        <f t="shared" si="4"/>
        <v>471.24663600000002</v>
      </c>
      <c r="J14" s="104">
        <f t="shared" si="5"/>
        <v>654.85723517409144</v>
      </c>
      <c r="K14" s="104">
        <f t="shared" si="6"/>
        <v>4458.1875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5113.0447351740913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2453</v>
      </c>
      <c r="D15" s="104">
        <f t="shared" si="0"/>
        <v>0.5859375</v>
      </c>
      <c r="E15" s="104">
        <f t="shared" si="1"/>
        <v>2453.5859375</v>
      </c>
      <c r="F15" s="104">
        <f t="shared" si="2"/>
        <v>5.814756516339877E-3</v>
      </c>
      <c r="G15" s="104">
        <f t="shared" si="3"/>
        <v>231.42730935032711</v>
      </c>
      <c r="H15" s="104">
        <v>3</v>
      </c>
      <c r="I15" s="104">
        <f t="shared" si="4"/>
        <v>353.434977</v>
      </c>
      <c r="J15" s="104">
        <f t="shared" si="5"/>
        <v>590.38470786595212</v>
      </c>
      <c r="K15" s="104">
        <f t="shared" si="6"/>
        <v>4458.1875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5048.5722078659519</v>
      </c>
      <c r="S15" s="61" t="s">
        <v>281</v>
      </c>
      <c r="T15" s="63"/>
    </row>
    <row r="16" spans="1:20" ht="12.75" customHeight="1">
      <c r="A16" s="104" t="s">
        <v>52</v>
      </c>
      <c r="B16" s="13" t="s">
        <v>53</v>
      </c>
      <c r="C16" s="9">
        <v>993</v>
      </c>
      <c r="D16" s="104">
        <f t="shared" si="0"/>
        <v>0.5859375</v>
      </c>
      <c r="E16" s="104">
        <f t="shared" si="1"/>
        <v>993.5859375</v>
      </c>
      <c r="F16" s="104">
        <f t="shared" si="2"/>
        <v>2.3547006103680811E-3</v>
      </c>
      <c r="G16" s="104">
        <f t="shared" si="3"/>
        <v>93.717084292649631</v>
      </c>
      <c r="H16" s="104">
        <v>3</v>
      </c>
      <c r="I16" s="104">
        <f t="shared" si="4"/>
        <v>353.434977</v>
      </c>
      <c r="J16" s="104">
        <f t="shared" si="5"/>
        <v>452.67448280827466</v>
      </c>
      <c r="K16" s="104">
        <f t="shared" si="6"/>
        <v>4458.1875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4910.8619828082747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538.5</v>
      </c>
      <c r="D17" s="104">
        <f t="shared" si="0"/>
        <v>0.5859375</v>
      </c>
      <c r="E17" s="104">
        <f t="shared" si="1"/>
        <v>539.0859375</v>
      </c>
      <c r="F17" s="104">
        <f t="shared" si="2"/>
        <v>1.2775804670364503E-3</v>
      </c>
      <c r="G17" s="104">
        <f t="shared" si="3"/>
        <v>50.847702588050723</v>
      </c>
      <c r="H17" s="104">
        <v>3</v>
      </c>
      <c r="I17" s="104">
        <f t="shared" si="4"/>
        <v>353.434977</v>
      </c>
      <c r="J17" s="104">
        <f t="shared" si="5"/>
        <v>409.80510110367572</v>
      </c>
      <c r="K17" s="104">
        <f t="shared" si="6"/>
        <v>4458.1875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4867.992601103676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2235.5</v>
      </c>
      <c r="D18" s="104">
        <f t="shared" si="0"/>
        <v>0.5859375</v>
      </c>
      <c r="E18" s="104">
        <f t="shared" si="1"/>
        <v>2236.0859375</v>
      </c>
      <c r="F18" s="104">
        <f t="shared" si="2"/>
        <v>5.2993029824022981E-3</v>
      </c>
      <c r="G18" s="104">
        <f t="shared" si="3"/>
        <v>210.91225869961147</v>
      </c>
      <c r="H18" s="104">
        <v>4</v>
      </c>
      <c r="I18" s="104">
        <f t="shared" si="4"/>
        <v>471.24663600000002</v>
      </c>
      <c r="J18" s="104">
        <f t="shared" si="5"/>
        <v>687.68131621523651</v>
      </c>
      <c r="K18" s="104">
        <f t="shared" si="6"/>
        <v>4458.1875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5145.8688162152366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7655.5</v>
      </c>
      <c r="D19" s="104">
        <f t="shared" si="0"/>
        <v>0.5859375</v>
      </c>
      <c r="E19" s="104">
        <f t="shared" si="1"/>
        <v>7656.0859375</v>
      </c>
      <c r="F19" s="104">
        <f t="shared" si="2"/>
        <v>1.8144168057996225E-2</v>
      </c>
      <c r="G19" s="104">
        <f t="shared" si="3"/>
        <v>722.13788870824976</v>
      </c>
      <c r="H19" s="104">
        <v>4</v>
      </c>
      <c r="I19" s="104">
        <f t="shared" si="4"/>
        <v>471.24663600000002</v>
      </c>
      <c r="J19" s="104">
        <f t="shared" si="5"/>
        <v>1198.9069462238747</v>
      </c>
      <c r="K19" s="104">
        <f t="shared" si="6"/>
        <v>4458.1875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5657.0944462238749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3799</v>
      </c>
      <c r="D20" s="104">
        <f t="shared" si="0"/>
        <v>0.5859375</v>
      </c>
      <c r="E20" s="104">
        <f t="shared" si="1"/>
        <v>3799.5859375</v>
      </c>
      <c r="F20" s="104">
        <f t="shared" si="2"/>
        <v>9.0046436734892172E-3</v>
      </c>
      <c r="G20" s="104">
        <f t="shared" si="3"/>
        <v>358.38481820487084</v>
      </c>
      <c r="H20" s="104">
        <v>4</v>
      </c>
      <c r="I20" s="104">
        <f t="shared" si="4"/>
        <v>471.24663600000002</v>
      </c>
      <c r="J20" s="104">
        <f t="shared" si="5"/>
        <v>835.15387572049588</v>
      </c>
      <c r="K20" s="104">
        <f t="shared" si="6"/>
        <v>4458.1875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6043.3413757204962</v>
      </c>
      <c r="S20" s="66" t="s">
        <v>57</v>
      </c>
      <c r="T20" s="67">
        <f>'ANNUAL-EXPENSE-DETAILS'!BH11</f>
        <v>351396</v>
      </c>
    </row>
    <row r="21" spans="1:20" ht="12.75" customHeight="1">
      <c r="A21" s="104" t="s">
        <v>65</v>
      </c>
      <c r="B21" s="13" t="s">
        <v>66</v>
      </c>
      <c r="C21" s="9">
        <v>19344</v>
      </c>
      <c r="D21" s="104">
        <f t="shared" si="0"/>
        <v>0.5859375</v>
      </c>
      <c r="E21" s="104">
        <f t="shared" si="1"/>
        <v>19344.5859375</v>
      </c>
      <c r="F21" s="104">
        <f t="shared" si="2"/>
        <v>4.5844759466867002E-2</v>
      </c>
      <c r="G21" s="104">
        <f t="shared" si="3"/>
        <v>1824.6214267813066</v>
      </c>
      <c r="H21" s="104">
        <v>3</v>
      </c>
      <c r="I21" s="104">
        <f t="shared" si="4"/>
        <v>353.434977</v>
      </c>
      <c r="J21" s="104">
        <f t="shared" si="5"/>
        <v>2183.5788252969314</v>
      </c>
      <c r="K21" s="104">
        <f t="shared" si="6"/>
        <v>4458.1875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6641.7663252969314</v>
      </c>
      <c r="S21" s="66"/>
      <c r="T21" s="67"/>
    </row>
    <row r="22" spans="1:20" ht="12.75" customHeight="1">
      <c r="A22" s="104" t="s">
        <v>67</v>
      </c>
      <c r="B22" s="13" t="s">
        <v>68</v>
      </c>
      <c r="C22" s="9">
        <v>7851</v>
      </c>
      <c r="D22" s="104">
        <f t="shared" si="0"/>
        <v>0.5859375</v>
      </c>
      <c r="E22" s="104">
        <f t="shared" si="1"/>
        <v>7851.5859375</v>
      </c>
      <c r="F22" s="104">
        <f t="shared" si="2"/>
        <v>1.8607483763213681E-2</v>
      </c>
      <c r="G22" s="104">
        <f t="shared" si="3"/>
        <v>740.57785377590449</v>
      </c>
      <c r="H22" s="104">
        <v>3</v>
      </c>
      <c r="I22" s="104">
        <f t="shared" si="4"/>
        <v>353.434977</v>
      </c>
      <c r="J22" s="104">
        <f t="shared" si="5"/>
        <v>1099.5352522915296</v>
      </c>
      <c r="K22" s="104">
        <f t="shared" si="6"/>
        <v>4458.1875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5557.7227522915291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7584</v>
      </c>
      <c r="D23" s="104">
        <f t="shared" si="0"/>
        <v>0.5859375</v>
      </c>
      <c r="E23" s="104">
        <f t="shared" si="1"/>
        <v>7584.5859375</v>
      </c>
      <c r="F23" s="104">
        <f t="shared" si="2"/>
        <v>1.7974720114655826E-2</v>
      </c>
      <c r="G23" s="104">
        <f t="shared" si="3"/>
        <v>715.39386056330193</v>
      </c>
      <c r="H23" s="104">
        <v>4</v>
      </c>
      <c r="I23" s="104">
        <f t="shared" si="4"/>
        <v>471.24663600000002</v>
      </c>
      <c r="J23" s="104">
        <f t="shared" si="5"/>
        <v>1192.1629180789269</v>
      </c>
      <c r="K23" s="104">
        <f t="shared" si="6"/>
        <v>4458.1875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5650.3504180789269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9390.5</v>
      </c>
      <c r="D24" s="104">
        <f t="shared" si="0"/>
        <v>0.5859375</v>
      </c>
      <c r="E24" s="104">
        <f t="shared" si="1"/>
        <v>9391.0859375</v>
      </c>
      <c r="F24" s="104">
        <f t="shared" si="2"/>
        <v>2.2255946822969556E-2</v>
      </c>
      <c r="G24" s="104">
        <f t="shared" si="3"/>
        <v>885.78668355418836</v>
      </c>
      <c r="H24" s="104">
        <v>4</v>
      </c>
      <c r="I24" s="104">
        <f t="shared" si="4"/>
        <v>471.24663600000002</v>
      </c>
      <c r="J24" s="104">
        <f t="shared" si="5"/>
        <v>1362.5557410698134</v>
      </c>
      <c r="K24" s="104">
        <f t="shared" si="6"/>
        <v>4458.1875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5820.7432410698129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16823</v>
      </c>
      <c r="D25" s="104">
        <f t="shared" si="0"/>
        <v>0.5859375</v>
      </c>
      <c r="E25" s="104">
        <f t="shared" si="1"/>
        <v>16823.5859375</v>
      </c>
      <c r="F25" s="104">
        <f t="shared" si="2"/>
        <v>3.9870238275802002E-2</v>
      </c>
      <c r="G25" s="104">
        <f t="shared" si="3"/>
        <v>1586.8354833769197</v>
      </c>
      <c r="H25" s="104">
        <v>4</v>
      </c>
      <c r="I25" s="104">
        <f t="shared" si="4"/>
        <v>471.24663600000002</v>
      </c>
      <c r="J25" s="104">
        <f t="shared" si="5"/>
        <v>2063.6045408925447</v>
      </c>
      <c r="K25" s="104">
        <f t="shared" si="6"/>
        <v>4458.1875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6521.7920408925447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13109</v>
      </c>
      <c r="D26" s="104">
        <f t="shared" si="0"/>
        <v>0.5859375</v>
      </c>
      <c r="E26" s="104">
        <f t="shared" si="1"/>
        <v>13109.5859375</v>
      </c>
      <c r="F26" s="104">
        <f t="shared" si="2"/>
        <v>3.1068424827323065E-2</v>
      </c>
      <c r="G26" s="104">
        <f t="shared" si="3"/>
        <v>1236.523308127458</v>
      </c>
      <c r="H26" s="104">
        <v>3</v>
      </c>
      <c r="I26" s="104">
        <f t="shared" si="4"/>
        <v>353.434977</v>
      </c>
      <c r="J26" s="104">
        <f t="shared" si="5"/>
        <v>1595.4807066430831</v>
      </c>
      <c r="K26" s="104">
        <f t="shared" si="6"/>
        <v>4458.1875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6053.6682066430831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10438</v>
      </c>
      <c r="D27" s="104">
        <f t="shared" si="0"/>
        <v>0.5859375</v>
      </c>
      <c r="E27" s="104">
        <f t="shared" si="1"/>
        <v>10438.5859375</v>
      </c>
      <c r="F27" s="104">
        <f t="shared" si="2"/>
        <v>2.4738418440439048E-2</v>
      </c>
      <c r="G27" s="104">
        <f t="shared" si="3"/>
        <v>984.58905392947406</v>
      </c>
      <c r="H27" s="104">
        <v>3</v>
      </c>
      <c r="I27" s="104">
        <f t="shared" si="4"/>
        <v>353.434977</v>
      </c>
      <c r="J27" s="104">
        <f t="shared" si="5"/>
        <v>1343.546452445099</v>
      </c>
      <c r="K27" s="104">
        <f t="shared" si="6"/>
        <v>4458.1875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5801.733952445099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5839</v>
      </c>
      <c r="D28" s="104">
        <f t="shared" si="0"/>
        <v>0.5859375</v>
      </c>
      <c r="E28" s="104">
        <f t="shared" si="1"/>
        <v>5839.5859375</v>
      </c>
      <c r="F28" s="104">
        <f t="shared" si="2"/>
        <v>1.383924233662789E-2</v>
      </c>
      <c r="G28" s="104">
        <f t="shared" si="3"/>
        <v>550.80184499779</v>
      </c>
      <c r="H28" s="104">
        <v>3</v>
      </c>
      <c r="I28" s="104">
        <f t="shared" si="4"/>
        <v>353.434977</v>
      </c>
      <c r="J28" s="104">
        <f t="shared" si="5"/>
        <v>909.75924351341496</v>
      </c>
      <c r="K28" s="104">
        <f t="shared" si="6"/>
        <v>4458.1875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5367.9467435134147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4608</v>
      </c>
      <c r="D29" s="104">
        <f t="shared" si="0"/>
        <v>0.5859375</v>
      </c>
      <c r="E29" s="104">
        <f t="shared" si="1"/>
        <v>4608.5859375</v>
      </c>
      <c r="F29" s="104">
        <f t="shared" si="2"/>
        <v>1.0921893829606465E-2</v>
      </c>
      <c r="G29" s="104">
        <f t="shared" si="3"/>
        <v>434.69137441833732</v>
      </c>
      <c r="H29" s="104">
        <v>3</v>
      </c>
      <c r="I29" s="104">
        <f t="shared" si="4"/>
        <v>353.434977</v>
      </c>
      <c r="J29" s="104">
        <f t="shared" si="5"/>
        <v>793.64877293396239</v>
      </c>
      <c r="K29" s="104">
        <f t="shared" si="6"/>
        <v>4458.1875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5251.8362729339624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7015.5</v>
      </c>
      <c r="D30" s="104">
        <f t="shared" si="0"/>
        <v>0.5859375</v>
      </c>
      <c r="E30" s="104">
        <f t="shared" si="1"/>
        <v>7016.0859375</v>
      </c>
      <c r="F30" s="104">
        <f t="shared" si="2"/>
        <v>1.6627431222501737E-2</v>
      </c>
      <c r="G30" s="104">
        <f t="shared" si="3"/>
        <v>661.77176265556909</v>
      </c>
      <c r="H30" s="104">
        <v>5</v>
      </c>
      <c r="I30" s="104">
        <f t="shared" si="4"/>
        <v>589.05829500000004</v>
      </c>
      <c r="J30" s="104">
        <f t="shared" si="5"/>
        <v>1256.3524791711941</v>
      </c>
      <c r="K30" s="104">
        <f t="shared" si="6"/>
        <v>4458.1875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5714.5399791711943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4336</v>
      </c>
      <c r="D31" s="104">
        <f t="shared" si="0"/>
        <v>0.5859375</v>
      </c>
      <c r="E31" s="104">
        <f t="shared" si="1"/>
        <v>4336.5859375</v>
      </c>
      <c r="F31" s="104">
        <f t="shared" si="2"/>
        <v>1.027728067452131E-2</v>
      </c>
      <c r="G31" s="104">
        <f t="shared" si="3"/>
        <v>409.03577084594815</v>
      </c>
      <c r="H31" s="104">
        <v>3</v>
      </c>
      <c r="I31" s="104">
        <f t="shared" si="4"/>
        <v>353.434977</v>
      </c>
      <c r="J31" s="104">
        <f t="shared" si="5"/>
        <v>767.99316936157311</v>
      </c>
      <c r="K31" s="104">
        <f t="shared" si="6"/>
        <v>4458.1875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5226.1806693615727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1089</v>
      </c>
      <c r="D32" s="104">
        <f t="shared" si="0"/>
        <v>0.5859375</v>
      </c>
      <c r="E32" s="104">
        <f t="shared" si="1"/>
        <v>1089.5859375</v>
      </c>
      <c r="F32" s="104">
        <f t="shared" si="2"/>
        <v>2.5822111356922539E-3</v>
      </c>
      <c r="G32" s="104">
        <f t="shared" si="3"/>
        <v>102.77200320055171</v>
      </c>
      <c r="H32" s="104">
        <v>3</v>
      </c>
      <c r="I32" s="104">
        <f t="shared" si="4"/>
        <v>353.434977</v>
      </c>
      <c r="J32" s="104">
        <f t="shared" si="5"/>
        <v>461.72940171617671</v>
      </c>
      <c r="K32" s="104">
        <f t="shared" si="6"/>
        <v>4458.1875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4919.9169017161767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12282</v>
      </c>
      <c r="D33" s="104">
        <f t="shared" si="0"/>
        <v>0.5859375</v>
      </c>
      <c r="E33" s="104">
        <f t="shared" si="1"/>
        <v>12282.5859375</v>
      </c>
      <c r="F33" s="104">
        <f t="shared" si="2"/>
        <v>2.9108516447707535E-2</v>
      </c>
      <c r="G33" s="104">
        <f t="shared" si="3"/>
        <v>1158.5189546187598</v>
      </c>
      <c r="H33" s="104">
        <v>3</v>
      </c>
      <c r="I33" s="104">
        <f t="shared" si="4"/>
        <v>353.434977</v>
      </c>
      <c r="J33" s="104">
        <f t="shared" si="5"/>
        <v>1517.4763531343847</v>
      </c>
      <c r="K33" s="104">
        <f t="shared" si="6"/>
        <v>4458.1875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5975.6638531343851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6787.5</v>
      </c>
      <c r="D34" s="104">
        <f t="shared" si="0"/>
        <v>0.5859375</v>
      </c>
      <c r="E34" s="104">
        <f t="shared" si="1"/>
        <v>6788.0859375</v>
      </c>
      <c r="F34" s="104">
        <f t="shared" si="2"/>
        <v>1.6087093724856828E-2</v>
      </c>
      <c r="G34" s="104">
        <f t="shared" si="3"/>
        <v>640.26633024930175</v>
      </c>
      <c r="H34" s="104">
        <v>4</v>
      </c>
      <c r="I34" s="104">
        <f t="shared" si="4"/>
        <v>471.24663600000002</v>
      </c>
      <c r="J34" s="104">
        <f t="shared" si="5"/>
        <v>1117.0353877649268</v>
      </c>
      <c r="K34" s="104">
        <f t="shared" si="6"/>
        <v>4458.1875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5575.2228877649268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11581.5</v>
      </c>
      <c r="D35" s="104">
        <f t="shared" si="0"/>
        <v>0.5859375</v>
      </c>
      <c r="E35" s="104">
        <f t="shared" si="1"/>
        <v>11582.0859375</v>
      </c>
      <c r="F35" s="104">
        <f t="shared" si="2"/>
        <v>2.744840058323271E-2</v>
      </c>
      <c r="G35" s="104">
        <f t="shared" si="3"/>
        <v>1092.4463432126618</v>
      </c>
      <c r="H35" s="104">
        <v>4</v>
      </c>
      <c r="I35" s="104">
        <f t="shared" si="4"/>
        <v>471.24663600000002</v>
      </c>
      <c r="J35" s="104">
        <f t="shared" si="5"/>
        <v>1569.2154007282868</v>
      </c>
      <c r="K35" s="104">
        <f t="shared" si="6"/>
        <v>4458.1875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6027.402900728287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7101.5</v>
      </c>
      <c r="D36" s="104">
        <f t="shared" si="0"/>
        <v>0.5859375</v>
      </c>
      <c r="E36" s="104">
        <f t="shared" si="1"/>
        <v>7102.0859375</v>
      </c>
      <c r="F36" s="104">
        <f t="shared" si="2"/>
        <v>1.6831242734771309E-2</v>
      </c>
      <c r="G36" s="104">
        <f t="shared" si="3"/>
        <v>669.88346084389809</v>
      </c>
      <c r="H36" s="104">
        <v>4</v>
      </c>
      <c r="I36" s="104">
        <f t="shared" si="4"/>
        <v>471.24663600000002</v>
      </c>
      <c r="J36" s="104">
        <f t="shared" si="5"/>
        <v>1146.6525183595231</v>
      </c>
      <c r="K36" s="104">
        <f t="shared" si="6"/>
        <v>4458.1875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5604.8400183595231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5108</v>
      </c>
      <c r="D37" s="104">
        <f t="shared" si="0"/>
        <v>0.5859375</v>
      </c>
      <c r="E37" s="104">
        <f t="shared" si="1"/>
        <v>5108.5859375</v>
      </c>
      <c r="F37" s="104">
        <f t="shared" si="2"/>
        <v>1.2106844482336534E-2</v>
      </c>
      <c r="G37" s="104">
        <f t="shared" si="3"/>
        <v>481.85241039699406</v>
      </c>
      <c r="H37" s="104">
        <v>3</v>
      </c>
      <c r="I37" s="104">
        <f t="shared" si="4"/>
        <v>353.434977</v>
      </c>
      <c r="J37" s="104">
        <f t="shared" si="5"/>
        <v>840.80980891261902</v>
      </c>
      <c r="K37" s="104">
        <f t="shared" si="6"/>
        <v>4458.1875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5298.9973089126188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4158</v>
      </c>
      <c r="D38" s="104">
        <f t="shared" si="0"/>
        <v>0.5859375</v>
      </c>
      <c r="E38" s="104">
        <f t="shared" si="1"/>
        <v>4158.5859375</v>
      </c>
      <c r="F38" s="104">
        <f t="shared" si="2"/>
        <v>9.8554382421494058E-3</v>
      </c>
      <c r="G38" s="104">
        <f t="shared" si="3"/>
        <v>392.24644203754633</v>
      </c>
      <c r="H38" s="104">
        <v>3</v>
      </c>
      <c r="I38" s="104">
        <f t="shared" si="4"/>
        <v>353.434977</v>
      </c>
      <c r="J38" s="104">
        <f t="shared" si="5"/>
        <v>751.2038405531714</v>
      </c>
      <c r="K38" s="104">
        <f t="shared" si="6"/>
        <v>4458.1875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5209.3913405531712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9509</v>
      </c>
      <c r="D39" s="104">
        <f t="shared" si="0"/>
        <v>0.5859375</v>
      </c>
      <c r="E39" s="104">
        <f t="shared" si="1"/>
        <v>9509.5859375</v>
      </c>
      <c r="F39" s="104">
        <f t="shared" si="2"/>
        <v>2.2536780127666585E-2</v>
      </c>
      <c r="G39" s="104">
        <f t="shared" si="3"/>
        <v>896.96384908113009</v>
      </c>
      <c r="H39" s="104">
        <v>4</v>
      </c>
      <c r="I39" s="104">
        <f t="shared" si="4"/>
        <v>471.24663600000002</v>
      </c>
      <c r="J39" s="104">
        <f t="shared" si="5"/>
        <v>1373.7329065967551</v>
      </c>
      <c r="K39" s="104">
        <f t="shared" si="6"/>
        <v>4458.1875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5831.9204065967551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2308</v>
      </c>
      <c r="D40" s="104">
        <f t="shared" si="0"/>
        <v>0.5859375</v>
      </c>
      <c r="E40" s="104">
        <f t="shared" si="1"/>
        <v>2308.5859375</v>
      </c>
      <c r="F40" s="104">
        <f t="shared" si="2"/>
        <v>5.4711208270481577E-3</v>
      </c>
      <c r="G40" s="104">
        <f t="shared" si="3"/>
        <v>217.75060891651668</v>
      </c>
      <c r="H40" s="104">
        <v>4</v>
      </c>
      <c r="I40" s="104">
        <f t="shared" si="4"/>
        <v>471.24663600000002</v>
      </c>
      <c r="J40" s="104">
        <f t="shared" si="5"/>
        <v>694.51966643214178</v>
      </c>
      <c r="K40" s="104">
        <f t="shared" si="6"/>
        <v>4458.1875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5152.707166432142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15944</v>
      </c>
      <c r="D41" s="104">
        <f t="shared" si="0"/>
        <v>0.5859375</v>
      </c>
      <c r="E41" s="104">
        <f t="shared" si="1"/>
        <v>15944.5859375</v>
      </c>
      <c r="F41" s="104">
        <f t="shared" si="2"/>
        <v>3.7787095028302548E-2</v>
      </c>
      <c r="G41" s="104">
        <f t="shared" si="3"/>
        <v>1503.9263821264415</v>
      </c>
      <c r="H41" s="104">
        <v>3</v>
      </c>
      <c r="I41" s="104">
        <f t="shared" si="4"/>
        <v>353.434977</v>
      </c>
      <c r="J41" s="104">
        <f t="shared" si="5"/>
        <v>1862.8837806420665</v>
      </c>
      <c r="K41" s="104">
        <f t="shared" si="6"/>
        <v>4458.1875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6321.071280642067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2942</v>
      </c>
      <c r="D42" s="104">
        <f t="shared" si="0"/>
        <v>0.5859375</v>
      </c>
      <c r="E42" s="104">
        <f t="shared" si="1"/>
        <v>2942.5859375</v>
      </c>
      <c r="F42" s="104">
        <f t="shared" si="2"/>
        <v>6.9736382547098824E-3</v>
      </c>
      <c r="G42" s="104">
        <f t="shared" si="3"/>
        <v>277.55080253745331</v>
      </c>
      <c r="H42" s="104">
        <v>3</v>
      </c>
      <c r="I42" s="104">
        <f t="shared" si="4"/>
        <v>353.434977</v>
      </c>
      <c r="J42" s="104">
        <f t="shared" si="5"/>
        <v>636.50820105307832</v>
      </c>
      <c r="K42" s="104">
        <f t="shared" si="6"/>
        <v>4458.1875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5094.6957010530787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2095</v>
      </c>
      <c r="D43" s="104">
        <f t="shared" si="0"/>
        <v>0.5859375</v>
      </c>
      <c r="E43" s="104">
        <f t="shared" si="1"/>
        <v>2095.5859375</v>
      </c>
      <c r="F43" s="104">
        <f t="shared" si="2"/>
        <v>4.9663318489851487E-3</v>
      </c>
      <c r="G43" s="104">
        <f t="shared" si="3"/>
        <v>197.66000758960891</v>
      </c>
      <c r="H43" s="104">
        <v>3</v>
      </c>
      <c r="I43" s="104">
        <f t="shared" si="4"/>
        <v>353.434977</v>
      </c>
      <c r="J43" s="104">
        <f t="shared" si="5"/>
        <v>556.61740610523395</v>
      </c>
      <c r="K43" s="104">
        <f t="shared" si="6"/>
        <v>4458.1875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5014.8049061052343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0</v>
      </c>
      <c r="D44" s="104">
        <f t="shared" si="0"/>
        <v>0.5859375</v>
      </c>
      <c r="E44" s="104">
        <f t="shared" si="1"/>
        <v>0.5859375</v>
      </c>
      <c r="F44" s="104">
        <f t="shared" si="2"/>
        <v>1.3886140461680474E-6</v>
      </c>
      <c r="G44" s="104">
        <f t="shared" si="3"/>
        <v>5.5266839037488288E-2</v>
      </c>
      <c r="H44" s="104">
        <v>3</v>
      </c>
      <c r="I44" s="104">
        <f t="shared" si="4"/>
        <v>353.434977</v>
      </c>
      <c r="J44" s="104">
        <f t="shared" si="5"/>
        <v>359.01266535466249</v>
      </c>
      <c r="K44" s="104">
        <f t="shared" si="6"/>
        <v>4458.1875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4817.2001653546622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14115.5</v>
      </c>
      <c r="D45" s="104">
        <f t="shared" si="0"/>
        <v>0.5859375</v>
      </c>
      <c r="E45" s="104">
        <f t="shared" si="1"/>
        <v>14116.0859375</v>
      </c>
      <c r="F45" s="104">
        <f t="shared" si="2"/>
        <v>3.3453730491268693E-2</v>
      </c>
      <c r="G45" s="104">
        <f t="shared" si="3"/>
        <v>1331.4584735524941</v>
      </c>
      <c r="H45" s="104">
        <v>3</v>
      </c>
      <c r="I45" s="104">
        <f t="shared" si="4"/>
        <v>353.434977</v>
      </c>
      <c r="J45" s="104">
        <f t="shared" si="5"/>
        <v>1690.4158720681189</v>
      </c>
      <c r="K45" s="104">
        <f t="shared" si="6"/>
        <v>4458.1875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6148.6033720681189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4063</v>
      </c>
      <c r="D46" s="104">
        <f t="shared" si="0"/>
        <v>0.5859375</v>
      </c>
      <c r="E46" s="104">
        <f t="shared" si="1"/>
        <v>4063.5859375</v>
      </c>
      <c r="F46" s="104">
        <f t="shared" si="2"/>
        <v>9.6302976181306937E-3</v>
      </c>
      <c r="G46" s="104">
        <f t="shared" si="3"/>
        <v>383.2858452016016</v>
      </c>
      <c r="H46" s="104">
        <v>4</v>
      </c>
      <c r="I46" s="104">
        <f t="shared" si="4"/>
        <v>471.24663600000002</v>
      </c>
      <c r="J46" s="104">
        <f t="shared" si="5"/>
        <v>860.0549027172267</v>
      </c>
      <c r="K46" s="104">
        <f t="shared" si="6"/>
        <v>4458.1875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5318.2424027172265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577</v>
      </c>
      <c r="D47" s="104">
        <f t="shared" si="0"/>
        <v>0.5859375</v>
      </c>
      <c r="E47" s="104">
        <f t="shared" si="1"/>
        <v>577.5859375</v>
      </c>
      <c r="F47" s="104">
        <f t="shared" si="2"/>
        <v>1.3688216672966655E-3</v>
      </c>
      <c r="G47" s="104">
        <f t="shared" si="3"/>
        <v>54.479102358407289</v>
      </c>
      <c r="H47" s="104">
        <v>3</v>
      </c>
      <c r="I47" s="104">
        <f t="shared" si="4"/>
        <v>353.434977</v>
      </c>
      <c r="J47" s="104">
        <f t="shared" si="5"/>
        <v>413.43650087403228</v>
      </c>
      <c r="K47" s="104">
        <f t="shared" si="6"/>
        <v>4458.1875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4871.6240008740324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7428.5</v>
      </c>
      <c r="D48" s="104">
        <f t="shared" si="0"/>
        <v>0.5859375</v>
      </c>
      <c r="E48" s="104">
        <f t="shared" si="1"/>
        <v>7429.0859375</v>
      </c>
      <c r="F48" s="104">
        <f t="shared" si="2"/>
        <v>1.7606200461656774E-2</v>
      </c>
      <c r="G48" s="104">
        <f t="shared" si="3"/>
        <v>700.72677837393962</v>
      </c>
      <c r="H48" s="104">
        <v>3</v>
      </c>
      <c r="I48" s="104">
        <f t="shared" si="4"/>
        <v>353.434977</v>
      </c>
      <c r="J48" s="104">
        <f t="shared" si="5"/>
        <v>1059.6841768895647</v>
      </c>
      <c r="K48" s="104">
        <f t="shared" si="6"/>
        <v>4458.1875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5517.8716768895647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11631.5</v>
      </c>
      <c r="D49" s="104">
        <f t="shared" si="0"/>
        <v>0.5859375</v>
      </c>
      <c r="E49" s="104">
        <f t="shared" si="1"/>
        <v>11632.0859375</v>
      </c>
      <c r="F49" s="104">
        <f t="shared" si="2"/>
        <v>2.7566895648505719E-2</v>
      </c>
      <c r="G49" s="104">
        <f t="shared" si="3"/>
        <v>1097.1624468105276</v>
      </c>
      <c r="H49" s="104">
        <v>3</v>
      </c>
      <c r="I49" s="104">
        <f t="shared" si="4"/>
        <v>353.434977</v>
      </c>
      <c r="J49" s="104">
        <f t="shared" si="5"/>
        <v>1456.1198453261527</v>
      </c>
      <c r="K49" s="104">
        <f t="shared" si="6"/>
        <v>4458.1875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5914.3073453261532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3105</v>
      </c>
      <c r="D50" s="104">
        <f t="shared" si="0"/>
        <v>0.5859375</v>
      </c>
      <c r="E50" s="104">
        <f t="shared" si="1"/>
        <v>3105.5859375</v>
      </c>
      <c r="F50" s="104">
        <f t="shared" si="2"/>
        <v>7.3599321674998842E-3</v>
      </c>
      <c r="G50" s="104">
        <f t="shared" si="3"/>
        <v>292.92530026649541</v>
      </c>
      <c r="H50" s="104">
        <v>4</v>
      </c>
      <c r="I50" s="104">
        <f t="shared" si="4"/>
        <v>471.24663600000002</v>
      </c>
      <c r="J50" s="104">
        <f t="shared" si="5"/>
        <v>769.69435778212051</v>
      </c>
      <c r="K50" s="104">
        <f t="shared" si="6"/>
        <v>4458.1875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5227.8818577821203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1646</v>
      </c>
      <c r="D51" s="104">
        <f t="shared" si="0"/>
        <v>0.5859375</v>
      </c>
      <c r="E51" s="104">
        <f t="shared" si="1"/>
        <v>1646.5859375</v>
      </c>
      <c r="F51" s="104">
        <f t="shared" si="2"/>
        <v>3.902246162833549E-3</v>
      </c>
      <c r="G51" s="104">
        <f t="shared" si="3"/>
        <v>155.30939728077524</v>
      </c>
      <c r="H51" s="104">
        <v>4</v>
      </c>
      <c r="I51" s="104">
        <f t="shared" si="4"/>
        <v>471.24663600000002</v>
      </c>
      <c r="J51" s="104">
        <f t="shared" si="5"/>
        <v>632.07845479640025</v>
      </c>
      <c r="K51" s="104">
        <f t="shared" si="6"/>
        <v>4458.1875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5090.2659547964004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15020.5</v>
      </c>
      <c r="D52" s="104">
        <f t="shared" si="0"/>
        <v>0.5859375</v>
      </c>
      <c r="E52" s="104">
        <f t="shared" si="1"/>
        <v>15021.0859375</v>
      </c>
      <c r="F52" s="104">
        <f t="shared" si="2"/>
        <v>3.5598491172710113E-2</v>
      </c>
      <c r="G52" s="104">
        <f t="shared" si="3"/>
        <v>1416.8199486738624</v>
      </c>
      <c r="H52" s="104">
        <v>4</v>
      </c>
      <c r="I52" s="104">
        <f t="shared" si="4"/>
        <v>471.24663600000002</v>
      </c>
      <c r="J52" s="104">
        <f t="shared" si="5"/>
        <v>1893.5890061894875</v>
      </c>
      <c r="K52" s="104">
        <f t="shared" si="6"/>
        <v>4458.1875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6351.7765061894879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5933</v>
      </c>
      <c r="D53" s="104">
        <f t="shared" si="0"/>
        <v>0.5859375</v>
      </c>
      <c r="E53" s="104">
        <f t="shared" si="1"/>
        <v>5933.5859375</v>
      </c>
      <c r="F53" s="104">
        <f t="shared" si="2"/>
        <v>1.4062013059341143E-2</v>
      </c>
      <c r="G53" s="104">
        <f t="shared" si="3"/>
        <v>559.66811976177746</v>
      </c>
      <c r="H53" s="104">
        <v>3</v>
      </c>
      <c r="I53" s="104">
        <f t="shared" si="4"/>
        <v>353.434977</v>
      </c>
      <c r="J53" s="104">
        <f t="shared" si="5"/>
        <v>918.62551827740242</v>
      </c>
      <c r="K53" s="104">
        <f t="shared" si="6"/>
        <v>4458.1875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5376.8130182774021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15697.5</v>
      </c>
      <c r="D54" s="104">
        <f t="shared" si="0"/>
        <v>0.5859375</v>
      </c>
      <c r="E54" s="104">
        <f t="shared" si="1"/>
        <v>15698.0859375</v>
      </c>
      <c r="F54" s="104">
        <f t="shared" si="2"/>
        <v>3.7202914356506626E-2</v>
      </c>
      <c r="G54" s="104">
        <f t="shared" si="3"/>
        <v>1480.6759913889637</v>
      </c>
      <c r="H54" s="104">
        <v>3</v>
      </c>
      <c r="I54" s="104">
        <f t="shared" si="4"/>
        <v>353.434977</v>
      </c>
      <c r="J54" s="104">
        <f t="shared" si="5"/>
        <v>1839.6333899045885</v>
      </c>
      <c r="K54" s="104">
        <f t="shared" si="6"/>
        <v>4458.1875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6297.8208899045885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10585</v>
      </c>
      <c r="D55" s="104">
        <f t="shared" si="0"/>
        <v>0.5859375</v>
      </c>
      <c r="E55" s="104">
        <f t="shared" si="1"/>
        <v>10585.5859375</v>
      </c>
      <c r="F55" s="104">
        <f t="shared" si="2"/>
        <v>2.5086793932341686E-2</v>
      </c>
      <c r="G55" s="104">
        <f t="shared" si="3"/>
        <v>998.45439850719913</v>
      </c>
      <c r="H55" s="104">
        <v>4</v>
      </c>
      <c r="I55" s="104">
        <f t="shared" si="4"/>
        <v>471.24663600000002</v>
      </c>
      <c r="J55" s="104">
        <f t="shared" si="5"/>
        <v>1475.2234560228242</v>
      </c>
      <c r="K55" s="104">
        <f t="shared" si="6"/>
        <v>4458.1875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5933.4109560228244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4297.5</v>
      </c>
      <c r="D56" s="104">
        <f t="shared" si="0"/>
        <v>0.5859375</v>
      </c>
      <c r="E56" s="104">
        <f t="shared" si="1"/>
        <v>4298.0859375</v>
      </c>
      <c r="F56" s="104">
        <f t="shared" si="2"/>
        <v>1.0186039474261095E-2</v>
      </c>
      <c r="G56" s="104">
        <f t="shared" si="3"/>
        <v>405.4043710755916</v>
      </c>
      <c r="H56" s="104">
        <v>4</v>
      </c>
      <c r="I56" s="104">
        <f t="shared" si="4"/>
        <v>471.24663600000002</v>
      </c>
      <c r="J56" s="104">
        <f t="shared" si="5"/>
        <v>882.17342859121663</v>
      </c>
      <c r="K56" s="104">
        <f t="shared" si="6"/>
        <v>4458.1875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5340.3609285912171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5660.5</v>
      </c>
      <c r="D57" s="104">
        <f t="shared" si="0"/>
        <v>0.5859375</v>
      </c>
      <c r="E57" s="104">
        <f t="shared" si="1"/>
        <v>5661.0859375</v>
      </c>
      <c r="F57" s="104">
        <f t="shared" si="2"/>
        <v>1.3416214953603256E-2</v>
      </c>
      <c r="G57" s="104">
        <f t="shared" si="3"/>
        <v>533.96535515340963</v>
      </c>
      <c r="H57" s="104">
        <v>4</v>
      </c>
      <c r="I57" s="104">
        <f t="shared" si="4"/>
        <v>471.24663600000002</v>
      </c>
      <c r="J57" s="104">
        <f t="shared" si="5"/>
        <v>1010.7344126690346</v>
      </c>
      <c r="K57" s="104">
        <f t="shared" si="6"/>
        <v>4458.1875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5468.921912669035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1274</v>
      </c>
      <c r="D58" s="104">
        <f t="shared" si="0"/>
        <v>0.5859375</v>
      </c>
      <c r="E58" s="104">
        <f t="shared" si="1"/>
        <v>1274.5859375</v>
      </c>
      <c r="F58" s="104">
        <f t="shared" si="2"/>
        <v>3.0206428772023789E-3</v>
      </c>
      <c r="G58" s="104">
        <f t="shared" si="3"/>
        <v>120.22158651265468</v>
      </c>
      <c r="H58" s="104">
        <v>3</v>
      </c>
      <c r="I58" s="104">
        <f t="shared" si="4"/>
        <v>353.434977</v>
      </c>
      <c r="J58" s="104">
        <f t="shared" si="5"/>
        <v>479.17898502827967</v>
      </c>
      <c r="K58" s="104">
        <f t="shared" si="6"/>
        <v>4458.1875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4937.3664850282794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10823</v>
      </c>
      <c r="D59" s="104">
        <f t="shared" si="0"/>
        <v>0.5859375</v>
      </c>
      <c r="E59" s="104">
        <f t="shared" si="1"/>
        <v>10823.5859375</v>
      </c>
      <c r="F59" s="104">
        <f t="shared" si="2"/>
        <v>2.56508304430412E-2</v>
      </c>
      <c r="G59" s="104">
        <f t="shared" si="3"/>
        <v>1020.9030516330398</v>
      </c>
      <c r="H59" s="104">
        <v>3</v>
      </c>
      <c r="I59" s="104">
        <f t="shared" si="4"/>
        <v>353.434977</v>
      </c>
      <c r="J59" s="104">
        <f t="shared" si="5"/>
        <v>1379.8604501486648</v>
      </c>
      <c r="K59" s="104">
        <f t="shared" si="6"/>
        <v>4458.1875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5838.0479501486643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1054.5</v>
      </c>
      <c r="D60" s="104">
        <f t="shared" si="0"/>
        <v>0.5859375</v>
      </c>
      <c r="E60" s="104">
        <f t="shared" si="1"/>
        <v>1055.0859375</v>
      </c>
      <c r="F60" s="104">
        <f t="shared" si="2"/>
        <v>2.5004495406538794E-3</v>
      </c>
      <c r="G60" s="104">
        <f t="shared" si="3"/>
        <v>99.517891718024401</v>
      </c>
      <c r="H60" s="104">
        <v>3</v>
      </c>
      <c r="I60" s="104">
        <f t="shared" si="4"/>
        <v>353.434977</v>
      </c>
      <c r="J60" s="104">
        <f t="shared" si="5"/>
        <v>458.47529023364939</v>
      </c>
      <c r="K60" s="104">
        <f t="shared" si="6"/>
        <v>4458.1875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4916.6627902336495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</v>
      </c>
      <c r="D61" s="104">
        <f t="shared" si="0"/>
        <v>0.5859375</v>
      </c>
      <c r="E61" s="104">
        <f t="shared" si="1"/>
        <v>3.5859375</v>
      </c>
      <c r="F61" s="104">
        <f t="shared" si="2"/>
        <v>8.4983179625484489E-6</v>
      </c>
      <c r="G61" s="104">
        <f t="shared" si="3"/>
        <v>0.33823305490942829</v>
      </c>
      <c r="H61" s="104">
        <v>3</v>
      </c>
      <c r="I61" s="104">
        <f t="shared" si="4"/>
        <v>353.434977</v>
      </c>
      <c r="J61" s="104">
        <f t="shared" si="5"/>
        <v>359.29563157053445</v>
      </c>
      <c r="K61" s="104">
        <f t="shared" si="6"/>
        <v>4458.1875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4817.4831315705342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5757.5</v>
      </c>
      <c r="D62" s="104">
        <f t="shared" si="0"/>
        <v>0.5859375</v>
      </c>
      <c r="E62" s="104">
        <f t="shared" si="1"/>
        <v>5758.0859375</v>
      </c>
      <c r="F62" s="104">
        <f t="shared" si="2"/>
        <v>1.3646095380232891E-2</v>
      </c>
      <c r="G62" s="104">
        <f t="shared" si="3"/>
        <v>543.11459613326906</v>
      </c>
      <c r="H62" s="104">
        <v>4</v>
      </c>
      <c r="I62" s="104">
        <f t="shared" si="4"/>
        <v>471.24663600000002</v>
      </c>
      <c r="J62" s="104">
        <f t="shared" si="5"/>
        <v>1019.8836536488941</v>
      </c>
      <c r="K62" s="104">
        <f t="shared" si="6"/>
        <v>4458.1875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5478.0711536488943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68.5</v>
      </c>
      <c r="D63" s="104">
        <f t="shared" si="0"/>
        <v>0.5859375</v>
      </c>
      <c r="E63" s="104">
        <f t="shared" si="1"/>
        <v>69.0859375</v>
      </c>
      <c r="F63" s="104">
        <f t="shared" si="2"/>
        <v>1.6372685347018723E-4</v>
      </c>
      <c r="G63" s="104">
        <f t="shared" si="3"/>
        <v>6.5163287681134516</v>
      </c>
      <c r="H63" s="104">
        <v>3</v>
      </c>
      <c r="I63" s="104">
        <f t="shared" si="4"/>
        <v>353.434977</v>
      </c>
      <c r="J63" s="104">
        <f t="shared" si="5"/>
        <v>365.47372728373847</v>
      </c>
      <c r="K63" s="104">
        <f t="shared" si="6"/>
        <v>4458.1875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5573.6612272837383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4369.5</v>
      </c>
      <c r="D64" s="104">
        <f t="shared" si="0"/>
        <v>0.5859375</v>
      </c>
      <c r="E64" s="104">
        <f t="shared" si="1"/>
        <v>4370.0859375</v>
      </c>
      <c r="F64" s="104">
        <f t="shared" si="2"/>
        <v>1.0356672368254225E-2</v>
      </c>
      <c r="G64" s="104">
        <f t="shared" si="3"/>
        <v>412.19556025651815</v>
      </c>
      <c r="H64" s="104">
        <v>3</v>
      </c>
      <c r="I64" s="104">
        <f t="shared" si="4"/>
        <v>353.434977</v>
      </c>
      <c r="J64" s="104">
        <f t="shared" si="5"/>
        <v>771.15295877214317</v>
      </c>
      <c r="K64" s="104">
        <f t="shared" si="6"/>
        <v>4458.1875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5229.3404587721434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1879.5</v>
      </c>
      <c r="D65" s="104">
        <f t="shared" si="0"/>
        <v>0.5859375</v>
      </c>
      <c r="E65" s="104">
        <f t="shared" si="1"/>
        <v>1880.0859375</v>
      </c>
      <c r="F65" s="104">
        <f t="shared" si="2"/>
        <v>4.4556181176584903E-3</v>
      </c>
      <c r="G65" s="104">
        <f t="shared" si="3"/>
        <v>177.33360108280792</v>
      </c>
      <c r="H65" s="104">
        <v>3</v>
      </c>
      <c r="I65" s="104">
        <f t="shared" si="4"/>
        <v>353.434977</v>
      </c>
      <c r="J65" s="104">
        <f t="shared" si="5"/>
        <v>536.2909995984329</v>
      </c>
      <c r="K65" s="104">
        <f t="shared" si="6"/>
        <v>4458.1875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4994.4784995984328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5832.5</v>
      </c>
      <c r="D66" s="104">
        <f t="shared" si="0"/>
        <v>0.5859375</v>
      </c>
      <c r="E66" s="104">
        <f t="shared" si="1"/>
        <v>5833.0859375</v>
      </c>
      <c r="F66" s="104">
        <f t="shared" si="2"/>
        <v>1.3823837978142401E-2</v>
      </c>
      <c r="G66" s="104">
        <f t="shared" si="3"/>
        <v>550.18875153006752</v>
      </c>
      <c r="H66" s="104">
        <v>4</v>
      </c>
      <c r="I66" s="104">
        <f t="shared" si="4"/>
        <v>471.24663600000002</v>
      </c>
      <c r="J66" s="104">
        <f t="shared" si="5"/>
        <v>1026.9578090456926</v>
      </c>
      <c r="K66" s="104">
        <f t="shared" si="6"/>
        <v>4458.1875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5485.1453090456926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6108.5</v>
      </c>
      <c r="D67" s="104">
        <f t="shared" si="0"/>
        <v>0.5859375</v>
      </c>
      <c r="E67" s="104">
        <f t="shared" si="1"/>
        <v>6109.0859375</v>
      </c>
      <c r="F67" s="104">
        <f t="shared" si="2"/>
        <v>1.4477930738449397E-2</v>
      </c>
      <c r="G67" s="104">
        <f t="shared" si="3"/>
        <v>576.22164339028598</v>
      </c>
      <c r="H67" s="104">
        <v>4</v>
      </c>
      <c r="I67" s="104">
        <f t="shared" si="4"/>
        <v>471.24663600000002</v>
      </c>
      <c r="J67" s="104">
        <f t="shared" si="5"/>
        <v>1052.9907009059109</v>
      </c>
      <c r="K67" s="104">
        <f t="shared" si="6"/>
        <v>4458.1875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5511.1782009059107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9214</v>
      </c>
      <c r="D68" s="104">
        <f t="shared" si="0"/>
        <v>0.5859375</v>
      </c>
      <c r="E68" s="104">
        <f t="shared" si="1"/>
        <v>9214.5859375</v>
      </c>
      <c r="F68" s="104">
        <f t="shared" si="2"/>
        <v>2.1837659242555842E-2</v>
      </c>
      <c r="G68" s="104">
        <f t="shared" si="3"/>
        <v>869.13883785372252</v>
      </c>
      <c r="H68" s="104">
        <v>4</v>
      </c>
      <c r="I68" s="104">
        <f t="shared" si="4"/>
        <v>471.24663600000002</v>
      </c>
      <c r="J68" s="104">
        <f t="shared" si="5"/>
        <v>1345.9078953693474</v>
      </c>
      <c r="K68" s="104">
        <f t="shared" si="6"/>
        <v>4458.1875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5804.0953953693479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6988.5</v>
      </c>
      <c r="D69" s="104">
        <f t="shared" si="0"/>
        <v>0.5859375</v>
      </c>
      <c r="E69" s="104">
        <f t="shared" si="1"/>
        <v>6989.0859375</v>
      </c>
      <c r="F69" s="104">
        <f t="shared" si="2"/>
        <v>1.6563443887254316E-2</v>
      </c>
      <c r="G69" s="104">
        <f t="shared" si="3"/>
        <v>659.22506671272174</v>
      </c>
      <c r="H69" s="104">
        <v>3</v>
      </c>
      <c r="I69" s="104">
        <f t="shared" si="4"/>
        <v>353.434977</v>
      </c>
      <c r="J69" s="104">
        <f t="shared" si="5"/>
        <v>1018.1824652283467</v>
      </c>
      <c r="K69" s="104">
        <f t="shared" si="6"/>
        <v>4458.1875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5476.3699652283467</v>
      </c>
      <c r="S69" s="107"/>
      <c r="T69" s="110"/>
    </row>
    <row r="70" spans="1:20" ht="12.75" customHeight="1">
      <c r="A70" s="104"/>
      <c r="B70" s="118" t="s">
        <v>162</v>
      </c>
      <c r="C70" s="104">
        <f>SUM(C3:C69)</f>
        <v>421958.5</v>
      </c>
      <c r="D70" s="104">
        <f t="shared" ref="D70:E70" si="8">SUM(D3:D69)</f>
        <v>37.5</v>
      </c>
      <c r="E70" s="104">
        <f t="shared" si="8"/>
        <v>421958.5</v>
      </c>
      <c r="F70" s="104">
        <f t="shared" si="2"/>
        <v>1</v>
      </c>
      <c r="G70" s="104">
        <f t="shared" ref="G70:O70" si="9">SUM(G3:G69)</f>
        <v>39800.000000000015</v>
      </c>
      <c r="H70" s="104">
        <f t="shared" si="9"/>
        <v>223</v>
      </c>
      <c r="I70" s="104">
        <f t="shared" si="9"/>
        <v>26271.999957000018</v>
      </c>
      <c r="J70" s="104">
        <f t="shared" si="9"/>
        <v>66071.999956999993</v>
      </c>
      <c r="K70" s="104">
        <f t="shared" si="9"/>
        <v>285324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354395.99995700008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13099</v>
      </c>
      <c r="D2" s="86">
        <v>46006</v>
      </c>
      <c r="F2" s="86"/>
      <c r="H2" s="71"/>
      <c r="K2" s="40">
        <f t="shared" ref="K2:K65" si="0">SUM(C2,E2,G2,I2)</f>
        <v>13099</v>
      </c>
    </row>
    <row r="3" spans="1:11" ht="15" customHeight="1">
      <c r="A3" s="41" t="s">
        <v>26</v>
      </c>
      <c r="B3" s="13" t="s">
        <v>27</v>
      </c>
      <c r="D3" s="87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45992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7064</v>
      </c>
      <c r="D5" s="87">
        <v>46005</v>
      </c>
      <c r="F5" s="86"/>
      <c r="H5" s="72"/>
      <c r="K5" s="46">
        <f t="shared" si="0"/>
        <v>7064</v>
      </c>
    </row>
    <row r="6" spans="1:11" ht="15" customHeight="1">
      <c r="A6" s="41" t="s">
        <v>35</v>
      </c>
      <c r="B6" s="13" t="s">
        <v>36</v>
      </c>
      <c r="C6" s="42">
        <v>7069</v>
      </c>
      <c r="D6" s="86">
        <v>46018</v>
      </c>
      <c r="F6" s="86"/>
      <c r="H6" s="71"/>
      <c r="K6" s="40">
        <f t="shared" si="0"/>
        <v>7069</v>
      </c>
    </row>
    <row r="7" spans="1:11" ht="15" customHeight="1">
      <c r="A7" s="41" t="s">
        <v>37</v>
      </c>
      <c r="B7" s="13" t="s">
        <v>38</v>
      </c>
      <c r="C7" s="40">
        <v>6114</v>
      </c>
      <c r="D7" s="87">
        <v>45992</v>
      </c>
      <c r="F7" s="86"/>
      <c r="H7" s="72"/>
      <c r="K7" s="40">
        <f t="shared" si="0"/>
        <v>6114</v>
      </c>
    </row>
    <row r="8" spans="1:11" ht="15" customHeight="1">
      <c r="A8" s="41" t="s">
        <v>40</v>
      </c>
      <c r="B8" s="13" t="s">
        <v>41</v>
      </c>
      <c r="C8" s="40">
        <v>7303</v>
      </c>
      <c r="D8" s="86">
        <v>46013</v>
      </c>
      <c r="E8" s="42"/>
      <c r="F8" s="86"/>
      <c r="H8" s="71"/>
      <c r="K8" s="40">
        <f t="shared" si="0"/>
        <v>7303</v>
      </c>
    </row>
    <row r="9" spans="1:11" ht="15" customHeight="1">
      <c r="A9" s="41" t="s">
        <v>43</v>
      </c>
      <c r="B9" s="13" t="s">
        <v>44</v>
      </c>
      <c r="C9" s="120">
        <v>7529</v>
      </c>
      <c r="D9" s="86">
        <v>46007</v>
      </c>
      <c r="F9" s="86"/>
      <c r="H9" s="71"/>
      <c r="K9" s="46">
        <f t="shared" si="0"/>
        <v>7529</v>
      </c>
    </row>
    <row r="10" spans="1:11" ht="15" customHeight="1">
      <c r="A10" s="41" t="s">
        <v>46</v>
      </c>
      <c r="B10" s="13" t="s">
        <v>282</v>
      </c>
      <c r="C10" s="120">
        <v>6883</v>
      </c>
      <c r="D10" s="87">
        <v>46011</v>
      </c>
      <c r="F10" s="86"/>
      <c r="H10" s="71"/>
      <c r="K10" s="46">
        <f t="shared" si="0"/>
        <v>6883</v>
      </c>
    </row>
    <row r="11" spans="1:11" ht="15" customHeight="1">
      <c r="A11" s="41" t="s">
        <v>49</v>
      </c>
      <c r="B11" s="13" t="s">
        <v>50</v>
      </c>
      <c r="C11" s="46"/>
      <c r="D11" s="87"/>
      <c r="F11" s="86"/>
      <c r="H11" s="72"/>
      <c r="K11" s="46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6604</v>
      </c>
      <c r="D12" s="86">
        <v>46006</v>
      </c>
      <c r="F12" s="86"/>
      <c r="H12" s="71"/>
      <c r="K12" s="46">
        <f t="shared" si="0"/>
        <v>6604</v>
      </c>
    </row>
    <row r="13" spans="1:11" ht="15" customHeight="1">
      <c r="A13" s="41" t="s">
        <v>55</v>
      </c>
      <c r="B13" s="13" t="s">
        <v>56</v>
      </c>
      <c r="C13" s="46">
        <v>7315</v>
      </c>
      <c r="D13" s="86">
        <v>46007</v>
      </c>
      <c r="F13" s="86"/>
      <c r="H13" s="71"/>
      <c r="K13" s="46">
        <f t="shared" si="0"/>
        <v>7315</v>
      </c>
    </row>
    <row r="14" spans="1:11" ht="15" customHeight="1">
      <c r="A14" s="41" t="s">
        <v>58</v>
      </c>
      <c r="B14" s="13" t="s">
        <v>59</v>
      </c>
      <c r="C14" s="42">
        <v>7153.67</v>
      </c>
      <c r="D14" s="86">
        <v>46018</v>
      </c>
      <c r="E14" s="42">
        <v>6231</v>
      </c>
      <c r="F14" s="86">
        <v>46018</v>
      </c>
      <c r="G14" s="42"/>
      <c r="H14" s="71"/>
      <c r="K14" s="40">
        <f t="shared" si="0"/>
        <v>13384.67</v>
      </c>
    </row>
    <row r="15" spans="1:11" ht="15" customHeight="1">
      <c r="A15" s="41" t="s">
        <v>61</v>
      </c>
      <c r="B15" s="13" t="s">
        <v>62</v>
      </c>
      <c r="C15" s="46"/>
      <c r="D15" s="86"/>
      <c r="F15" s="86"/>
      <c r="H15" s="72"/>
      <c r="K15" s="46">
        <f t="shared" si="0"/>
        <v>0</v>
      </c>
    </row>
    <row r="16" spans="1:11" ht="15" customHeight="1">
      <c r="A16" s="41" t="s">
        <v>63</v>
      </c>
      <c r="B16" s="13" t="s">
        <v>283</v>
      </c>
      <c r="C16" s="42">
        <v>7638.43</v>
      </c>
      <c r="D16" s="86">
        <v>46013</v>
      </c>
      <c r="F16" s="86"/>
      <c r="H16" s="71"/>
      <c r="K16" s="40">
        <f t="shared" si="0"/>
        <v>7638.43</v>
      </c>
    </row>
    <row r="17" spans="1:11" ht="15" customHeight="1">
      <c r="A17" s="41" t="s">
        <v>65</v>
      </c>
      <c r="B17" s="13" t="s">
        <v>66</v>
      </c>
      <c r="C17" s="40">
        <v>7879.33</v>
      </c>
      <c r="D17" s="87">
        <v>46018</v>
      </c>
      <c r="F17" s="86"/>
      <c r="H17" s="72"/>
      <c r="K17" s="40">
        <f t="shared" si="0"/>
        <v>7879.33</v>
      </c>
    </row>
    <row r="18" spans="1:11" ht="15" customHeight="1">
      <c r="A18" s="41" t="s">
        <v>67</v>
      </c>
      <c r="B18" s="13" t="s">
        <v>68</v>
      </c>
      <c r="C18" s="46">
        <v>6114</v>
      </c>
      <c r="D18" s="87">
        <v>45995</v>
      </c>
      <c r="E18" s="46"/>
      <c r="F18" s="86"/>
      <c r="H18" s="72"/>
      <c r="K18" s="46">
        <f t="shared" si="0"/>
        <v>6114</v>
      </c>
    </row>
    <row r="19" spans="1:11" ht="15" customHeight="1">
      <c r="A19" s="41" t="s">
        <v>69</v>
      </c>
      <c r="B19" s="13" t="s">
        <v>70</v>
      </c>
      <c r="C19" s="73">
        <v>8220</v>
      </c>
      <c r="D19" s="86">
        <v>46015</v>
      </c>
      <c r="F19" s="86"/>
      <c r="H19" s="71"/>
      <c r="K19" s="46">
        <f t="shared" si="0"/>
        <v>8220</v>
      </c>
    </row>
    <row r="20" spans="1:11" ht="15" customHeight="1">
      <c r="A20" s="41" t="s">
        <v>71</v>
      </c>
      <c r="B20" s="13" t="s">
        <v>72</v>
      </c>
      <c r="C20" s="73">
        <v>7369</v>
      </c>
      <c r="D20" s="86">
        <v>46015</v>
      </c>
      <c r="F20" s="86"/>
      <c r="H20" s="71"/>
      <c r="K20" s="46">
        <f t="shared" si="0"/>
        <v>7369</v>
      </c>
    </row>
    <row r="21" spans="1:11" ht="15" customHeight="1">
      <c r="A21" s="41" t="s">
        <v>73</v>
      </c>
      <c r="B21" s="13" t="s">
        <v>74</v>
      </c>
      <c r="C21" s="73">
        <v>6231</v>
      </c>
      <c r="D21" s="86">
        <v>45992</v>
      </c>
      <c r="E21" s="40">
        <v>8026</v>
      </c>
      <c r="F21" s="86">
        <v>46014</v>
      </c>
      <c r="H21" s="71"/>
      <c r="K21" s="46">
        <f t="shared" si="0"/>
        <v>14257</v>
      </c>
    </row>
    <row r="22" spans="1:11" ht="1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">
      <c r="A23" s="41" t="s">
        <v>77</v>
      </c>
      <c r="B23" s="13" t="s">
        <v>78</v>
      </c>
      <c r="C23" s="40">
        <v>18215</v>
      </c>
      <c r="D23" s="87">
        <v>46018</v>
      </c>
      <c r="F23" s="86"/>
      <c r="H23" s="72"/>
      <c r="K23" s="40">
        <f t="shared" si="0"/>
        <v>18215</v>
      </c>
    </row>
    <row r="24" spans="1:11" ht="16">
      <c r="A24" s="41" t="s">
        <v>79</v>
      </c>
      <c r="B24" s="13" t="s">
        <v>80</v>
      </c>
      <c r="C24" s="120"/>
      <c r="D24" s="86"/>
      <c r="F24" s="86"/>
      <c r="H24" s="71"/>
      <c r="K24" s="46">
        <f t="shared" si="0"/>
        <v>0</v>
      </c>
    </row>
    <row r="25" spans="1:11" ht="16">
      <c r="A25" s="41" t="s">
        <v>81</v>
      </c>
      <c r="B25" s="13" t="s">
        <v>82</v>
      </c>
      <c r="C25" s="40">
        <v>6114</v>
      </c>
      <c r="D25" s="87">
        <v>46012</v>
      </c>
      <c r="F25" s="86"/>
      <c r="H25" s="72"/>
      <c r="K25" s="40">
        <f t="shared" si="0"/>
        <v>6114</v>
      </c>
    </row>
    <row r="26" spans="1:11" ht="16">
      <c r="A26" s="41" t="s">
        <v>83</v>
      </c>
      <c r="B26" s="13" t="s">
        <v>84</v>
      </c>
      <c r="C26" s="73"/>
      <c r="D26" s="86"/>
      <c r="F26" s="86"/>
      <c r="H26" s="71"/>
      <c r="K26" s="46">
        <f t="shared" si="0"/>
        <v>0</v>
      </c>
    </row>
    <row r="27" spans="1:11" ht="16">
      <c r="A27" s="41" t="s">
        <v>85</v>
      </c>
      <c r="B27" s="13" t="s">
        <v>275</v>
      </c>
      <c r="C27" s="46">
        <v>7920.16</v>
      </c>
      <c r="D27" s="87">
        <v>46009</v>
      </c>
      <c r="F27" s="86"/>
      <c r="H27" s="72"/>
      <c r="K27" s="46">
        <f t="shared" si="0"/>
        <v>7920.16</v>
      </c>
    </row>
    <row r="28" spans="1:11" ht="1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6">
      <c r="A29" s="41" t="s">
        <v>89</v>
      </c>
      <c r="B29" s="13" t="s">
        <v>90</v>
      </c>
      <c r="C29" s="73">
        <v>7936</v>
      </c>
      <c r="D29" s="86">
        <v>46015</v>
      </c>
      <c r="F29" s="86"/>
      <c r="H29" s="71"/>
      <c r="K29" s="46">
        <f t="shared" si="0"/>
        <v>7936</v>
      </c>
    </row>
    <row r="30" spans="1:11" ht="16">
      <c r="A30" s="41" t="s">
        <v>91</v>
      </c>
      <c r="B30" s="13" t="s">
        <v>92</v>
      </c>
      <c r="D30" s="87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121">
        <v>7366.24</v>
      </c>
      <c r="D31" s="86">
        <v>46005</v>
      </c>
      <c r="F31" s="86"/>
      <c r="H31" s="71"/>
      <c r="K31" s="40">
        <f t="shared" si="0"/>
        <v>7366.24</v>
      </c>
    </row>
    <row r="32" spans="1:11" ht="16">
      <c r="A32" s="41" t="s">
        <v>95</v>
      </c>
      <c r="B32" s="13" t="s">
        <v>96</v>
      </c>
      <c r="C32" s="73"/>
      <c r="D32" s="86"/>
      <c r="F32" s="86"/>
      <c r="H32" s="71"/>
      <c r="K32" s="46">
        <f t="shared" si="0"/>
        <v>0</v>
      </c>
    </row>
    <row r="33" spans="1:11" ht="16">
      <c r="A33" s="41" t="s">
        <v>97</v>
      </c>
      <c r="B33" s="13" t="s">
        <v>98</v>
      </c>
      <c r="C33" s="42"/>
      <c r="D33" s="86"/>
      <c r="F33" s="86"/>
      <c r="H33" s="71"/>
      <c r="K33" s="40">
        <f t="shared" si="0"/>
        <v>0</v>
      </c>
    </row>
    <row r="34" spans="1:11" ht="16">
      <c r="A34" s="41" t="s">
        <v>99</v>
      </c>
      <c r="B34" s="13" t="s">
        <v>100</v>
      </c>
      <c r="C34" s="73">
        <v>7245.47</v>
      </c>
      <c r="D34" s="86">
        <v>46012</v>
      </c>
      <c r="F34" s="86"/>
      <c r="H34" s="71"/>
      <c r="K34" s="46">
        <f t="shared" si="0"/>
        <v>7245.47</v>
      </c>
    </row>
    <row r="35" spans="1:11" ht="16">
      <c r="A35" s="41" t="s">
        <v>101</v>
      </c>
      <c r="B35" s="13" t="s">
        <v>102</v>
      </c>
      <c r="C35" s="46"/>
      <c r="D35" s="87"/>
      <c r="F35" s="86"/>
      <c r="H35" s="72"/>
      <c r="K35" s="46">
        <f t="shared" si="0"/>
        <v>0</v>
      </c>
    </row>
    <row r="36" spans="1:11" ht="16">
      <c r="A36" s="41" t="s">
        <v>103</v>
      </c>
      <c r="B36" s="13" t="s">
        <v>284</v>
      </c>
      <c r="C36" s="40">
        <v>6845</v>
      </c>
      <c r="D36" s="87">
        <v>46012</v>
      </c>
      <c r="F36" s="86"/>
      <c r="H36" s="72"/>
      <c r="K36" s="40">
        <f t="shared" si="0"/>
        <v>6845</v>
      </c>
    </row>
    <row r="37" spans="1:11" ht="1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">
      <c r="A38" s="41" t="s">
        <v>107</v>
      </c>
      <c r="B38" s="13" t="s">
        <v>108</v>
      </c>
      <c r="C38" s="42">
        <v>6114</v>
      </c>
      <c r="D38" s="86">
        <v>46018</v>
      </c>
      <c r="F38" s="86"/>
      <c r="H38" s="71"/>
      <c r="K38" s="40">
        <f t="shared" si="0"/>
        <v>6114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6546</v>
      </c>
      <c r="D40" s="86">
        <v>46015</v>
      </c>
      <c r="F40" s="86"/>
      <c r="H40" s="71"/>
      <c r="K40" s="46">
        <f t="shared" si="0"/>
        <v>6546</v>
      </c>
    </row>
    <row r="41" spans="1:11" ht="16">
      <c r="A41" s="41" t="s">
        <v>113</v>
      </c>
      <c r="B41" s="13" t="s">
        <v>114</v>
      </c>
      <c r="C41" s="73">
        <v>7947.89</v>
      </c>
      <c r="D41" s="86">
        <v>46018</v>
      </c>
      <c r="F41" s="86"/>
      <c r="H41" s="71"/>
      <c r="K41" s="46">
        <f t="shared" si="0"/>
        <v>7947.89</v>
      </c>
    </row>
    <row r="42" spans="1:11" ht="16">
      <c r="A42" s="41" t="s">
        <v>115</v>
      </c>
      <c r="B42" s="13" t="s">
        <v>116</v>
      </c>
      <c r="C42" s="73">
        <v>7602</v>
      </c>
      <c r="D42" s="86">
        <v>46013</v>
      </c>
      <c r="F42" s="86"/>
      <c r="H42" s="71"/>
      <c r="K42" s="46">
        <f t="shared" si="0"/>
        <v>7602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285</v>
      </c>
      <c r="C44" s="121">
        <v>7274</v>
      </c>
      <c r="D44" s="86">
        <v>46018</v>
      </c>
      <c r="F44" s="86"/>
      <c r="H44" s="71"/>
      <c r="K44" s="40">
        <f t="shared" si="0"/>
        <v>7274</v>
      </c>
    </row>
    <row r="45" spans="1:11" ht="16">
      <c r="A45" s="41" t="s">
        <v>121</v>
      </c>
      <c r="B45" s="13" t="s">
        <v>122</v>
      </c>
      <c r="C45" s="73">
        <v>6798.85</v>
      </c>
      <c r="D45" s="86">
        <v>46019</v>
      </c>
      <c r="F45" s="86"/>
      <c r="H45" s="71"/>
      <c r="K45" s="46">
        <f t="shared" si="0"/>
        <v>6798.85</v>
      </c>
    </row>
    <row r="46" spans="1:11" ht="16">
      <c r="A46" s="41" t="s">
        <v>123</v>
      </c>
      <c r="B46" s="13" t="s">
        <v>124</v>
      </c>
      <c r="C46" s="42">
        <v>6935.98</v>
      </c>
      <c r="D46" s="86">
        <v>46018</v>
      </c>
      <c r="E46" s="42">
        <v>6231</v>
      </c>
      <c r="F46" s="86">
        <v>46018</v>
      </c>
      <c r="G46" s="42"/>
      <c r="H46" s="71"/>
      <c r="K46" s="40">
        <f t="shared" si="0"/>
        <v>13166.98</v>
      </c>
    </row>
    <row r="47" spans="1:11" ht="16">
      <c r="A47" s="41" t="s">
        <v>125</v>
      </c>
      <c r="B47" s="13" t="s">
        <v>126</v>
      </c>
      <c r="D47" s="87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>
        <v>6231</v>
      </c>
      <c r="D48" s="86">
        <v>46008</v>
      </c>
      <c r="F48" s="86"/>
      <c r="H48" s="71"/>
      <c r="K48" s="46">
        <f t="shared" si="0"/>
        <v>6231</v>
      </c>
    </row>
    <row r="49" spans="1:11" ht="16">
      <c r="A49" s="41" t="s">
        <v>129</v>
      </c>
      <c r="B49" s="13" t="s">
        <v>130</v>
      </c>
      <c r="C49" s="40">
        <v>7026</v>
      </c>
      <c r="D49" s="87">
        <v>46008</v>
      </c>
      <c r="F49" s="86"/>
      <c r="H49" s="72"/>
      <c r="K49" s="40">
        <f t="shared" si="0"/>
        <v>7026</v>
      </c>
    </row>
    <row r="50" spans="1:11" ht="16">
      <c r="A50" s="41" t="s">
        <v>131</v>
      </c>
      <c r="B50" s="13" t="s">
        <v>132</v>
      </c>
      <c r="C50" s="42">
        <v>7786</v>
      </c>
      <c r="D50" s="47">
        <v>46008</v>
      </c>
      <c r="F50" s="86"/>
      <c r="H50" s="71"/>
      <c r="K50" s="40">
        <f t="shared" si="0"/>
        <v>7786</v>
      </c>
    </row>
    <row r="51" spans="1:11" ht="16">
      <c r="A51" s="41" t="s">
        <v>133</v>
      </c>
      <c r="B51" s="13" t="s">
        <v>134</v>
      </c>
      <c r="C51" s="46">
        <v>6231</v>
      </c>
      <c r="D51" s="87">
        <v>46018</v>
      </c>
      <c r="F51" s="86"/>
      <c r="H51" s="72"/>
      <c r="K51" s="46">
        <f t="shared" si="0"/>
        <v>6231</v>
      </c>
    </row>
    <row r="52" spans="1:11" ht="16">
      <c r="A52" s="41" t="s">
        <v>135</v>
      </c>
      <c r="B52" s="13" t="s">
        <v>136</v>
      </c>
      <c r="C52" s="73">
        <v>6851</v>
      </c>
      <c r="D52" s="86">
        <v>46008</v>
      </c>
      <c r="F52" s="86"/>
      <c r="H52" s="71"/>
      <c r="K52" s="46">
        <f t="shared" si="0"/>
        <v>6851</v>
      </c>
    </row>
    <row r="53" spans="1:11" ht="16">
      <c r="A53" s="41" t="s">
        <v>137</v>
      </c>
      <c r="B53" s="13" t="s">
        <v>138</v>
      </c>
      <c r="C53" s="73">
        <v>6231</v>
      </c>
      <c r="D53" s="86">
        <v>46018</v>
      </c>
      <c r="F53" s="86"/>
      <c r="H53" s="71"/>
      <c r="K53" s="46">
        <f t="shared" si="0"/>
        <v>6231</v>
      </c>
    </row>
    <row r="54" spans="1:11" ht="16">
      <c r="A54" s="41" t="s">
        <v>139</v>
      </c>
      <c r="B54" s="13" t="s">
        <v>140</v>
      </c>
      <c r="C54" s="42">
        <v>6928</v>
      </c>
      <c r="D54" s="86">
        <v>46019</v>
      </c>
      <c r="F54" s="86"/>
      <c r="H54" s="71"/>
      <c r="K54" s="40">
        <f t="shared" si="0"/>
        <v>6928</v>
      </c>
    </row>
    <row r="55" spans="1:11" ht="16">
      <c r="A55" s="41" t="s">
        <v>141</v>
      </c>
      <c r="B55" s="13" t="s">
        <v>142</v>
      </c>
      <c r="C55" s="46">
        <v>6114</v>
      </c>
      <c r="D55" s="87">
        <v>45998</v>
      </c>
      <c r="E55" s="40">
        <v>7714.61</v>
      </c>
      <c r="F55" s="86">
        <v>46012</v>
      </c>
      <c r="H55" s="72"/>
      <c r="K55" s="46">
        <f t="shared" si="0"/>
        <v>13828.61</v>
      </c>
    </row>
    <row r="56" spans="1:11" ht="16">
      <c r="A56" s="41" t="s">
        <v>143</v>
      </c>
      <c r="B56" s="13" t="s">
        <v>144</v>
      </c>
      <c r="C56" s="42">
        <v>6643.62</v>
      </c>
      <c r="D56" s="86">
        <v>46019</v>
      </c>
      <c r="F56" s="86"/>
      <c r="H56" s="71"/>
      <c r="K56" s="40">
        <f t="shared" si="0"/>
        <v>6643.62</v>
      </c>
    </row>
    <row r="57" spans="1:11" ht="16">
      <c r="A57" s="41" t="s">
        <v>145</v>
      </c>
      <c r="B57" s="13" t="s">
        <v>146</v>
      </c>
      <c r="C57" s="122"/>
      <c r="D57" s="87"/>
      <c r="F57" s="86"/>
      <c r="H57" s="72"/>
      <c r="K57" s="46">
        <f t="shared" si="0"/>
        <v>0</v>
      </c>
    </row>
    <row r="58" spans="1:11" ht="16">
      <c r="A58" s="41" t="s">
        <v>147</v>
      </c>
      <c r="B58" s="13" t="s">
        <v>148</v>
      </c>
      <c r="C58" s="40">
        <v>7087.29</v>
      </c>
      <c r="D58" s="87">
        <v>46014</v>
      </c>
      <c r="F58" s="86"/>
      <c r="H58" s="72"/>
      <c r="K58" s="40">
        <f t="shared" si="0"/>
        <v>7087.29</v>
      </c>
    </row>
    <row r="59" spans="1:11" ht="16">
      <c r="A59" s="41" t="s">
        <v>149</v>
      </c>
      <c r="B59" s="13" t="s">
        <v>36</v>
      </c>
      <c r="C59" s="120">
        <v>7323</v>
      </c>
      <c r="D59" s="86">
        <v>46018</v>
      </c>
      <c r="F59" s="86"/>
      <c r="H59" s="71"/>
      <c r="K59" s="46">
        <f t="shared" si="0"/>
        <v>7323</v>
      </c>
    </row>
    <row r="60" spans="1:11" ht="16">
      <c r="A60" s="41" t="s">
        <v>150</v>
      </c>
      <c r="B60" s="13" t="s">
        <v>286</v>
      </c>
      <c r="C60" s="73">
        <v>6114</v>
      </c>
      <c r="D60" s="86">
        <v>45999</v>
      </c>
      <c r="E60" s="40">
        <v>7060.12</v>
      </c>
      <c r="F60" s="86">
        <v>46012</v>
      </c>
      <c r="H60" s="71"/>
      <c r="K60" s="46">
        <f t="shared" si="0"/>
        <v>13174.119999999999</v>
      </c>
    </row>
    <row r="61" spans="1:11" ht="16">
      <c r="A61" s="41" t="s">
        <v>152</v>
      </c>
      <c r="B61" s="13" t="s">
        <v>153</v>
      </c>
      <c r="C61" s="46">
        <v>6980.33</v>
      </c>
      <c r="D61" s="86">
        <v>46006</v>
      </c>
      <c r="F61" s="86"/>
      <c r="H61" s="71"/>
      <c r="K61" s="46">
        <f t="shared" si="0"/>
        <v>6980.33</v>
      </c>
    </row>
    <row r="62" spans="1:11" ht="1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">
      <c r="A63" s="41" t="s">
        <v>156</v>
      </c>
      <c r="B63" s="13" t="s">
        <v>157</v>
      </c>
      <c r="C63" s="46">
        <v>7045</v>
      </c>
      <c r="D63" s="87">
        <v>46013</v>
      </c>
      <c r="F63" s="86"/>
      <c r="H63" s="72"/>
      <c r="K63" s="46">
        <f t="shared" si="0"/>
        <v>7045</v>
      </c>
    </row>
    <row r="64" spans="1:11" ht="16">
      <c r="A64" s="41" t="s">
        <v>158</v>
      </c>
      <c r="B64" s="13" t="s">
        <v>159</v>
      </c>
      <c r="C64" s="120">
        <v>6231</v>
      </c>
      <c r="D64" s="86">
        <v>46003</v>
      </c>
      <c r="F64" s="86"/>
      <c r="H64" s="71"/>
      <c r="K64" s="46">
        <f t="shared" si="0"/>
        <v>6231</v>
      </c>
    </row>
    <row r="65" spans="1:27" ht="16">
      <c r="A65" s="41" t="s">
        <v>160</v>
      </c>
      <c r="B65" s="13" t="s">
        <v>161</v>
      </c>
      <c r="C65" s="42">
        <v>6114</v>
      </c>
      <c r="D65" s="86">
        <v>46008</v>
      </c>
      <c r="F65" s="86"/>
      <c r="H65" s="71"/>
      <c r="K65" s="40">
        <f t="shared" si="0"/>
        <v>6114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378644.99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2" customWidth="1"/>
    <col min="19" max="19" width="35.83203125" customWidth="1"/>
    <col min="20" max="20" width="10.33203125" customWidth="1"/>
  </cols>
  <sheetData>
    <row r="1" spans="1:20" ht="16.5" customHeight="1">
      <c r="A1" s="104"/>
      <c r="B1" s="249" t="s">
        <v>287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1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117.81165900000001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16</v>
      </c>
      <c r="D4" s="104">
        <v>0</v>
      </c>
      <c r="E4" s="104"/>
      <c r="F4" s="104"/>
      <c r="G4" s="104"/>
      <c r="H4" s="104">
        <v>1</v>
      </c>
      <c r="I4" s="104">
        <f>T7</f>
        <v>117.81165900000001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'ANNUAL-EXPENSE-DETAILS'!BF12</f>
        <v>280032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117.81165900000001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'ANNUAL-EXPENSE-DETAILS'!BE12</f>
        <v>41000</v>
      </c>
    </row>
    <row r="6" spans="1:20" ht="12.75" customHeight="1">
      <c r="A6" s="104" t="s">
        <v>24</v>
      </c>
      <c r="B6" s="13" t="s">
        <v>25</v>
      </c>
      <c r="C6" s="9">
        <v>4807.5</v>
      </c>
      <c r="D6" s="104">
        <f t="shared" ref="D6:D69" si="0">SUM($C$3:$C$5)/64</f>
        <v>0.25</v>
      </c>
      <c r="E6" s="104">
        <f t="shared" ref="E6:E69" si="1">C6+D6</f>
        <v>4807.75</v>
      </c>
      <c r="F6" s="104">
        <f t="shared" ref="F6:F70" si="2">IF($C$70=0, 0, E6/$C$70)</f>
        <v>8.7044488600616469E-3</v>
      </c>
      <c r="G6" s="104">
        <f t="shared" ref="G6:G69" si="3">F6*$T$5</f>
        <v>356.88240326252753</v>
      </c>
      <c r="H6" s="104">
        <v>3</v>
      </c>
      <c r="I6" s="104">
        <f t="shared" ref="I6:I69" si="4">$T$7*H6</f>
        <v>353.434977</v>
      </c>
      <c r="J6" s="104">
        <f t="shared" ref="J6:J69" si="5">G6+$T$9+I6</f>
        <v>715.83980177815261</v>
      </c>
      <c r="K6" s="104">
        <f t="shared" ref="K6:K69" si="6">$T$11/64</f>
        <v>4375.5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5091.3398017781528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11111.5</v>
      </c>
      <c r="D7" s="104">
        <f t="shared" si="0"/>
        <v>0.25</v>
      </c>
      <c r="E7" s="104">
        <f t="shared" si="1"/>
        <v>11111.75</v>
      </c>
      <c r="F7" s="104">
        <f t="shared" si="2"/>
        <v>2.011786378675888E-2</v>
      </c>
      <c r="G7" s="104">
        <f t="shared" si="3"/>
        <v>824.83241525711412</v>
      </c>
      <c r="H7" s="104">
        <v>4</v>
      </c>
      <c r="I7" s="104">
        <f t="shared" si="4"/>
        <v>471.24663600000002</v>
      </c>
      <c r="J7" s="104">
        <f t="shared" si="5"/>
        <v>1301.601472772739</v>
      </c>
      <c r="K7" s="104">
        <f t="shared" si="6"/>
        <v>4375.5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5677.1014727727388</v>
      </c>
      <c r="S7" s="107" t="s">
        <v>180</v>
      </c>
      <c r="T7" s="17">
        <v>117.81165900000001</v>
      </c>
    </row>
    <row r="8" spans="1:20" ht="12.75" customHeight="1">
      <c r="A8" s="104" t="s">
        <v>29</v>
      </c>
      <c r="B8" s="13" t="s">
        <v>30</v>
      </c>
      <c r="C8" s="9">
        <v>13363.5</v>
      </c>
      <c r="D8" s="104">
        <f t="shared" si="0"/>
        <v>0.25</v>
      </c>
      <c r="E8" s="104">
        <f t="shared" si="1"/>
        <v>13363.75</v>
      </c>
      <c r="F8" s="104">
        <f t="shared" si="2"/>
        <v>2.4195117976943237E-2</v>
      </c>
      <c r="G8" s="104">
        <f t="shared" si="3"/>
        <v>991.99983705467275</v>
      </c>
      <c r="H8" s="104">
        <v>4</v>
      </c>
      <c r="I8" s="104">
        <f t="shared" si="4"/>
        <v>471.24663600000002</v>
      </c>
      <c r="J8" s="104">
        <f t="shared" si="5"/>
        <v>1468.7688945702978</v>
      </c>
      <c r="K8" s="104">
        <f t="shared" si="6"/>
        <v>4375.5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6594.2688945702976</v>
      </c>
      <c r="S8" s="107" t="s">
        <v>181</v>
      </c>
      <c r="T8" s="110">
        <f>$T$7*3</f>
        <v>353.434977</v>
      </c>
    </row>
    <row r="9" spans="1:20" ht="12.75" customHeight="1">
      <c r="A9" s="104" t="s">
        <v>32</v>
      </c>
      <c r="B9" s="13" t="s">
        <v>33</v>
      </c>
      <c r="C9" s="9">
        <v>4363</v>
      </c>
      <c r="D9" s="104">
        <f t="shared" si="0"/>
        <v>0.25</v>
      </c>
      <c r="E9" s="104">
        <f t="shared" si="1"/>
        <v>4363.25</v>
      </c>
      <c r="F9" s="104">
        <f t="shared" si="2"/>
        <v>7.8996799934821869E-3</v>
      </c>
      <c r="G9" s="104">
        <f t="shared" si="3"/>
        <v>323.88687973276967</v>
      </c>
      <c r="H9" s="104">
        <v>4</v>
      </c>
      <c r="I9" s="104">
        <f t="shared" si="4"/>
        <v>471.24663600000002</v>
      </c>
      <c r="J9" s="104">
        <f t="shared" si="5"/>
        <v>800.65593724839471</v>
      </c>
      <c r="K9" s="104">
        <f t="shared" si="6"/>
        <v>4375.5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5176.1559372483944</v>
      </c>
      <c r="S9" s="113" t="s">
        <v>182</v>
      </c>
      <c r="T9" s="114">
        <f>T8/64</f>
        <v>5.5224215156250001</v>
      </c>
    </row>
    <row r="10" spans="1:20" ht="12.75" customHeight="1">
      <c r="A10" s="104" t="s">
        <v>35</v>
      </c>
      <c r="B10" s="13" t="s">
        <v>36</v>
      </c>
      <c r="C10" s="9">
        <v>5514.5</v>
      </c>
      <c r="D10" s="104">
        <f t="shared" si="0"/>
        <v>0.25</v>
      </c>
      <c r="E10" s="104">
        <f t="shared" si="1"/>
        <v>5514.75</v>
      </c>
      <c r="F10" s="104">
        <f t="shared" si="2"/>
        <v>9.9844749313140191E-3</v>
      </c>
      <c r="G10" s="104">
        <f t="shared" si="3"/>
        <v>409.36347218387476</v>
      </c>
      <c r="H10" s="104">
        <v>3</v>
      </c>
      <c r="I10" s="104">
        <f t="shared" si="4"/>
        <v>353.434977</v>
      </c>
      <c r="J10" s="104">
        <f t="shared" si="5"/>
        <v>768.32087069949978</v>
      </c>
      <c r="K10" s="104">
        <f t="shared" si="6"/>
        <v>4375.5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5143.8208706995001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4703</v>
      </c>
      <c r="D11" s="104">
        <f t="shared" si="0"/>
        <v>0.25</v>
      </c>
      <c r="E11" s="104">
        <f t="shared" si="1"/>
        <v>4703.25</v>
      </c>
      <c r="F11" s="104">
        <f t="shared" si="2"/>
        <v>8.5152512300109076E-3</v>
      </c>
      <c r="G11" s="104">
        <f t="shared" si="3"/>
        <v>349.12530043044723</v>
      </c>
      <c r="H11" s="104">
        <v>3</v>
      </c>
      <c r="I11" s="104">
        <f t="shared" si="4"/>
        <v>353.434977</v>
      </c>
      <c r="J11" s="104">
        <f t="shared" si="5"/>
        <v>708.08269894607224</v>
      </c>
      <c r="K11" s="104">
        <f t="shared" si="6"/>
        <v>4375.5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5083.582698946072</v>
      </c>
      <c r="S11" s="113" t="s">
        <v>21</v>
      </c>
      <c r="T11" s="114">
        <f>'ANNUAL-EXPENSE-DETAILS'!BF12</f>
        <v>280032</v>
      </c>
    </row>
    <row r="12" spans="1:20" ht="12.75" customHeight="1">
      <c r="A12" s="104" t="s">
        <v>40</v>
      </c>
      <c r="B12" s="13" t="s">
        <v>41</v>
      </c>
      <c r="C12" s="9">
        <v>30.5</v>
      </c>
      <c r="D12" s="104">
        <f t="shared" si="0"/>
        <v>0.25</v>
      </c>
      <c r="E12" s="104">
        <f t="shared" si="1"/>
        <v>30.75</v>
      </c>
      <c r="F12" s="104">
        <f t="shared" si="2"/>
        <v>5.5672986833112302E-5</v>
      </c>
      <c r="G12" s="104">
        <f t="shared" si="3"/>
        <v>2.2825924601576042</v>
      </c>
      <c r="H12" s="104">
        <v>3</v>
      </c>
      <c r="I12" s="104">
        <f t="shared" si="4"/>
        <v>353.434977</v>
      </c>
      <c r="J12" s="104">
        <f t="shared" si="5"/>
        <v>361.23999097578263</v>
      </c>
      <c r="K12" s="104">
        <f t="shared" si="6"/>
        <v>4375.5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5486.7399909757823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18885.5</v>
      </c>
      <c r="D13" s="104">
        <f t="shared" si="0"/>
        <v>0.25</v>
      </c>
      <c r="E13" s="104">
        <f t="shared" si="1"/>
        <v>18885.75</v>
      </c>
      <c r="F13" s="104">
        <f t="shared" si="2"/>
        <v>3.4192719059624413E-2</v>
      </c>
      <c r="G13" s="104">
        <f t="shared" si="3"/>
        <v>1401.9014814446009</v>
      </c>
      <c r="H13" s="104">
        <v>3</v>
      </c>
      <c r="I13" s="104">
        <f t="shared" si="4"/>
        <v>353.434977</v>
      </c>
      <c r="J13" s="104">
        <f t="shared" si="5"/>
        <v>1760.8588799602257</v>
      </c>
      <c r="K13" s="104">
        <f t="shared" si="6"/>
        <v>4375.5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6136.3588799602257</v>
      </c>
      <c r="S13" s="115" t="s">
        <v>280</v>
      </c>
      <c r="T13" s="116">
        <f>I70</f>
        <v>26271.999957000018</v>
      </c>
    </row>
    <row r="14" spans="1:20" ht="12.75" customHeight="1">
      <c r="A14" s="104" t="s">
        <v>46</v>
      </c>
      <c r="B14" s="13" t="s">
        <v>47</v>
      </c>
      <c r="C14" s="9">
        <v>2242.5</v>
      </c>
      <c r="D14" s="104">
        <f t="shared" si="0"/>
        <v>0.25</v>
      </c>
      <c r="E14" s="104">
        <f t="shared" si="1"/>
        <v>2242.75</v>
      </c>
      <c r="F14" s="104">
        <f t="shared" si="2"/>
        <v>4.0605070315434992E-3</v>
      </c>
      <c r="G14" s="104">
        <f t="shared" si="3"/>
        <v>166.48078829328347</v>
      </c>
      <c r="H14" s="104">
        <v>4</v>
      </c>
      <c r="I14" s="104">
        <f t="shared" si="4"/>
        <v>471.24663600000002</v>
      </c>
      <c r="J14" s="104">
        <f t="shared" si="5"/>
        <v>643.2498458089085</v>
      </c>
      <c r="K14" s="104">
        <f t="shared" si="6"/>
        <v>4375.5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5018.7498458089085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0.25</v>
      </c>
      <c r="E15" s="104">
        <f t="shared" si="1"/>
        <v>11612.25</v>
      </c>
      <c r="F15" s="104">
        <f t="shared" si="2"/>
        <v>2.1024020857001897E-2</v>
      </c>
      <c r="G15" s="104">
        <f t="shared" si="3"/>
        <v>861.98485513707783</v>
      </c>
      <c r="H15" s="104">
        <v>3</v>
      </c>
      <c r="I15" s="104">
        <f t="shared" si="4"/>
        <v>353.434977</v>
      </c>
      <c r="J15" s="104">
        <f t="shared" si="5"/>
        <v>1220.9422536527027</v>
      </c>
      <c r="K15" s="104">
        <f t="shared" si="6"/>
        <v>4375.5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5596.4422536527027</v>
      </c>
      <c r="S15" s="61" t="s">
        <v>288</v>
      </c>
      <c r="T15" s="63"/>
    </row>
    <row r="16" spans="1:20" ht="12.75" customHeight="1">
      <c r="A16" s="104" t="s">
        <v>52</v>
      </c>
      <c r="B16" s="13" t="s">
        <v>53</v>
      </c>
      <c r="C16" s="9">
        <v>581.5</v>
      </c>
      <c r="D16" s="104">
        <f t="shared" si="0"/>
        <v>0.25</v>
      </c>
      <c r="E16" s="104">
        <f t="shared" si="1"/>
        <v>581.75</v>
      </c>
      <c r="F16" s="104">
        <f t="shared" si="2"/>
        <v>1.0532604907370108E-3</v>
      </c>
      <c r="G16" s="104">
        <f t="shared" si="3"/>
        <v>43.183680120217446</v>
      </c>
      <c r="H16" s="104">
        <v>3</v>
      </c>
      <c r="I16" s="104">
        <f t="shared" si="4"/>
        <v>353.434977</v>
      </c>
      <c r="J16" s="104">
        <f t="shared" si="5"/>
        <v>402.14107863584246</v>
      </c>
      <c r="K16" s="104">
        <f t="shared" si="6"/>
        <v>4375.5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4777.6410786358429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10</v>
      </c>
      <c r="D17" s="104">
        <f t="shared" si="0"/>
        <v>0.25</v>
      </c>
      <c r="E17" s="104">
        <f t="shared" si="1"/>
        <v>10.25</v>
      </c>
      <c r="F17" s="104">
        <f t="shared" si="2"/>
        <v>1.8557662277704102E-5</v>
      </c>
      <c r="G17" s="104">
        <f t="shared" si="3"/>
        <v>0.76086415338586821</v>
      </c>
      <c r="H17" s="104">
        <v>3</v>
      </c>
      <c r="I17" s="104">
        <f t="shared" si="4"/>
        <v>353.434977</v>
      </c>
      <c r="J17" s="104">
        <f t="shared" si="5"/>
        <v>359.71826266901087</v>
      </c>
      <c r="K17" s="104">
        <f t="shared" si="6"/>
        <v>4375.5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4735.218262669011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1559</v>
      </c>
      <c r="D18" s="104">
        <f t="shared" si="0"/>
        <v>0.25</v>
      </c>
      <c r="E18" s="104">
        <f t="shared" si="1"/>
        <v>1559.25</v>
      </c>
      <c r="F18" s="104">
        <f t="shared" si="2"/>
        <v>2.8230277957570849E-3</v>
      </c>
      <c r="G18" s="104">
        <f t="shared" si="3"/>
        <v>115.74413962604048</v>
      </c>
      <c r="H18" s="104">
        <v>4</v>
      </c>
      <c r="I18" s="104">
        <f t="shared" si="4"/>
        <v>471.24663600000002</v>
      </c>
      <c r="J18" s="104">
        <f t="shared" si="5"/>
        <v>592.5131971416655</v>
      </c>
      <c r="K18" s="104">
        <f t="shared" si="6"/>
        <v>4375.5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4968.0131971416658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8123</v>
      </c>
      <c r="D19" s="104">
        <f t="shared" si="0"/>
        <v>0.25</v>
      </c>
      <c r="E19" s="104">
        <f t="shared" si="1"/>
        <v>8123.25</v>
      </c>
      <c r="F19" s="104">
        <f t="shared" si="2"/>
        <v>1.4707173668035105E-2</v>
      </c>
      <c r="G19" s="104">
        <f t="shared" si="3"/>
        <v>602.99412038943933</v>
      </c>
      <c r="H19" s="104">
        <v>4</v>
      </c>
      <c r="I19" s="104">
        <f t="shared" si="4"/>
        <v>471.24663600000002</v>
      </c>
      <c r="J19" s="104">
        <f t="shared" si="5"/>
        <v>1079.7631779050644</v>
      </c>
      <c r="K19" s="104">
        <f t="shared" si="6"/>
        <v>4375.5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5455.2631779050644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3861.5</v>
      </c>
      <c r="D20" s="104">
        <f t="shared" si="0"/>
        <v>0.25</v>
      </c>
      <c r="E20" s="104">
        <f t="shared" si="1"/>
        <v>3861.75</v>
      </c>
      <c r="F20" s="104">
        <f t="shared" si="2"/>
        <v>6.9917124196023231E-3</v>
      </c>
      <c r="G20" s="104">
        <f t="shared" si="3"/>
        <v>286.66020920369527</v>
      </c>
      <c r="H20" s="104">
        <v>4</v>
      </c>
      <c r="I20" s="104">
        <f t="shared" si="4"/>
        <v>471.24663600000002</v>
      </c>
      <c r="J20" s="104">
        <f t="shared" si="5"/>
        <v>763.42926671932037</v>
      </c>
      <c r="K20" s="104">
        <f t="shared" si="6"/>
        <v>4375.5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5888.9292667193204</v>
      </c>
      <c r="S20" s="66" t="s">
        <v>57</v>
      </c>
      <c r="T20" s="67">
        <f>'ANNUAL-EXPENSE-DETAILS'!BH12</f>
        <v>347304</v>
      </c>
    </row>
    <row r="21" spans="1:20" ht="12.75" customHeight="1">
      <c r="A21" s="104" t="s">
        <v>65</v>
      </c>
      <c r="B21" s="13" t="s">
        <v>66</v>
      </c>
      <c r="C21" s="9">
        <v>17584</v>
      </c>
      <c r="D21" s="104">
        <f t="shared" si="0"/>
        <v>0.25</v>
      </c>
      <c r="E21" s="104">
        <f t="shared" si="1"/>
        <v>17584.25</v>
      </c>
      <c r="F21" s="104">
        <f t="shared" si="2"/>
        <v>3.1836348576265203E-2</v>
      </c>
      <c r="G21" s="104">
        <f t="shared" si="3"/>
        <v>1305.2902916268733</v>
      </c>
      <c r="H21" s="104">
        <v>3</v>
      </c>
      <c r="I21" s="104">
        <f t="shared" si="4"/>
        <v>353.434977</v>
      </c>
      <c r="J21" s="104">
        <f t="shared" si="5"/>
        <v>1664.2476901424984</v>
      </c>
      <c r="K21" s="104">
        <f t="shared" si="6"/>
        <v>4375.5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6039.747690142498</v>
      </c>
      <c r="S21" s="107"/>
      <c r="T21" s="110"/>
    </row>
    <row r="22" spans="1:20" ht="12.75" customHeight="1">
      <c r="A22" s="104" t="s">
        <v>67</v>
      </c>
      <c r="B22" s="13" t="s">
        <v>68</v>
      </c>
      <c r="C22" s="9">
        <v>9608.5</v>
      </c>
      <c r="D22" s="104">
        <f t="shared" si="0"/>
        <v>0.25</v>
      </c>
      <c r="E22" s="104">
        <f t="shared" si="1"/>
        <v>9608.75</v>
      </c>
      <c r="F22" s="104">
        <f t="shared" si="2"/>
        <v>1.7396676820574563E-2</v>
      </c>
      <c r="G22" s="104">
        <f t="shared" si="3"/>
        <v>713.26374964355705</v>
      </c>
      <c r="H22" s="104">
        <v>3</v>
      </c>
      <c r="I22" s="104">
        <f t="shared" si="4"/>
        <v>353.434977</v>
      </c>
      <c r="J22" s="104">
        <f t="shared" si="5"/>
        <v>1072.2211481591821</v>
      </c>
      <c r="K22" s="104">
        <f t="shared" si="6"/>
        <v>4375.5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5447.7211481591821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12687.5</v>
      </c>
      <c r="D23" s="104">
        <f t="shared" si="0"/>
        <v>0.25</v>
      </c>
      <c r="E23" s="104">
        <f t="shared" si="1"/>
        <v>12687.75</v>
      </c>
      <c r="F23" s="104">
        <f t="shared" si="2"/>
        <v>2.2971217518433191E-2</v>
      </c>
      <c r="G23" s="104">
        <f t="shared" si="3"/>
        <v>941.81991825576085</v>
      </c>
      <c r="H23" s="104">
        <v>4</v>
      </c>
      <c r="I23" s="104">
        <f t="shared" si="4"/>
        <v>471.24663600000002</v>
      </c>
      <c r="J23" s="104">
        <f t="shared" si="5"/>
        <v>1418.5889757713858</v>
      </c>
      <c r="K23" s="104">
        <f t="shared" si="6"/>
        <v>4375.5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5794.0889757713858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12286.5</v>
      </c>
      <c r="D24" s="104">
        <f t="shared" si="0"/>
        <v>0.25</v>
      </c>
      <c r="E24" s="104">
        <f t="shared" si="1"/>
        <v>12286.75</v>
      </c>
      <c r="F24" s="104">
        <f t="shared" si="2"/>
        <v>2.2245205560056668E-2</v>
      </c>
      <c r="G24" s="104">
        <f t="shared" si="3"/>
        <v>912.05342796232344</v>
      </c>
      <c r="H24" s="104">
        <v>4</v>
      </c>
      <c r="I24" s="104">
        <f t="shared" si="4"/>
        <v>471.24663600000002</v>
      </c>
      <c r="J24" s="104">
        <f t="shared" si="5"/>
        <v>1388.8224854779485</v>
      </c>
      <c r="K24" s="104">
        <f t="shared" si="6"/>
        <v>4375.5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5764.3224854779482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19036</v>
      </c>
      <c r="D25" s="104">
        <f t="shared" si="0"/>
        <v>0.25</v>
      </c>
      <c r="E25" s="104">
        <f t="shared" si="1"/>
        <v>19036.25</v>
      </c>
      <c r="F25" s="104">
        <f t="shared" si="2"/>
        <v>3.4465199856970212E-2</v>
      </c>
      <c r="G25" s="104">
        <f t="shared" si="3"/>
        <v>1413.0731941357787</v>
      </c>
      <c r="H25" s="104">
        <v>4</v>
      </c>
      <c r="I25" s="104">
        <f t="shared" si="4"/>
        <v>471.24663600000002</v>
      </c>
      <c r="J25" s="104">
        <f t="shared" si="5"/>
        <v>1889.8422516514038</v>
      </c>
      <c r="K25" s="104">
        <f t="shared" si="6"/>
        <v>4375.5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6265.3422516514038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10558.5</v>
      </c>
      <c r="D26" s="104">
        <f t="shared" si="0"/>
        <v>0.25</v>
      </c>
      <c r="E26" s="104">
        <f t="shared" si="1"/>
        <v>10558.75</v>
      </c>
      <c r="F26" s="104">
        <f t="shared" si="2"/>
        <v>1.9116655275581283E-2</v>
      </c>
      <c r="G26" s="104">
        <f t="shared" si="3"/>
        <v>783.78286629883257</v>
      </c>
      <c r="H26" s="104">
        <v>3</v>
      </c>
      <c r="I26" s="104">
        <f t="shared" si="4"/>
        <v>353.434977</v>
      </c>
      <c r="J26" s="104">
        <f t="shared" si="5"/>
        <v>1142.7402648144575</v>
      </c>
      <c r="K26" s="104">
        <f t="shared" si="6"/>
        <v>4375.5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5518.240264814458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8656.5</v>
      </c>
      <c r="D27" s="104">
        <f t="shared" si="0"/>
        <v>0.25</v>
      </c>
      <c r="E27" s="104">
        <f t="shared" si="1"/>
        <v>8656.75</v>
      </c>
      <c r="F27" s="104">
        <f t="shared" si="2"/>
        <v>1.5673077358294145E-2</v>
      </c>
      <c r="G27" s="104">
        <f t="shared" si="3"/>
        <v>642.59617169005992</v>
      </c>
      <c r="H27" s="104">
        <v>3</v>
      </c>
      <c r="I27" s="104">
        <f t="shared" si="4"/>
        <v>353.434977</v>
      </c>
      <c r="J27" s="104">
        <f t="shared" si="5"/>
        <v>1001.5535702056849</v>
      </c>
      <c r="K27" s="104">
        <f t="shared" si="6"/>
        <v>4375.5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5377.053570205685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4210</v>
      </c>
      <c r="D28" s="104">
        <f t="shared" si="0"/>
        <v>0.25</v>
      </c>
      <c r="E28" s="104">
        <f t="shared" si="1"/>
        <v>4210.25</v>
      </c>
      <c r="F28" s="104">
        <f t="shared" si="2"/>
        <v>7.6226729370442621E-3</v>
      </c>
      <c r="G28" s="104">
        <f t="shared" si="3"/>
        <v>312.52959041881473</v>
      </c>
      <c r="H28" s="104">
        <v>3</v>
      </c>
      <c r="I28" s="104">
        <f t="shared" si="4"/>
        <v>353.434977</v>
      </c>
      <c r="J28" s="104">
        <f t="shared" si="5"/>
        <v>671.48698893443975</v>
      </c>
      <c r="K28" s="104">
        <f t="shared" si="6"/>
        <v>4375.5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5046.98698893444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6013</v>
      </c>
      <c r="D29" s="104">
        <f t="shared" si="0"/>
        <v>0.25</v>
      </c>
      <c r="E29" s="104">
        <f t="shared" si="1"/>
        <v>6013.25</v>
      </c>
      <c r="F29" s="104">
        <f t="shared" si="2"/>
        <v>1.0887010994283335E-2</v>
      </c>
      <c r="G29" s="104">
        <f t="shared" si="3"/>
        <v>446.36745076561675</v>
      </c>
      <c r="H29" s="104">
        <v>3</v>
      </c>
      <c r="I29" s="104">
        <f t="shared" si="4"/>
        <v>353.434977</v>
      </c>
      <c r="J29" s="104">
        <f t="shared" si="5"/>
        <v>805.32484928124177</v>
      </c>
      <c r="K29" s="104">
        <f t="shared" si="6"/>
        <v>4375.5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5180.8248492812418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7986</v>
      </c>
      <c r="D30" s="104">
        <f t="shared" si="0"/>
        <v>0.25</v>
      </c>
      <c r="E30" s="104">
        <f t="shared" si="1"/>
        <v>7986.25</v>
      </c>
      <c r="F30" s="104">
        <f t="shared" si="2"/>
        <v>1.4459134669786768E-2</v>
      </c>
      <c r="G30" s="104">
        <f t="shared" si="3"/>
        <v>592.82452146125752</v>
      </c>
      <c r="H30" s="104">
        <v>5</v>
      </c>
      <c r="I30" s="104">
        <f t="shared" si="4"/>
        <v>589.05829500000004</v>
      </c>
      <c r="J30" s="104">
        <f t="shared" si="5"/>
        <v>1187.4052379768825</v>
      </c>
      <c r="K30" s="104">
        <f t="shared" si="6"/>
        <v>4375.5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5562.9052379768827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8470.5</v>
      </c>
      <c r="D31" s="104">
        <f t="shared" si="0"/>
        <v>0.25</v>
      </c>
      <c r="E31" s="104">
        <f t="shared" si="1"/>
        <v>8470.75</v>
      </c>
      <c r="F31" s="104">
        <f t="shared" si="2"/>
        <v>1.5336323681840196E-2</v>
      </c>
      <c r="G31" s="104">
        <f t="shared" si="3"/>
        <v>628.78927095544805</v>
      </c>
      <c r="H31" s="104">
        <v>3</v>
      </c>
      <c r="I31" s="104">
        <f t="shared" si="4"/>
        <v>353.434977</v>
      </c>
      <c r="J31" s="104">
        <f t="shared" si="5"/>
        <v>987.74666947107301</v>
      </c>
      <c r="K31" s="104">
        <f t="shared" si="6"/>
        <v>4375.5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5363.2466694710729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279</v>
      </c>
      <c r="D32" s="104">
        <f t="shared" si="0"/>
        <v>0.25</v>
      </c>
      <c r="E32" s="104">
        <f t="shared" si="1"/>
        <v>279.25</v>
      </c>
      <c r="F32" s="104">
        <f t="shared" si="2"/>
        <v>5.0558314059013371E-4</v>
      </c>
      <c r="G32" s="104">
        <f t="shared" si="3"/>
        <v>20.728908764195481</v>
      </c>
      <c r="H32" s="104">
        <v>3</v>
      </c>
      <c r="I32" s="104">
        <f t="shared" si="4"/>
        <v>353.434977</v>
      </c>
      <c r="J32" s="104">
        <f t="shared" si="5"/>
        <v>379.68630727982048</v>
      </c>
      <c r="K32" s="104">
        <f t="shared" si="6"/>
        <v>4375.5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4755.1863072798205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11963.5</v>
      </c>
      <c r="D33" s="104">
        <f t="shared" si="0"/>
        <v>0.25</v>
      </c>
      <c r="E33" s="104">
        <f t="shared" si="1"/>
        <v>11963.75</v>
      </c>
      <c r="F33" s="104">
        <f t="shared" si="2"/>
        <v>2.1660412885354384E-2</v>
      </c>
      <c r="G33" s="104">
        <f t="shared" si="3"/>
        <v>888.07692829952975</v>
      </c>
      <c r="H33" s="104">
        <v>3</v>
      </c>
      <c r="I33" s="104">
        <f t="shared" si="4"/>
        <v>353.434977</v>
      </c>
      <c r="J33" s="104">
        <f t="shared" si="5"/>
        <v>1247.0343268151546</v>
      </c>
      <c r="K33" s="104">
        <f t="shared" si="6"/>
        <v>4375.5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5622.5343268151546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7135</v>
      </c>
      <c r="D34" s="104">
        <f t="shared" si="0"/>
        <v>0.25</v>
      </c>
      <c r="E34" s="104">
        <f t="shared" si="1"/>
        <v>7135.25</v>
      </c>
      <c r="F34" s="104">
        <f t="shared" si="2"/>
        <v>1.2918396074828115E-2</v>
      </c>
      <c r="G34" s="104">
        <f t="shared" si="3"/>
        <v>529.65423906795274</v>
      </c>
      <c r="H34" s="104">
        <v>4</v>
      </c>
      <c r="I34" s="104">
        <f t="shared" si="4"/>
        <v>471.24663600000002</v>
      </c>
      <c r="J34" s="104">
        <f t="shared" si="5"/>
        <v>1006.4232965835777</v>
      </c>
      <c r="K34" s="104">
        <f t="shared" si="6"/>
        <v>4375.5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5381.9232965835781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9644</v>
      </c>
      <c r="D35" s="104">
        <f t="shared" si="0"/>
        <v>0.25</v>
      </c>
      <c r="E35" s="104">
        <f t="shared" si="1"/>
        <v>9644.25</v>
      </c>
      <c r="F35" s="104">
        <f t="shared" si="2"/>
        <v>1.7460949699682708E-2</v>
      </c>
      <c r="G35" s="104">
        <f t="shared" si="3"/>
        <v>715.89893768699096</v>
      </c>
      <c r="H35" s="104">
        <v>4</v>
      </c>
      <c r="I35" s="104">
        <f t="shared" si="4"/>
        <v>471.24663600000002</v>
      </c>
      <c r="J35" s="104">
        <f t="shared" si="5"/>
        <v>1192.6679952026159</v>
      </c>
      <c r="K35" s="104">
        <f t="shared" si="6"/>
        <v>4375.5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5568.1679952026161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5467.5</v>
      </c>
      <c r="D36" s="104">
        <f t="shared" si="0"/>
        <v>0.25</v>
      </c>
      <c r="E36" s="104">
        <f t="shared" si="1"/>
        <v>5467.75</v>
      </c>
      <c r="F36" s="104">
        <f t="shared" si="2"/>
        <v>9.899381260382107E-3</v>
      </c>
      <c r="G36" s="104">
        <f t="shared" si="3"/>
        <v>405.87463167566636</v>
      </c>
      <c r="H36" s="104">
        <v>4</v>
      </c>
      <c r="I36" s="104">
        <f t="shared" si="4"/>
        <v>471.24663600000002</v>
      </c>
      <c r="J36" s="104">
        <f t="shared" si="5"/>
        <v>882.6436891912914</v>
      </c>
      <c r="K36" s="104">
        <f t="shared" si="6"/>
        <v>4375.5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5258.1436891912917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5279.5</v>
      </c>
      <c r="D37" s="104">
        <f t="shared" si="0"/>
        <v>0.25</v>
      </c>
      <c r="E37" s="104">
        <f t="shared" si="1"/>
        <v>5279.75</v>
      </c>
      <c r="F37" s="104">
        <f t="shared" si="2"/>
        <v>9.5590065766544604E-3</v>
      </c>
      <c r="G37" s="104">
        <f t="shared" si="3"/>
        <v>391.91926964283289</v>
      </c>
      <c r="H37" s="104">
        <v>3</v>
      </c>
      <c r="I37" s="104">
        <f t="shared" si="4"/>
        <v>353.434977</v>
      </c>
      <c r="J37" s="104">
        <f t="shared" si="5"/>
        <v>750.87666815845796</v>
      </c>
      <c r="K37" s="104">
        <f t="shared" si="6"/>
        <v>4375.5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5126.3766681584584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1921.5</v>
      </c>
      <c r="D38" s="104">
        <f t="shared" si="0"/>
        <v>0.25</v>
      </c>
      <c r="E38" s="104">
        <f t="shared" si="1"/>
        <v>1921.75</v>
      </c>
      <c r="F38" s="104">
        <f t="shared" si="2"/>
        <v>3.4793353641149128E-3</v>
      </c>
      <c r="G38" s="104">
        <f t="shared" si="3"/>
        <v>142.65274992871142</v>
      </c>
      <c r="H38" s="104">
        <v>3</v>
      </c>
      <c r="I38" s="104">
        <f t="shared" si="4"/>
        <v>353.434977</v>
      </c>
      <c r="J38" s="104">
        <f t="shared" si="5"/>
        <v>501.61014844433646</v>
      </c>
      <c r="K38" s="104">
        <f t="shared" si="6"/>
        <v>4375.5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4877.1101484443361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12656.5</v>
      </c>
      <c r="D39" s="104">
        <f t="shared" si="0"/>
        <v>0.25</v>
      </c>
      <c r="E39" s="104">
        <f t="shared" si="1"/>
        <v>12656.75</v>
      </c>
      <c r="F39" s="104">
        <f t="shared" si="2"/>
        <v>2.2915091905690865E-2</v>
      </c>
      <c r="G39" s="104">
        <f t="shared" si="3"/>
        <v>939.51876813332547</v>
      </c>
      <c r="H39" s="104">
        <v>4</v>
      </c>
      <c r="I39" s="104">
        <f t="shared" si="4"/>
        <v>471.24663600000002</v>
      </c>
      <c r="J39" s="104">
        <f t="shared" si="5"/>
        <v>1416.2878256489505</v>
      </c>
      <c r="K39" s="104">
        <f t="shared" si="6"/>
        <v>4375.5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5791.7878256489503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5697.5</v>
      </c>
      <c r="D40" s="104">
        <f t="shared" si="0"/>
        <v>0.25</v>
      </c>
      <c r="E40" s="104">
        <f t="shared" si="1"/>
        <v>5697.75</v>
      </c>
      <c r="F40" s="104">
        <f t="shared" si="2"/>
        <v>1.0315797096857418E-2</v>
      </c>
      <c r="G40" s="104">
        <f t="shared" si="3"/>
        <v>422.94768097115411</v>
      </c>
      <c r="H40" s="104">
        <v>4</v>
      </c>
      <c r="I40" s="104">
        <f t="shared" si="4"/>
        <v>471.24663600000002</v>
      </c>
      <c r="J40" s="104">
        <f t="shared" si="5"/>
        <v>899.71673848677915</v>
      </c>
      <c r="K40" s="104">
        <f t="shared" si="6"/>
        <v>4375.5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5275.2167384867789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14921.5</v>
      </c>
      <c r="D41" s="104">
        <f t="shared" si="0"/>
        <v>0.25</v>
      </c>
      <c r="E41" s="104">
        <f t="shared" si="1"/>
        <v>14921.75</v>
      </c>
      <c r="F41" s="104">
        <f t="shared" si="2"/>
        <v>2.701588264315426E-2</v>
      </c>
      <c r="G41" s="104">
        <f t="shared" si="3"/>
        <v>1107.6511883693247</v>
      </c>
      <c r="H41" s="104">
        <v>3</v>
      </c>
      <c r="I41" s="104">
        <f t="shared" si="4"/>
        <v>353.434977</v>
      </c>
      <c r="J41" s="104">
        <f t="shared" si="5"/>
        <v>1466.6085868849495</v>
      </c>
      <c r="K41" s="104">
        <f t="shared" si="6"/>
        <v>4375.5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5842.1085868849495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1889</v>
      </c>
      <c r="D42" s="104">
        <f t="shared" si="0"/>
        <v>0.25</v>
      </c>
      <c r="E42" s="104">
        <f t="shared" si="1"/>
        <v>1889.25</v>
      </c>
      <c r="F42" s="104">
        <f t="shared" si="2"/>
        <v>3.4204939959173145E-3</v>
      </c>
      <c r="G42" s="104">
        <f t="shared" si="3"/>
        <v>140.24025383260988</v>
      </c>
      <c r="H42" s="104">
        <v>3</v>
      </c>
      <c r="I42" s="104">
        <f t="shared" si="4"/>
        <v>353.434977</v>
      </c>
      <c r="J42" s="104">
        <f t="shared" si="5"/>
        <v>499.1976523482349</v>
      </c>
      <c r="K42" s="104">
        <f t="shared" si="6"/>
        <v>4375.5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4874.6976523482354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793.5</v>
      </c>
      <c r="D43" s="104">
        <f t="shared" si="0"/>
        <v>0.25</v>
      </c>
      <c r="E43" s="104">
        <f t="shared" si="1"/>
        <v>793.75</v>
      </c>
      <c r="F43" s="104">
        <f t="shared" si="2"/>
        <v>1.437087261749037E-3</v>
      </c>
      <c r="G43" s="104">
        <f t="shared" si="3"/>
        <v>58.920577731710516</v>
      </c>
      <c r="H43" s="104">
        <v>3</v>
      </c>
      <c r="I43" s="104">
        <f t="shared" si="4"/>
        <v>353.434977</v>
      </c>
      <c r="J43" s="104">
        <f t="shared" si="5"/>
        <v>417.87797624733554</v>
      </c>
      <c r="K43" s="104">
        <f t="shared" si="6"/>
        <v>4375.5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4793.3779762473359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7012</v>
      </c>
      <c r="D44" s="104">
        <f t="shared" si="0"/>
        <v>0.25</v>
      </c>
      <c r="E44" s="104">
        <f t="shared" si="1"/>
        <v>7012.25</v>
      </c>
      <c r="F44" s="104">
        <f t="shared" si="2"/>
        <v>1.2695704127495665E-2</v>
      </c>
      <c r="G44" s="104">
        <f t="shared" si="3"/>
        <v>520.52386922732228</v>
      </c>
      <c r="H44" s="104">
        <v>3</v>
      </c>
      <c r="I44" s="104">
        <f t="shared" si="4"/>
        <v>353.434977</v>
      </c>
      <c r="J44" s="104">
        <f t="shared" si="5"/>
        <v>879.48126774294724</v>
      </c>
      <c r="K44" s="104">
        <f t="shared" si="6"/>
        <v>4375.5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5254.9812677429472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13358.5</v>
      </c>
      <c r="D45" s="104">
        <f t="shared" si="0"/>
        <v>0.25</v>
      </c>
      <c r="E45" s="104">
        <f t="shared" si="1"/>
        <v>13358.75</v>
      </c>
      <c r="F45" s="104">
        <f t="shared" si="2"/>
        <v>2.4186065458758989E-2</v>
      </c>
      <c r="G45" s="104">
        <f t="shared" si="3"/>
        <v>991.62868380911857</v>
      </c>
      <c r="H45" s="104">
        <v>3</v>
      </c>
      <c r="I45" s="104">
        <f t="shared" si="4"/>
        <v>353.434977</v>
      </c>
      <c r="J45" s="104">
        <f t="shared" si="5"/>
        <v>1350.5860823247435</v>
      </c>
      <c r="K45" s="104">
        <f t="shared" si="6"/>
        <v>4375.5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5726.086082324744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8615.5</v>
      </c>
      <c r="D46" s="104">
        <f t="shared" si="0"/>
        <v>0.25</v>
      </c>
      <c r="E46" s="104">
        <f t="shared" si="1"/>
        <v>8615.75</v>
      </c>
      <c r="F46" s="104">
        <f t="shared" si="2"/>
        <v>1.5598846709183328E-2</v>
      </c>
      <c r="G46" s="104">
        <f t="shared" si="3"/>
        <v>639.55271507651639</v>
      </c>
      <c r="H46" s="104">
        <v>4</v>
      </c>
      <c r="I46" s="104">
        <f t="shared" si="4"/>
        <v>471.24663600000002</v>
      </c>
      <c r="J46" s="104">
        <f t="shared" si="5"/>
        <v>1116.3217725921413</v>
      </c>
      <c r="K46" s="104">
        <f t="shared" si="6"/>
        <v>4375.5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5491.8217725921413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626.5</v>
      </c>
      <c r="D47" s="104">
        <f t="shared" si="0"/>
        <v>0.25</v>
      </c>
      <c r="E47" s="104">
        <f t="shared" si="1"/>
        <v>626.75</v>
      </c>
      <c r="F47" s="104">
        <f t="shared" si="2"/>
        <v>1.1347331543952238E-3</v>
      </c>
      <c r="G47" s="104">
        <f t="shared" si="3"/>
        <v>46.524059330204175</v>
      </c>
      <c r="H47" s="104">
        <v>3</v>
      </c>
      <c r="I47" s="104">
        <f t="shared" si="4"/>
        <v>353.434977</v>
      </c>
      <c r="J47" s="104">
        <f t="shared" si="5"/>
        <v>405.4814578458292</v>
      </c>
      <c r="K47" s="104">
        <f t="shared" si="6"/>
        <v>4375.5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4780.981457845829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4281</v>
      </c>
      <c r="D48" s="104">
        <f t="shared" si="0"/>
        <v>0.25</v>
      </c>
      <c r="E48" s="104">
        <f t="shared" si="1"/>
        <v>4281.25</v>
      </c>
      <c r="F48" s="104">
        <f t="shared" si="2"/>
        <v>7.7512186952605538E-3</v>
      </c>
      <c r="G48" s="104">
        <f t="shared" si="3"/>
        <v>317.79996650568273</v>
      </c>
      <c r="H48" s="104">
        <v>3</v>
      </c>
      <c r="I48" s="104">
        <f t="shared" si="4"/>
        <v>353.434977</v>
      </c>
      <c r="J48" s="104">
        <f t="shared" si="5"/>
        <v>676.75736502130781</v>
      </c>
      <c r="K48" s="104">
        <f t="shared" si="6"/>
        <v>4375.5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5052.257365021308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3618.5</v>
      </c>
      <c r="D49" s="104">
        <f t="shared" si="0"/>
        <v>0.25</v>
      </c>
      <c r="E49" s="104">
        <f t="shared" si="1"/>
        <v>3618.75</v>
      </c>
      <c r="F49" s="104">
        <f t="shared" si="2"/>
        <v>6.5517600358479724E-3</v>
      </c>
      <c r="G49" s="104">
        <f t="shared" si="3"/>
        <v>268.62216146976687</v>
      </c>
      <c r="H49" s="104">
        <v>3</v>
      </c>
      <c r="I49" s="104">
        <f t="shared" si="4"/>
        <v>353.434977</v>
      </c>
      <c r="J49" s="104">
        <f t="shared" si="5"/>
        <v>627.57955998539182</v>
      </c>
      <c r="K49" s="104">
        <f t="shared" si="6"/>
        <v>4375.5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5003.0795599853918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26.5</v>
      </c>
      <c r="D50" s="104">
        <f t="shared" si="0"/>
        <v>0.25</v>
      </c>
      <c r="E50" s="104">
        <f t="shared" si="1"/>
        <v>26.75</v>
      </c>
      <c r="F50" s="104">
        <f t="shared" si="2"/>
        <v>4.8430972285715578E-5</v>
      </c>
      <c r="G50" s="104">
        <f t="shared" si="3"/>
        <v>1.9856698637143386</v>
      </c>
      <c r="H50" s="104">
        <v>4</v>
      </c>
      <c r="I50" s="104">
        <f t="shared" si="4"/>
        <v>471.24663600000002</v>
      </c>
      <c r="J50" s="104">
        <f t="shared" si="5"/>
        <v>478.75472737933939</v>
      </c>
      <c r="K50" s="104">
        <f t="shared" si="6"/>
        <v>4375.5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4854.2547273793398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1590.5</v>
      </c>
      <c r="D51" s="104">
        <f t="shared" si="0"/>
        <v>0.25</v>
      </c>
      <c r="E51" s="104">
        <f t="shared" si="1"/>
        <v>1590.75</v>
      </c>
      <c r="F51" s="104">
        <f t="shared" si="2"/>
        <v>2.8800586603178338E-3</v>
      </c>
      <c r="G51" s="104">
        <f t="shared" si="3"/>
        <v>118.08240507303118</v>
      </c>
      <c r="H51" s="104">
        <v>4</v>
      </c>
      <c r="I51" s="104">
        <f t="shared" si="4"/>
        <v>471.24663600000002</v>
      </c>
      <c r="J51" s="104">
        <f t="shared" si="5"/>
        <v>594.8514625886562</v>
      </c>
      <c r="K51" s="104">
        <f t="shared" si="6"/>
        <v>4375.5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4970.3514625886564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14069.5</v>
      </c>
      <c r="D52" s="104">
        <f t="shared" si="0"/>
        <v>0.25</v>
      </c>
      <c r="E52" s="104">
        <f t="shared" si="1"/>
        <v>14069.75</v>
      </c>
      <c r="F52" s="104">
        <f t="shared" si="2"/>
        <v>2.5473333544558757E-2</v>
      </c>
      <c r="G52" s="104">
        <f t="shared" si="3"/>
        <v>1044.406675326909</v>
      </c>
      <c r="H52" s="104">
        <v>4</v>
      </c>
      <c r="I52" s="104">
        <f t="shared" si="4"/>
        <v>471.24663600000002</v>
      </c>
      <c r="J52" s="104">
        <f t="shared" si="5"/>
        <v>1521.175732842534</v>
      </c>
      <c r="K52" s="104">
        <f t="shared" si="6"/>
        <v>4375.5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5896.6757328425338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4700</v>
      </c>
      <c r="D53" s="104">
        <f t="shared" si="0"/>
        <v>0.25</v>
      </c>
      <c r="E53" s="104">
        <f t="shared" si="1"/>
        <v>4700.25</v>
      </c>
      <c r="F53" s="104">
        <f t="shared" si="2"/>
        <v>8.5098197191003609E-3</v>
      </c>
      <c r="G53" s="104">
        <f t="shared" si="3"/>
        <v>348.90260848311482</v>
      </c>
      <c r="H53" s="104">
        <v>3</v>
      </c>
      <c r="I53" s="104">
        <f t="shared" si="4"/>
        <v>353.434977</v>
      </c>
      <c r="J53" s="104">
        <f t="shared" si="5"/>
        <v>707.86000699873989</v>
      </c>
      <c r="K53" s="104">
        <f t="shared" si="6"/>
        <v>4375.5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5083.3600069987397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17485</v>
      </c>
      <c r="D54" s="104">
        <f t="shared" si="0"/>
        <v>0.25</v>
      </c>
      <c r="E54" s="104">
        <f t="shared" si="1"/>
        <v>17485.25</v>
      </c>
      <c r="F54" s="104">
        <f t="shared" si="2"/>
        <v>3.1657108716217131E-2</v>
      </c>
      <c r="G54" s="104">
        <f t="shared" si="3"/>
        <v>1297.9414573649024</v>
      </c>
      <c r="H54" s="104">
        <v>3</v>
      </c>
      <c r="I54" s="104">
        <f t="shared" si="4"/>
        <v>353.434977</v>
      </c>
      <c r="J54" s="104">
        <f t="shared" si="5"/>
        <v>1656.8988558805272</v>
      </c>
      <c r="K54" s="104">
        <f t="shared" si="6"/>
        <v>4375.5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6032.3988558805268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14059</v>
      </c>
      <c r="D55" s="104">
        <f t="shared" si="0"/>
        <v>0.25</v>
      </c>
      <c r="E55" s="104">
        <f t="shared" si="1"/>
        <v>14059.25</v>
      </c>
      <c r="F55" s="104">
        <f t="shared" si="2"/>
        <v>2.5454323256371841E-2</v>
      </c>
      <c r="G55" s="104">
        <f t="shared" si="3"/>
        <v>1043.6272535112455</v>
      </c>
      <c r="H55" s="104">
        <v>4</v>
      </c>
      <c r="I55" s="104">
        <f t="shared" si="4"/>
        <v>471.24663600000002</v>
      </c>
      <c r="J55" s="104">
        <f t="shared" si="5"/>
        <v>1520.3963110268705</v>
      </c>
      <c r="K55" s="104">
        <f t="shared" si="6"/>
        <v>4375.5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5895.8963110268705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7439.5</v>
      </c>
      <c r="D56" s="104">
        <f t="shared" si="0"/>
        <v>0.25</v>
      </c>
      <c r="E56" s="104">
        <f t="shared" si="1"/>
        <v>7439.75</v>
      </c>
      <c r="F56" s="104">
        <f t="shared" si="2"/>
        <v>1.3469694432248691E-2</v>
      </c>
      <c r="G56" s="104">
        <f t="shared" si="3"/>
        <v>552.25747172219633</v>
      </c>
      <c r="H56" s="104">
        <v>4</v>
      </c>
      <c r="I56" s="104">
        <f t="shared" si="4"/>
        <v>471.24663600000002</v>
      </c>
      <c r="J56" s="104">
        <f t="shared" si="5"/>
        <v>1029.0265292378213</v>
      </c>
      <c r="K56" s="104">
        <f t="shared" si="6"/>
        <v>4375.5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5404.5265292378208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6899.5</v>
      </c>
      <c r="D57" s="104">
        <f t="shared" si="0"/>
        <v>0.25</v>
      </c>
      <c r="E57" s="104">
        <f t="shared" si="1"/>
        <v>6899.75</v>
      </c>
      <c r="F57" s="104">
        <f t="shared" si="2"/>
        <v>1.2492022468350133E-2</v>
      </c>
      <c r="G57" s="104">
        <f t="shared" si="3"/>
        <v>512.1729212023555</v>
      </c>
      <c r="H57" s="104">
        <v>4</v>
      </c>
      <c r="I57" s="104">
        <f t="shared" si="4"/>
        <v>471.24663600000002</v>
      </c>
      <c r="J57" s="104">
        <f t="shared" si="5"/>
        <v>988.94197871798042</v>
      </c>
      <c r="K57" s="104">
        <f t="shared" si="6"/>
        <v>4375.5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5364.4419787179804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1753.5</v>
      </c>
      <c r="D58" s="104">
        <f t="shared" si="0"/>
        <v>0.25</v>
      </c>
      <c r="E58" s="104">
        <f t="shared" si="1"/>
        <v>1753.75</v>
      </c>
      <c r="F58" s="104">
        <f t="shared" si="2"/>
        <v>3.1751707531242502E-3</v>
      </c>
      <c r="G58" s="104">
        <f t="shared" si="3"/>
        <v>130.18200087809427</v>
      </c>
      <c r="H58" s="104">
        <v>3</v>
      </c>
      <c r="I58" s="104">
        <f t="shared" si="4"/>
        <v>353.434977</v>
      </c>
      <c r="J58" s="104">
        <f t="shared" si="5"/>
        <v>489.13939939371926</v>
      </c>
      <c r="K58" s="104">
        <f t="shared" si="6"/>
        <v>4375.5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4864.639399393719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9770.5</v>
      </c>
      <c r="D59" s="104">
        <f t="shared" si="0"/>
        <v>0.25</v>
      </c>
      <c r="E59" s="104">
        <f t="shared" si="1"/>
        <v>9770.75</v>
      </c>
      <c r="F59" s="104">
        <f t="shared" si="2"/>
        <v>1.768997840974413E-2</v>
      </c>
      <c r="G59" s="104">
        <f t="shared" si="3"/>
        <v>725.28911479950932</v>
      </c>
      <c r="H59" s="104">
        <v>3</v>
      </c>
      <c r="I59" s="104">
        <f t="shared" si="4"/>
        <v>353.434977</v>
      </c>
      <c r="J59" s="104">
        <f t="shared" si="5"/>
        <v>1084.2465133151343</v>
      </c>
      <c r="K59" s="104">
        <f t="shared" si="6"/>
        <v>4375.5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5459.7465133151345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817.5</v>
      </c>
      <c r="D60" s="104">
        <f t="shared" si="0"/>
        <v>0.25</v>
      </c>
      <c r="E60" s="104">
        <f t="shared" si="1"/>
        <v>817.75</v>
      </c>
      <c r="F60" s="104">
        <f t="shared" si="2"/>
        <v>1.4805393490334173E-3</v>
      </c>
      <c r="G60" s="104">
        <f t="shared" si="3"/>
        <v>60.702113310370109</v>
      </c>
      <c r="H60" s="104">
        <v>3</v>
      </c>
      <c r="I60" s="104">
        <f t="shared" si="4"/>
        <v>353.434977</v>
      </c>
      <c r="J60" s="104">
        <f t="shared" si="5"/>
        <v>419.65951182599508</v>
      </c>
      <c r="K60" s="104">
        <f t="shared" si="6"/>
        <v>4375.5</v>
      </c>
      <c r="L60" s="7">
        <v>0</v>
      </c>
      <c r="M60" s="104">
        <v>500</v>
      </c>
      <c r="N60" s="104">
        <v>0</v>
      </c>
      <c r="O60" s="104">
        <v>0</v>
      </c>
      <c r="P60" s="109"/>
      <c r="Q60" s="109"/>
      <c r="R60" s="109">
        <f t="shared" si="7"/>
        <v>5295.1595118259947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7457</v>
      </c>
      <c r="D61" s="104">
        <f t="shared" si="0"/>
        <v>0.25</v>
      </c>
      <c r="E61" s="104">
        <f t="shared" si="1"/>
        <v>7457.25</v>
      </c>
      <c r="F61" s="104">
        <f t="shared" si="2"/>
        <v>1.3501378245893552E-2</v>
      </c>
      <c r="G61" s="104">
        <f t="shared" si="3"/>
        <v>553.55650808163557</v>
      </c>
      <c r="H61" s="104">
        <v>3</v>
      </c>
      <c r="I61" s="104">
        <f t="shared" si="4"/>
        <v>353.434977</v>
      </c>
      <c r="J61" s="104">
        <f t="shared" si="5"/>
        <v>912.51390659726053</v>
      </c>
      <c r="K61" s="104">
        <f t="shared" si="6"/>
        <v>4375.5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5288.0139065972608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8529</v>
      </c>
      <c r="D62" s="104">
        <f t="shared" si="0"/>
        <v>0.25</v>
      </c>
      <c r="E62" s="104">
        <f t="shared" si="1"/>
        <v>8529.25</v>
      </c>
      <c r="F62" s="104">
        <f t="shared" si="2"/>
        <v>1.5442238144595872E-2</v>
      </c>
      <c r="G62" s="104">
        <f t="shared" si="3"/>
        <v>633.13176392843081</v>
      </c>
      <c r="H62" s="104">
        <v>4</v>
      </c>
      <c r="I62" s="104">
        <f t="shared" si="4"/>
        <v>471.24663600000002</v>
      </c>
      <c r="J62" s="104">
        <f t="shared" si="5"/>
        <v>1109.9008214440557</v>
      </c>
      <c r="K62" s="104">
        <f t="shared" si="6"/>
        <v>4375.5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5485.4008214440555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17445</v>
      </c>
      <c r="D63" s="104">
        <f t="shared" si="0"/>
        <v>0.25</v>
      </c>
      <c r="E63" s="104">
        <f t="shared" si="1"/>
        <v>17445.25</v>
      </c>
      <c r="F63" s="104">
        <f t="shared" si="2"/>
        <v>3.1584688570743168E-2</v>
      </c>
      <c r="G63" s="104">
        <f t="shared" si="3"/>
        <v>1294.9722314004698</v>
      </c>
      <c r="H63" s="104">
        <v>3</v>
      </c>
      <c r="I63" s="104">
        <f t="shared" si="4"/>
        <v>353.434977</v>
      </c>
      <c r="J63" s="104">
        <f t="shared" si="5"/>
        <v>1653.9296299160947</v>
      </c>
      <c r="K63" s="104">
        <f t="shared" si="6"/>
        <v>4375.5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6779.4296299160942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5541</v>
      </c>
      <c r="D64" s="104">
        <f t="shared" si="0"/>
        <v>0.25</v>
      </c>
      <c r="E64" s="104">
        <f t="shared" si="1"/>
        <v>5541.25</v>
      </c>
      <c r="F64" s="104">
        <f t="shared" si="2"/>
        <v>1.0032453277690522E-2</v>
      </c>
      <c r="G64" s="104">
        <f t="shared" si="3"/>
        <v>411.3305843853114</v>
      </c>
      <c r="H64" s="104">
        <v>3</v>
      </c>
      <c r="I64" s="104">
        <f t="shared" si="4"/>
        <v>353.434977</v>
      </c>
      <c r="J64" s="104">
        <f t="shared" si="5"/>
        <v>770.28798290093641</v>
      </c>
      <c r="K64" s="104">
        <f t="shared" si="6"/>
        <v>4375.5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5145.7879829009362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3101.5</v>
      </c>
      <c r="D65" s="104">
        <f t="shared" si="0"/>
        <v>0.25</v>
      </c>
      <c r="E65" s="104">
        <f t="shared" si="1"/>
        <v>3101.75</v>
      </c>
      <c r="F65" s="104">
        <f t="shared" si="2"/>
        <v>5.6157296555969455E-3</v>
      </c>
      <c r="G65" s="104">
        <f t="shared" si="3"/>
        <v>230.24491587947477</v>
      </c>
      <c r="H65" s="104">
        <v>3</v>
      </c>
      <c r="I65" s="104">
        <f t="shared" si="4"/>
        <v>353.434977</v>
      </c>
      <c r="J65" s="104">
        <f t="shared" si="5"/>
        <v>589.20231439509985</v>
      </c>
      <c r="K65" s="104">
        <f t="shared" si="6"/>
        <v>4375.5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4964.7023143951001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4748</v>
      </c>
      <c r="D66" s="104">
        <f t="shared" si="0"/>
        <v>0.25</v>
      </c>
      <c r="E66" s="104">
        <f t="shared" si="1"/>
        <v>4748.25</v>
      </c>
      <c r="F66" s="104">
        <f t="shared" si="2"/>
        <v>8.5967238936691219E-3</v>
      </c>
      <c r="G66" s="104">
        <f t="shared" si="3"/>
        <v>352.46567964043402</v>
      </c>
      <c r="H66" s="104">
        <v>4</v>
      </c>
      <c r="I66" s="104">
        <f t="shared" si="4"/>
        <v>471.24663600000002</v>
      </c>
      <c r="J66" s="104">
        <f t="shared" si="5"/>
        <v>829.23473715605905</v>
      </c>
      <c r="K66" s="104">
        <f t="shared" si="6"/>
        <v>4375.5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5204.7347371560591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4207.5</v>
      </c>
      <c r="D67" s="104">
        <f t="shared" si="0"/>
        <v>0.25</v>
      </c>
      <c r="E67" s="104">
        <f t="shared" si="1"/>
        <v>4207.75</v>
      </c>
      <c r="F67" s="104">
        <f t="shared" si="2"/>
        <v>7.618146677952139E-3</v>
      </c>
      <c r="G67" s="104">
        <f t="shared" si="3"/>
        <v>312.3440137960377</v>
      </c>
      <c r="H67" s="104">
        <v>4</v>
      </c>
      <c r="I67" s="104">
        <f t="shared" si="4"/>
        <v>471.24663600000002</v>
      </c>
      <c r="J67" s="104">
        <f t="shared" si="5"/>
        <v>789.11307131166268</v>
      </c>
      <c r="K67" s="104">
        <f t="shared" si="6"/>
        <v>4375.5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5164.6130713116627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91090.5</v>
      </c>
      <c r="D68" s="104">
        <f t="shared" si="0"/>
        <v>0.25</v>
      </c>
      <c r="E68" s="104">
        <f t="shared" si="1"/>
        <v>91090.75</v>
      </c>
      <c r="F68" s="104">
        <f t="shared" si="2"/>
        <v>0.16492013415831949</v>
      </c>
      <c r="G68" s="104">
        <f t="shared" si="3"/>
        <v>6761.7255004910994</v>
      </c>
      <c r="H68" s="104">
        <v>4</v>
      </c>
      <c r="I68" s="104">
        <f t="shared" si="4"/>
        <v>471.24663600000002</v>
      </c>
      <c r="J68" s="104">
        <f t="shared" si="5"/>
        <v>7238.4945580067242</v>
      </c>
      <c r="K68" s="104">
        <f t="shared" si="6"/>
        <v>4375.5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11613.994558006725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8560.5</v>
      </c>
      <c r="D69" s="104">
        <f t="shared" si="0"/>
        <v>0.25</v>
      </c>
      <c r="E69" s="104">
        <f t="shared" si="1"/>
        <v>8560.75</v>
      </c>
      <c r="F69" s="104">
        <f t="shared" si="2"/>
        <v>1.5499269009156623E-2</v>
      </c>
      <c r="G69" s="104">
        <f t="shared" si="3"/>
        <v>635.47002937542152</v>
      </c>
      <c r="H69" s="104">
        <v>3</v>
      </c>
      <c r="I69" s="104">
        <f t="shared" si="4"/>
        <v>353.434977</v>
      </c>
      <c r="J69" s="104">
        <f t="shared" si="5"/>
        <v>994.42742789104648</v>
      </c>
      <c r="K69" s="104">
        <f t="shared" si="6"/>
        <v>4375.5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5369.9274278910461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552332.5</v>
      </c>
      <c r="D70" s="104">
        <f t="shared" ref="D70:E70" si="8">SUM(D3:D69)</f>
        <v>16</v>
      </c>
      <c r="E70" s="104">
        <f t="shared" si="8"/>
        <v>552332.5</v>
      </c>
      <c r="F70" s="104">
        <f t="shared" si="2"/>
        <v>1</v>
      </c>
      <c r="G70" s="104">
        <f t="shared" ref="G70:O70" si="9">SUM(G3:G69)</f>
        <v>40999.999999999985</v>
      </c>
      <c r="H70" s="104">
        <f t="shared" si="9"/>
        <v>223</v>
      </c>
      <c r="I70" s="104">
        <f t="shared" si="9"/>
        <v>26271.999957000018</v>
      </c>
      <c r="J70" s="104">
        <f t="shared" si="9"/>
        <v>67271.999956999993</v>
      </c>
      <c r="K70" s="104">
        <f t="shared" si="9"/>
        <v>280032</v>
      </c>
      <c r="L70" s="104">
        <f t="shared" si="9"/>
        <v>3000</v>
      </c>
      <c r="M70" s="104">
        <f t="shared" si="9"/>
        <v>500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350803.99995700002</v>
      </c>
      <c r="S70" s="107"/>
      <c r="T70" s="110"/>
    </row>
  </sheetData>
  <mergeCells count="1">
    <mergeCell ref="B1:T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996"/>
  <sheetViews>
    <sheetView tabSelected="1" workbookViewId="0">
      <pane ySplit="1" topLeftCell="A20" activePane="bottomLeft" state="frozen"/>
      <selection pane="bottomLeft" activeCell="D62" sqref="D62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5555</v>
      </c>
      <c r="D2" s="86">
        <v>46049</v>
      </c>
      <c r="F2" s="86"/>
      <c r="H2" s="71"/>
      <c r="K2" s="40">
        <f t="shared" ref="K2:K65" si="0">SUM(C2,E2,G2,I2)</f>
        <v>5555</v>
      </c>
    </row>
    <row r="3" spans="1:11" ht="15" customHeight="1">
      <c r="A3" s="41" t="s">
        <v>26</v>
      </c>
      <c r="B3" s="13" t="s">
        <v>27</v>
      </c>
      <c r="C3" s="40">
        <v>26087</v>
      </c>
      <c r="D3" s="87">
        <v>46045</v>
      </c>
      <c r="F3" s="86"/>
      <c r="H3" s="72"/>
      <c r="K3" s="40">
        <f t="shared" si="0"/>
        <v>26087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46023</v>
      </c>
      <c r="E4" s="46"/>
      <c r="F4" s="86"/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5264</v>
      </c>
      <c r="D5" s="87">
        <v>46040</v>
      </c>
      <c r="F5" s="86"/>
      <c r="H5" s="72"/>
      <c r="K5" s="46">
        <f t="shared" si="0"/>
        <v>5264</v>
      </c>
    </row>
    <row r="6" spans="1:11" ht="15" customHeight="1">
      <c r="A6" s="41" t="s">
        <v>35</v>
      </c>
      <c r="B6" s="13" t="s">
        <v>36</v>
      </c>
      <c r="C6" s="42">
        <v>5340.41</v>
      </c>
      <c r="D6" s="86">
        <v>46039</v>
      </c>
      <c r="F6" s="86"/>
      <c r="H6" s="71"/>
      <c r="K6" s="40">
        <f t="shared" si="0"/>
        <v>5340.41</v>
      </c>
    </row>
    <row r="7" spans="1:11" ht="15" customHeight="1">
      <c r="A7" s="41" t="s">
        <v>37</v>
      </c>
      <c r="B7" s="13" t="s">
        <v>38</v>
      </c>
      <c r="C7" s="40">
        <v>7074.94</v>
      </c>
      <c r="D7" s="87">
        <v>46024</v>
      </c>
      <c r="E7" s="40">
        <v>5140.87</v>
      </c>
      <c r="F7" s="86">
        <v>46053</v>
      </c>
      <c r="H7" s="72"/>
      <c r="K7" s="40">
        <f t="shared" si="0"/>
        <v>12215.81</v>
      </c>
    </row>
    <row r="8" spans="1:11" ht="15" customHeight="1">
      <c r="A8" s="41" t="s">
        <v>40</v>
      </c>
      <c r="B8" s="13" t="s">
        <v>41</v>
      </c>
      <c r="C8" s="40">
        <v>5551.92</v>
      </c>
      <c r="D8" s="86">
        <v>46050</v>
      </c>
      <c r="E8" s="42"/>
      <c r="F8" s="86"/>
      <c r="H8" s="71"/>
      <c r="K8" s="40">
        <f t="shared" si="0"/>
        <v>5551.92</v>
      </c>
    </row>
    <row r="9" spans="1:11" ht="15" customHeight="1">
      <c r="A9" s="41" t="s">
        <v>43</v>
      </c>
      <c r="B9" s="13" t="s">
        <v>44</v>
      </c>
      <c r="C9" s="120">
        <v>6937</v>
      </c>
      <c r="D9" s="86">
        <v>46040</v>
      </c>
      <c r="F9" s="86"/>
      <c r="H9" s="71"/>
      <c r="K9" s="46">
        <f t="shared" si="0"/>
        <v>6937</v>
      </c>
    </row>
    <row r="10" spans="1:11" ht="15" customHeight="1">
      <c r="A10" s="41" t="s">
        <v>46</v>
      </c>
      <c r="B10" s="13" t="s">
        <v>47</v>
      </c>
      <c r="C10" s="120">
        <v>5090</v>
      </c>
      <c r="D10" s="87">
        <v>46052</v>
      </c>
      <c r="F10" s="86"/>
      <c r="H10" s="71"/>
      <c r="K10" s="46">
        <f t="shared" si="0"/>
        <v>5090</v>
      </c>
    </row>
    <row r="11" spans="1:11" ht="15" customHeight="1">
      <c r="A11" s="41" t="s">
        <v>49</v>
      </c>
      <c r="B11" s="13" t="s">
        <v>50</v>
      </c>
      <c r="C11" s="46">
        <v>6114</v>
      </c>
      <c r="D11" s="87">
        <v>46036</v>
      </c>
      <c r="F11" s="86"/>
      <c r="H11" s="72"/>
      <c r="K11" s="46">
        <f t="shared" si="0"/>
        <v>6114</v>
      </c>
    </row>
    <row r="12" spans="1:11" ht="15" customHeight="1">
      <c r="A12" s="41" t="s">
        <v>52</v>
      </c>
      <c r="B12" s="13" t="s">
        <v>53</v>
      </c>
      <c r="C12" s="73">
        <v>4894</v>
      </c>
      <c r="D12" s="86">
        <v>46044</v>
      </c>
      <c r="F12" s="86"/>
      <c r="H12" s="71"/>
      <c r="K12" s="46">
        <f t="shared" si="0"/>
        <v>4894</v>
      </c>
    </row>
    <row r="13" spans="1:11" ht="15" customHeight="1">
      <c r="A13" s="41" t="s">
        <v>55</v>
      </c>
      <c r="B13" s="13" t="s">
        <v>56</v>
      </c>
      <c r="C13" s="46">
        <v>4851</v>
      </c>
      <c r="D13" s="86">
        <v>46041</v>
      </c>
      <c r="F13" s="86"/>
      <c r="H13" s="71"/>
      <c r="K13" s="46">
        <f t="shared" si="0"/>
        <v>4851</v>
      </c>
    </row>
    <row r="14" spans="1:11" ht="15" customHeight="1">
      <c r="A14" s="41" t="s">
        <v>58</v>
      </c>
      <c r="B14" s="13" t="s">
        <v>59</v>
      </c>
      <c r="C14" s="42"/>
      <c r="D14" s="86"/>
      <c r="E14" s="42"/>
      <c r="F14" s="86"/>
      <c r="G14" s="42"/>
      <c r="H14" s="71"/>
      <c r="K14" s="40">
        <f t="shared" si="0"/>
        <v>0</v>
      </c>
    </row>
    <row r="15" spans="1:11" ht="15" customHeight="1">
      <c r="A15" s="41" t="s">
        <v>61</v>
      </c>
      <c r="B15" s="13" t="s">
        <v>62</v>
      </c>
      <c r="C15" s="46">
        <v>5438</v>
      </c>
      <c r="D15" s="86">
        <v>46039</v>
      </c>
      <c r="F15" s="86"/>
      <c r="H15" s="72"/>
      <c r="K15" s="46">
        <f t="shared" si="0"/>
        <v>5438</v>
      </c>
    </row>
    <row r="16" spans="1:11" ht="15" customHeight="1">
      <c r="A16" s="41" t="s">
        <v>63</v>
      </c>
      <c r="B16" s="13" t="s">
        <v>64</v>
      </c>
      <c r="C16" s="42">
        <v>6020</v>
      </c>
      <c r="D16" s="86">
        <v>46053</v>
      </c>
      <c r="F16" s="86"/>
      <c r="H16" s="71"/>
      <c r="K16" s="40">
        <f t="shared" si="0"/>
        <v>6020</v>
      </c>
    </row>
    <row r="17" spans="1:11" ht="15" customHeight="1">
      <c r="A17" s="41" t="s">
        <v>65</v>
      </c>
      <c r="B17" s="13" t="s">
        <v>66</v>
      </c>
      <c r="C17" s="40">
        <v>6624.7</v>
      </c>
      <c r="D17" s="87">
        <v>46044</v>
      </c>
      <c r="F17" s="86"/>
      <c r="H17" s="72"/>
      <c r="K17" s="40">
        <f t="shared" si="0"/>
        <v>6624.7</v>
      </c>
    </row>
    <row r="18" spans="1:11" ht="15" customHeight="1">
      <c r="A18" s="41" t="s">
        <v>67</v>
      </c>
      <c r="B18" s="13" t="s">
        <v>68</v>
      </c>
      <c r="C18" s="46">
        <v>7235</v>
      </c>
      <c r="D18" s="87">
        <v>46033</v>
      </c>
      <c r="E18" s="46"/>
      <c r="F18" s="86"/>
      <c r="H18" s="72"/>
      <c r="K18" s="46">
        <f t="shared" si="0"/>
        <v>7235</v>
      </c>
    </row>
    <row r="19" spans="1:11" ht="15" customHeight="1">
      <c r="A19" s="41" t="s">
        <v>69</v>
      </c>
      <c r="B19" s="13" t="s">
        <v>70</v>
      </c>
      <c r="C19" s="73">
        <v>5627.68</v>
      </c>
      <c r="D19" s="86">
        <v>46050</v>
      </c>
      <c r="F19" s="86"/>
      <c r="H19" s="71"/>
      <c r="K19" s="46">
        <f t="shared" si="0"/>
        <v>5627.68</v>
      </c>
    </row>
    <row r="20" spans="1:11" ht="15" customHeight="1">
      <c r="A20" s="41" t="s">
        <v>71</v>
      </c>
      <c r="B20" s="13" t="s">
        <v>72</v>
      </c>
      <c r="C20" s="73">
        <v>5799</v>
      </c>
      <c r="D20" s="86">
        <v>46047</v>
      </c>
      <c r="F20" s="86"/>
      <c r="H20" s="71"/>
      <c r="K20" s="46">
        <f t="shared" si="0"/>
        <v>5799</v>
      </c>
    </row>
    <row r="21" spans="1:11" ht="15" customHeight="1">
      <c r="A21" s="41" t="s">
        <v>73</v>
      </c>
      <c r="B21" s="13" t="s">
        <v>74</v>
      </c>
      <c r="C21" s="73">
        <v>6500</v>
      </c>
      <c r="D21" s="86">
        <v>46053</v>
      </c>
      <c r="F21" s="86"/>
      <c r="H21" s="71"/>
      <c r="K21" s="46">
        <f t="shared" si="0"/>
        <v>6500</v>
      </c>
    </row>
    <row r="22" spans="1:11" ht="16">
      <c r="A22" s="41" t="s">
        <v>75</v>
      </c>
      <c r="B22" s="13" t="s">
        <v>76</v>
      </c>
      <c r="C22" s="46"/>
      <c r="D22" s="86"/>
      <c r="F22" s="86"/>
      <c r="H22" s="72"/>
      <c r="K22" s="46">
        <f t="shared" si="0"/>
        <v>0</v>
      </c>
    </row>
    <row r="23" spans="1:11" ht="16">
      <c r="A23" s="41" t="s">
        <v>77</v>
      </c>
      <c r="B23" s="13" t="s">
        <v>78</v>
      </c>
      <c r="C23" s="40">
        <v>5785</v>
      </c>
      <c r="D23" s="87">
        <v>46039</v>
      </c>
      <c r="F23" s="86"/>
      <c r="H23" s="72"/>
      <c r="K23" s="40">
        <f t="shared" si="0"/>
        <v>5785</v>
      </c>
    </row>
    <row r="24" spans="1:11" ht="16">
      <c r="A24" s="41" t="s">
        <v>79</v>
      </c>
      <c r="B24" s="13" t="s">
        <v>80</v>
      </c>
      <c r="C24" s="120">
        <v>6888</v>
      </c>
      <c r="D24" s="86">
        <v>46024</v>
      </c>
      <c r="F24" s="86"/>
      <c r="H24" s="71"/>
      <c r="K24" s="46">
        <f t="shared" si="0"/>
        <v>6888</v>
      </c>
    </row>
    <row r="25" spans="1:11" ht="16">
      <c r="A25" s="41" t="s">
        <v>81</v>
      </c>
      <c r="B25" s="13" t="s">
        <v>82</v>
      </c>
      <c r="C25" s="40">
        <v>20517</v>
      </c>
      <c r="D25" s="87">
        <v>46038</v>
      </c>
      <c r="F25" s="86"/>
      <c r="H25" s="72"/>
      <c r="K25" s="40">
        <f t="shared" si="0"/>
        <v>20517</v>
      </c>
    </row>
    <row r="26" spans="1:11" ht="16">
      <c r="A26" s="41" t="s">
        <v>83</v>
      </c>
      <c r="B26" s="13" t="s">
        <v>191</v>
      </c>
      <c r="C26" s="73">
        <v>7111</v>
      </c>
      <c r="D26" s="86">
        <v>46032</v>
      </c>
      <c r="F26" s="86"/>
      <c r="H26" s="71"/>
      <c r="K26" s="46">
        <f t="shared" si="0"/>
        <v>7111</v>
      </c>
    </row>
    <row r="27" spans="1:11" ht="16">
      <c r="A27" s="41" t="s">
        <v>85</v>
      </c>
      <c r="B27" s="13" t="s">
        <v>275</v>
      </c>
      <c r="C27" s="46">
        <v>5209.1099999999997</v>
      </c>
      <c r="D27" s="87">
        <v>46048</v>
      </c>
      <c r="F27" s="86"/>
      <c r="H27" s="72"/>
      <c r="K27" s="46">
        <f t="shared" si="0"/>
        <v>5209.1099999999997</v>
      </c>
    </row>
    <row r="28" spans="1:11" ht="16">
      <c r="A28" s="41" t="s">
        <v>87</v>
      </c>
      <c r="B28" s="13" t="s">
        <v>88</v>
      </c>
      <c r="C28" s="120"/>
      <c r="D28" s="86"/>
      <c r="F28" s="86"/>
      <c r="H28" s="71"/>
      <c r="K28" s="46">
        <f t="shared" si="0"/>
        <v>0</v>
      </c>
    </row>
    <row r="29" spans="1:11" ht="1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6">
      <c r="A30" s="41" t="s">
        <v>91</v>
      </c>
      <c r="B30" s="13" t="s">
        <v>92</v>
      </c>
      <c r="C30" s="40">
        <v>22000</v>
      </c>
      <c r="D30" s="87">
        <v>46044</v>
      </c>
      <c r="F30" s="86"/>
      <c r="H30" s="72"/>
      <c r="K30" s="40">
        <f t="shared" si="0"/>
        <v>22000</v>
      </c>
    </row>
    <row r="31" spans="1:11" ht="16">
      <c r="A31" s="41" t="s">
        <v>93</v>
      </c>
      <c r="B31" s="13" t="s">
        <v>94</v>
      </c>
      <c r="C31" s="121">
        <v>6004.73</v>
      </c>
      <c r="D31" s="86">
        <v>46040</v>
      </c>
      <c r="F31" s="86"/>
      <c r="H31" s="71"/>
      <c r="K31" s="40">
        <f t="shared" si="0"/>
        <v>6004.73</v>
      </c>
    </row>
    <row r="32" spans="1:11" ht="16">
      <c r="A32" s="41" t="s">
        <v>95</v>
      </c>
      <c r="B32" s="13" t="s">
        <v>96</v>
      </c>
      <c r="C32" s="73">
        <v>5582.17</v>
      </c>
      <c r="D32" s="86">
        <v>46040</v>
      </c>
      <c r="F32" s="86"/>
      <c r="H32" s="71"/>
      <c r="K32" s="46">
        <f t="shared" si="0"/>
        <v>5582.17</v>
      </c>
    </row>
    <row r="33" spans="1:11" ht="16">
      <c r="A33" s="41" t="s">
        <v>97</v>
      </c>
      <c r="B33" s="13" t="s">
        <v>98</v>
      </c>
      <c r="C33" s="42">
        <v>6837.73</v>
      </c>
      <c r="D33" s="86">
        <v>46024</v>
      </c>
      <c r="E33" s="40">
        <v>5281.93</v>
      </c>
      <c r="F33" s="86">
        <v>46050</v>
      </c>
      <c r="H33" s="71"/>
      <c r="K33" s="40">
        <f t="shared" si="0"/>
        <v>12119.66</v>
      </c>
    </row>
    <row r="34" spans="1:11" ht="16">
      <c r="A34" s="41" t="s">
        <v>99</v>
      </c>
      <c r="B34" s="13" t="s">
        <v>100</v>
      </c>
      <c r="C34" s="73">
        <v>5192.32</v>
      </c>
      <c r="D34" s="86">
        <v>46049</v>
      </c>
      <c r="F34" s="86"/>
      <c r="H34" s="71"/>
      <c r="K34" s="46">
        <f t="shared" si="0"/>
        <v>5192.32</v>
      </c>
    </row>
    <row r="35" spans="1:11" ht="16">
      <c r="A35" s="41" t="s">
        <v>101</v>
      </c>
      <c r="B35" s="13" t="s">
        <v>102</v>
      </c>
      <c r="C35" s="46">
        <v>6231</v>
      </c>
      <c r="D35" s="87">
        <v>46039</v>
      </c>
      <c r="F35" s="86"/>
      <c r="H35" s="72"/>
      <c r="K35" s="46">
        <f t="shared" si="0"/>
        <v>6231</v>
      </c>
    </row>
    <row r="36" spans="1:11" ht="16">
      <c r="A36" s="41" t="s">
        <v>103</v>
      </c>
      <c r="B36" s="13" t="s">
        <v>289</v>
      </c>
      <c r="C36" s="40">
        <v>5130</v>
      </c>
      <c r="D36" s="87">
        <v>46048</v>
      </c>
      <c r="F36" s="86"/>
      <c r="H36" s="72"/>
      <c r="K36" s="40">
        <f t="shared" si="0"/>
        <v>5130</v>
      </c>
    </row>
    <row r="37" spans="1:11" ht="16">
      <c r="A37" s="41" t="s">
        <v>105</v>
      </c>
      <c r="B37" s="13" t="s">
        <v>106</v>
      </c>
      <c r="C37" s="73"/>
      <c r="D37" s="86"/>
      <c r="F37" s="86"/>
      <c r="H37" s="71"/>
      <c r="K37" s="46">
        <f t="shared" si="0"/>
        <v>0</v>
      </c>
    </row>
    <row r="38" spans="1:11" ht="16">
      <c r="A38" s="41" t="s">
        <v>107</v>
      </c>
      <c r="B38" s="13" t="s">
        <v>108</v>
      </c>
      <c r="C38" s="42"/>
      <c r="D38" s="86"/>
      <c r="F38" s="86"/>
      <c r="H38" s="71"/>
      <c r="K38" s="40">
        <f t="shared" si="0"/>
        <v>0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4800.13</v>
      </c>
      <c r="D40" s="86">
        <v>46048</v>
      </c>
      <c r="F40" s="86"/>
      <c r="H40" s="71"/>
      <c r="K40" s="46">
        <f t="shared" si="0"/>
        <v>4800.13</v>
      </c>
    </row>
    <row r="41" spans="1:11" ht="16">
      <c r="A41" s="41" t="s">
        <v>113</v>
      </c>
      <c r="B41" s="13" t="s">
        <v>114</v>
      </c>
      <c r="C41" s="73">
        <v>6131.54</v>
      </c>
      <c r="D41" s="86">
        <v>46051</v>
      </c>
      <c r="F41" s="86"/>
      <c r="H41" s="71"/>
      <c r="K41" s="46">
        <f t="shared" si="0"/>
        <v>6131.54</v>
      </c>
    </row>
    <row r="42" spans="1:11" ht="16">
      <c r="A42" s="41" t="s">
        <v>115</v>
      </c>
      <c r="B42" s="13" t="s">
        <v>116</v>
      </c>
      <c r="C42" s="73">
        <v>5300</v>
      </c>
      <c r="D42" s="86">
        <v>46049</v>
      </c>
      <c r="F42" s="86"/>
      <c r="H42" s="71"/>
      <c r="K42" s="46">
        <f t="shared" si="0"/>
        <v>5300</v>
      </c>
    </row>
    <row r="43" spans="1:11" ht="16">
      <c r="A43" s="41" t="s">
        <v>117</v>
      </c>
      <c r="B43" s="13" t="s">
        <v>118</v>
      </c>
      <c r="C43" s="73"/>
      <c r="D43" s="86"/>
      <c r="F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121">
        <v>5501</v>
      </c>
      <c r="D44" s="86">
        <v>46049</v>
      </c>
      <c r="F44" s="86"/>
      <c r="H44" s="71"/>
      <c r="K44" s="40">
        <f t="shared" si="0"/>
        <v>5501</v>
      </c>
    </row>
    <row r="45" spans="1:11" ht="16">
      <c r="A45" s="41" t="s">
        <v>121</v>
      </c>
      <c r="B45" s="13" t="s">
        <v>122</v>
      </c>
      <c r="C45" s="73">
        <v>5897.24</v>
      </c>
      <c r="D45" s="86">
        <v>46052</v>
      </c>
      <c r="F45" s="86"/>
      <c r="H45" s="71"/>
      <c r="K45" s="46">
        <f t="shared" si="0"/>
        <v>5897.24</v>
      </c>
    </row>
    <row r="46" spans="1:11" ht="16">
      <c r="A46" s="41" t="s">
        <v>123</v>
      </c>
      <c r="B46" s="13" t="s">
        <v>124</v>
      </c>
      <c r="C46" s="42"/>
      <c r="D46" s="86"/>
      <c r="E46" s="42"/>
      <c r="F46" s="86"/>
      <c r="G46" s="42"/>
      <c r="H46" s="71"/>
      <c r="K46" s="40">
        <f t="shared" si="0"/>
        <v>0</v>
      </c>
    </row>
    <row r="47" spans="1:11" ht="16">
      <c r="A47" s="41" t="s">
        <v>125</v>
      </c>
      <c r="B47" s="13" t="s">
        <v>126</v>
      </c>
      <c r="C47" s="40">
        <v>23264</v>
      </c>
      <c r="D47" s="87">
        <v>46053</v>
      </c>
      <c r="F47" s="86"/>
      <c r="H47" s="72"/>
      <c r="K47" s="40">
        <f t="shared" si="0"/>
        <v>23264</v>
      </c>
    </row>
    <row r="48" spans="1:11" ht="16">
      <c r="A48" s="41" t="s">
        <v>127</v>
      </c>
      <c r="B48" s="13" t="s">
        <v>128</v>
      </c>
      <c r="C48" s="73">
        <v>6329</v>
      </c>
      <c r="D48" s="86">
        <v>46047</v>
      </c>
      <c r="F48" s="86"/>
      <c r="H48" s="71"/>
      <c r="K48" s="46">
        <f t="shared" si="0"/>
        <v>6329</v>
      </c>
    </row>
    <row r="49" spans="1:11" ht="16">
      <c r="A49" s="41" t="s">
        <v>129</v>
      </c>
      <c r="B49" s="13" t="s">
        <v>130</v>
      </c>
      <c r="C49" s="40">
        <v>5400</v>
      </c>
      <c r="D49" s="87">
        <v>46040</v>
      </c>
      <c r="F49" s="86"/>
      <c r="H49" s="72"/>
      <c r="K49" s="40">
        <f t="shared" si="0"/>
        <v>5400</v>
      </c>
    </row>
    <row r="50" spans="1:11" ht="16">
      <c r="A50" s="41" t="s">
        <v>131</v>
      </c>
      <c r="B50" s="13" t="s">
        <v>132</v>
      </c>
      <c r="C50" s="42">
        <v>6280</v>
      </c>
      <c r="D50" s="47">
        <v>46039</v>
      </c>
      <c r="F50" s="86"/>
      <c r="H50" s="71"/>
      <c r="K50" s="40">
        <f t="shared" si="0"/>
        <v>6280</v>
      </c>
    </row>
    <row r="51" spans="1:11" ht="16">
      <c r="A51" s="41" t="s">
        <v>133</v>
      </c>
      <c r="B51" s="13" t="s">
        <v>134</v>
      </c>
      <c r="C51" s="46"/>
      <c r="D51" s="87"/>
      <c r="F51" s="86"/>
      <c r="H51" s="72"/>
      <c r="K51" s="46">
        <f t="shared" si="0"/>
        <v>0</v>
      </c>
    </row>
    <row r="52" spans="1:11" ht="16">
      <c r="A52" s="41" t="s">
        <v>135</v>
      </c>
      <c r="B52" s="13" t="s">
        <v>136</v>
      </c>
      <c r="C52" s="73">
        <v>5317.69</v>
      </c>
      <c r="D52" s="86">
        <v>46040</v>
      </c>
      <c r="F52" s="86"/>
      <c r="H52" s="71"/>
      <c r="K52" s="46">
        <f t="shared" si="0"/>
        <v>5317.69</v>
      </c>
    </row>
    <row r="53" spans="1:11" ht="16">
      <c r="A53" s="41" t="s">
        <v>137</v>
      </c>
      <c r="B53" s="13" t="s">
        <v>138</v>
      </c>
      <c r="C53" s="73"/>
      <c r="D53" s="86"/>
      <c r="F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/>
      <c r="D54" s="86"/>
      <c r="F54" s="86"/>
      <c r="H54" s="71"/>
      <c r="K54" s="40">
        <f t="shared" si="0"/>
        <v>0</v>
      </c>
    </row>
    <row r="55" spans="1:11" ht="16">
      <c r="A55" s="41" t="s">
        <v>141</v>
      </c>
      <c r="B55" s="13" t="s">
        <v>142</v>
      </c>
      <c r="C55" s="46"/>
      <c r="D55" s="87"/>
      <c r="F55" s="86"/>
      <c r="H55" s="72"/>
      <c r="K55" s="46">
        <f t="shared" si="0"/>
        <v>0</v>
      </c>
    </row>
    <row r="56" spans="1:11" ht="16">
      <c r="A56" s="41" t="s">
        <v>143</v>
      </c>
      <c r="B56" s="13" t="s">
        <v>144</v>
      </c>
      <c r="C56" s="42">
        <v>4889.6000000000004</v>
      </c>
      <c r="D56" s="86">
        <v>46045</v>
      </c>
      <c r="F56" s="86"/>
      <c r="H56" s="71"/>
      <c r="K56" s="40">
        <f t="shared" si="0"/>
        <v>4889.6000000000004</v>
      </c>
    </row>
    <row r="57" spans="1:11" ht="16">
      <c r="A57" s="41" t="s">
        <v>145</v>
      </c>
      <c r="B57" s="13" t="s">
        <v>146</v>
      </c>
      <c r="C57" s="122">
        <v>4800.42</v>
      </c>
      <c r="D57" s="87">
        <v>46053</v>
      </c>
      <c r="F57" s="86"/>
      <c r="H57" s="72"/>
      <c r="K57" s="46">
        <f t="shared" si="0"/>
        <v>4800.42</v>
      </c>
    </row>
    <row r="58" spans="1:11" ht="16">
      <c r="A58" s="41" t="s">
        <v>147</v>
      </c>
      <c r="B58" s="13" t="s">
        <v>148</v>
      </c>
      <c r="C58" s="40">
        <v>5455.4</v>
      </c>
      <c r="D58" s="87">
        <v>46050</v>
      </c>
      <c r="F58" s="86"/>
      <c r="H58" s="72"/>
      <c r="K58" s="40">
        <f t="shared" si="0"/>
        <v>5455.4</v>
      </c>
    </row>
    <row r="59" spans="1:11" ht="1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">
      <c r="A60" s="41" t="s">
        <v>150</v>
      </c>
      <c r="B60" s="13" t="s">
        <v>151</v>
      </c>
      <c r="C60" s="73"/>
      <c r="D60" s="86"/>
      <c r="F60" s="86"/>
      <c r="H60" s="71"/>
      <c r="K60" s="46">
        <f t="shared" si="0"/>
        <v>0</v>
      </c>
    </row>
    <row r="61" spans="1:11" ht="16">
      <c r="A61" s="41" t="s">
        <v>152</v>
      </c>
      <c r="B61" s="13" t="s">
        <v>153</v>
      </c>
      <c r="C61" s="46"/>
      <c r="D61" s="86"/>
      <c r="E61" s="40">
        <v>4977.41</v>
      </c>
      <c r="F61" s="86">
        <v>46039</v>
      </c>
      <c r="H61" s="71"/>
      <c r="K61" s="46">
        <f>SUM(C61,E61,G61,I61)</f>
        <v>4977.41</v>
      </c>
    </row>
    <row r="62" spans="1:11" ht="16">
      <c r="A62" s="41" t="s">
        <v>154</v>
      </c>
      <c r="B62" s="13" t="s">
        <v>155</v>
      </c>
      <c r="C62" s="46">
        <v>12000</v>
      </c>
      <c r="D62" s="86">
        <v>46028</v>
      </c>
      <c r="F62" s="86"/>
      <c r="H62" s="71"/>
      <c r="K62" s="46">
        <f>SUM(C62,E62,G62,I62)</f>
        <v>12000</v>
      </c>
    </row>
    <row r="63" spans="1:11" ht="16">
      <c r="A63" s="41" t="s">
        <v>156</v>
      </c>
      <c r="B63" s="13" t="s">
        <v>157</v>
      </c>
      <c r="C63" s="46">
        <v>5556</v>
      </c>
      <c r="D63" s="87">
        <v>46029</v>
      </c>
      <c r="F63" s="86"/>
      <c r="H63" s="72"/>
      <c r="K63" s="46">
        <f t="shared" si="0"/>
        <v>5556</v>
      </c>
    </row>
    <row r="64" spans="1:11" ht="16">
      <c r="A64" s="41" t="s">
        <v>158</v>
      </c>
      <c r="B64" s="13" t="s">
        <v>159</v>
      </c>
      <c r="C64" s="120"/>
      <c r="D64" s="86"/>
      <c r="F64" s="86"/>
      <c r="H64" s="71"/>
      <c r="K64" s="46">
        <f t="shared" si="0"/>
        <v>0</v>
      </c>
    </row>
    <row r="65" spans="1:27" ht="16">
      <c r="A65" s="41" t="s">
        <v>160</v>
      </c>
      <c r="B65" s="13" t="s">
        <v>161</v>
      </c>
      <c r="C65" s="42">
        <v>5460</v>
      </c>
      <c r="D65" s="86">
        <v>46044</v>
      </c>
      <c r="F65" s="86"/>
      <c r="H65" s="71"/>
      <c r="K65" s="40">
        <f t="shared" si="0"/>
        <v>5460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362273.94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2">
        <v>5108</v>
      </c>
      <c r="D2" s="86">
        <v>46078</v>
      </c>
      <c r="H2" s="71"/>
      <c r="K2" s="40">
        <f t="shared" ref="K2:K65" si="0">SUM(C2,E2,G2,I2)</f>
        <v>5108</v>
      </c>
    </row>
    <row r="3" spans="1:11" ht="15" customHeight="1">
      <c r="A3" s="41" t="s">
        <v>26</v>
      </c>
      <c r="B3" s="13" t="s">
        <v>27</v>
      </c>
      <c r="D3" s="87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0">
        <v>6000</v>
      </c>
      <c r="D4" s="86">
        <v>46054</v>
      </c>
      <c r="H4" s="71"/>
      <c r="K4" s="40">
        <f t="shared" si="0"/>
        <v>6000</v>
      </c>
    </row>
    <row r="5" spans="1:11" ht="15" customHeight="1">
      <c r="A5" s="41" t="s">
        <v>32</v>
      </c>
      <c r="B5" s="13" t="s">
        <v>33</v>
      </c>
      <c r="C5" s="46">
        <v>5176</v>
      </c>
      <c r="D5" s="87">
        <v>46068</v>
      </c>
      <c r="H5" s="72"/>
      <c r="K5" s="46">
        <f t="shared" si="0"/>
        <v>5176</v>
      </c>
    </row>
    <row r="6" spans="1:11" ht="15" customHeight="1">
      <c r="A6" s="41" t="s">
        <v>35</v>
      </c>
      <c r="B6" s="13" t="s">
        <v>36</v>
      </c>
      <c r="C6" s="42">
        <v>5161</v>
      </c>
      <c r="D6" s="86">
        <v>46068</v>
      </c>
      <c r="H6" s="71"/>
      <c r="K6" s="40">
        <f t="shared" si="0"/>
        <v>5161</v>
      </c>
    </row>
    <row r="7" spans="1:11" ht="15" customHeight="1">
      <c r="A7" s="41" t="s">
        <v>37</v>
      </c>
      <c r="B7" s="13" t="s">
        <v>38</v>
      </c>
      <c r="C7" s="40">
        <v>5101</v>
      </c>
      <c r="D7" s="87">
        <v>46080</v>
      </c>
      <c r="H7" s="72"/>
      <c r="K7" s="40">
        <f t="shared" si="0"/>
        <v>5101</v>
      </c>
    </row>
    <row r="8" spans="1:11" ht="15" customHeight="1">
      <c r="A8" s="41" t="s">
        <v>40</v>
      </c>
      <c r="B8" s="13" t="s">
        <v>41</v>
      </c>
      <c r="D8" s="86"/>
      <c r="H8" s="71"/>
      <c r="K8" s="40">
        <f t="shared" si="0"/>
        <v>0</v>
      </c>
    </row>
    <row r="9" spans="1:11" ht="15" customHeight="1">
      <c r="A9" s="41" t="s">
        <v>43</v>
      </c>
      <c r="B9" s="13" t="s">
        <v>44</v>
      </c>
      <c r="C9" s="120">
        <v>6153</v>
      </c>
      <c r="D9" s="86">
        <v>46069</v>
      </c>
      <c r="H9" s="71"/>
      <c r="K9" s="46">
        <f t="shared" si="0"/>
        <v>6153</v>
      </c>
    </row>
    <row r="10" spans="1:11" ht="15" customHeight="1">
      <c r="A10" s="41" t="s">
        <v>46</v>
      </c>
      <c r="B10" s="13" t="s">
        <v>47</v>
      </c>
      <c r="C10" s="120">
        <v>5041</v>
      </c>
      <c r="D10" s="87">
        <v>46080</v>
      </c>
      <c r="F10" s="86"/>
      <c r="H10" s="71"/>
      <c r="K10" s="46">
        <f t="shared" si="0"/>
        <v>5041</v>
      </c>
    </row>
    <row r="11" spans="1:11" ht="15" customHeight="1">
      <c r="A11" s="41" t="s">
        <v>49</v>
      </c>
      <c r="B11" s="13" t="s">
        <v>50</v>
      </c>
      <c r="H11" s="72"/>
      <c r="K11" s="40">
        <f t="shared" si="0"/>
        <v>0</v>
      </c>
    </row>
    <row r="12" spans="1:11" ht="15" customHeight="1">
      <c r="A12" s="41" t="s">
        <v>52</v>
      </c>
      <c r="B12" s="13" t="s">
        <v>166</v>
      </c>
      <c r="C12" s="73">
        <v>4778</v>
      </c>
      <c r="D12" s="86">
        <v>46069</v>
      </c>
      <c r="H12" s="71"/>
      <c r="K12" s="46">
        <f t="shared" si="0"/>
        <v>4778</v>
      </c>
    </row>
    <row r="13" spans="1:11" ht="15" customHeight="1">
      <c r="A13" s="41" t="s">
        <v>55</v>
      </c>
      <c r="B13" s="13" t="s">
        <v>56</v>
      </c>
      <c r="C13" s="46">
        <v>463</v>
      </c>
      <c r="D13" s="86">
        <v>46061</v>
      </c>
      <c r="E13" s="40">
        <v>4752</v>
      </c>
      <c r="F13" s="45">
        <v>45703</v>
      </c>
      <c r="H13" s="71"/>
      <c r="K13" s="46">
        <f t="shared" si="0"/>
        <v>5215</v>
      </c>
    </row>
    <row r="14" spans="1:11" ht="15" customHeight="1">
      <c r="A14" s="41" t="s">
        <v>58</v>
      </c>
      <c r="B14" s="13" t="s">
        <v>59</v>
      </c>
      <c r="C14" s="42">
        <v>5123.2</v>
      </c>
      <c r="D14" s="86">
        <v>46057</v>
      </c>
      <c r="F14" s="45"/>
      <c r="G14" s="42"/>
      <c r="H14" s="71"/>
      <c r="K14" s="40">
        <f t="shared" si="0"/>
        <v>5123.2</v>
      </c>
    </row>
    <row r="15" spans="1:11" ht="15" customHeight="1">
      <c r="A15" s="41" t="s">
        <v>61</v>
      </c>
      <c r="B15" s="13" t="s">
        <v>62</v>
      </c>
      <c r="C15" s="46">
        <v>5478</v>
      </c>
      <c r="D15" s="86">
        <v>46074</v>
      </c>
      <c r="H15" s="72"/>
      <c r="K15" s="46">
        <f t="shared" si="0"/>
        <v>5478</v>
      </c>
    </row>
    <row r="16" spans="1:11" ht="15" customHeight="1">
      <c r="A16" s="41" t="s">
        <v>63</v>
      </c>
      <c r="B16" s="13" t="s">
        <v>64</v>
      </c>
      <c r="C16" s="40">
        <v>5912</v>
      </c>
      <c r="D16" s="45">
        <v>46081</v>
      </c>
      <c r="H16" s="71"/>
      <c r="K16" s="40">
        <f t="shared" si="0"/>
        <v>5912</v>
      </c>
    </row>
    <row r="17" spans="1:11" ht="15" customHeight="1">
      <c r="A17" s="41" t="s">
        <v>65</v>
      </c>
      <c r="B17" s="13" t="s">
        <v>66</v>
      </c>
      <c r="D17" s="87"/>
      <c r="H17" s="72"/>
      <c r="K17" s="40">
        <f t="shared" si="0"/>
        <v>0</v>
      </c>
    </row>
    <row r="18" spans="1:11" ht="15" customHeight="1">
      <c r="A18" s="41" t="s">
        <v>67</v>
      </c>
      <c r="B18" s="13" t="s">
        <v>68</v>
      </c>
      <c r="C18" s="40">
        <v>5541</v>
      </c>
      <c r="D18" s="45">
        <v>46060</v>
      </c>
      <c r="H18" s="72"/>
      <c r="K18" s="40">
        <f t="shared" si="0"/>
        <v>5541</v>
      </c>
    </row>
    <row r="19" spans="1:11" ht="15" customHeight="1">
      <c r="A19" s="41" t="s">
        <v>69</v>
      </c>
      <c r="B19" s="13" t="s">
        <v>70</v>
      </c>
      <c r="C19" s="73">
        <v>5817</v>
      </c>
      <c r="D19" s="86">
        <v>46078</v>
      </c>
      <c r="H19" s="71"/>
      <c r="K19" s="46">
        <f t="shared" si="0"/>
        <v>5817</v>
      </c>
    </row>
    <row r="20" spans="1:11" ht="15" customHeight="1">
      <c r="A20" s="41" t="s">
        <v>71</v>
      </c>
      <c r="B20" s="13" t="s">
        <v>72</v>
      </c>
      <c r="C20" s="73">
        <v>5787</v>
      </c>
      <c r="D20" s="86">
        <v>46079</v>
      </c>
      <c r="H20" s="71"/>
      <c r="K20" s="46">
        <f t="shared" si="0"/>
        <v>5787</v>
      </c>
    </row>
    <row r="21" spans="1:11" ht="15" customHeight="1">
      <c r="A21" s="41" t="s">
        <v>73</v>
      </c>
      <c r="B21" s="13" t="s">
        <v>74</v>
      </c>
      <c r="C21" s="73">
        <v>6288</v>
      </c>
      <c r="D21" s="86">
        <v>46071</v>
      </c>
      <c r="F21" s="45"/>
      <c r="H21" s="71"/>
      <c r="K21" s="46">
        <f t="shared" si="0"/>
        <v>6288</v>
      </c>
    </row>
    <row r="22" spans="1:11" ht="16">
      <c r="A22" s="41" t="s">
        <v>75</v>
      </c>
      <c r="B22" s="13" t="s">
        <v>290</v>
      </c>
      <c r="C22" s="46">
        <v>27000</v>
      </c>
      <c r="D22" s="86">
        <v>46074</v>
      </c>
      <c r="H22" s="72"/>
      <c r="K22" s="46">
        <f t="shared" si="0"/>
        <v>27000</v>
      </c>
    </row>
    <row r="23" spans="1:11" ht="16">
      <c r="A23" s="41" t="s">
        <v>77</v>
      </c>
      <c r="B23" s="13" t="s">
        <v>78</v>
      </c>
      <c r="D23" s="87"/>
      <c r="H23" s="72"/>
      <c r="K23" s="40">
        <f t="shared" si="0"/>
        <v>0</v>
      </c>
    </row>
    <row r="24" spans="1:11" ht="16">
      <c r="A24" s="41" t="s">
        <v>79</v>
      </c>
      <c r="B24" s="13" t="s">
        <v>80</v>
      </c>
      <c r="C24" s="120">
        <v>5350</v>
      </c>
      <c r="D24" s="86">
        <v>46056</v>
      </c>
      <c r="H24" s="71"/>
      <c r="K24" s="46">
        <f t="shared" si="0"/>
        <v>5350</v>
      </c>
    </row>
    <row r="25" spans="1:11" ht="16">
      <c r="A25" s="41" t="s">
        <v>81</v>
      </c>
      <c r="B25" s="13" t="s">
        <v>82</v>
      </c>
      <c r="C25" s="40">
        <v>5198</v>
      </c>
      <c r="D25" s="87">
        <v>46072</v>
      </c>
      <c r="H25" s="72"/>
      <c r="K25" s="40">
        <f t="shared" si="0"/>
        <v>5198</v>
      </c>
    </row>
    <row r="26" spans="1:11" ht="16">
      <c r="A26" s="41" t="s">
        <v>83</v>
      </c>
      <c r="B26" s="13" t="s">
        <v>84</v>
      </c>
      <c r="C26" s="73">
        <v>5686</v>
      </c>
      <c r="D26" s="86">
        <v>46054</v>
      </c>
      <c r="H26" s="71"/>
      <c r="K26" s="46">
        <f t="shared" si="0"/>
        <v>5686</v>
      </c>
    </row>
    <row r="27" spans="1:11" ht="16">
      <c r="A27" s="41" t="s">
        <v>85</v>
      </c>
      <c r="B27" s="13" t="s">
        <v>275</v>
      </c>
      <c r="C27" s="46">
        <v>5380</v>
      </c>
      <c r="D27" s="87">
        <v>46070</v>
      </c>
      <c r="H27" s="72"/>
      <c r="K27" s="46">
        <f t="shared" si="0"/>
        <v>5380</v>
      </c>
    </row>
    <row r="28" spans="1:11" ht="16">
      <c r="A28" s="41" t="s">
        <v>87</v>
      </c>
      <c r="B28" s="13" t="s">
        <v>88</v>
      </c>
      <c r="C28" s="120"/>
      <c r="D28" s="86"/>
      <c r="H28" s="71"/>
      <c r="K28" s="46">
        <f t="shared" si="0"/>
        <v>0</v>
      </c>
    </row>
    <row r="29" spans="1:11" ht="16">
      <c r="A29" s="41" t="s">
        <v>89</v>
      </c>
      <c r="B29" s="13" t="s">
        <v>90</v>
      </c>
      <c r="H29" s="71"/>
      <c r="K29" s="40">
        <f t="shared" si="0"/>
        <v>0</v>
      </c>
    </row>
    <row r="30" spans="1:11" ht="16">
      <c r="A30" s="41" t="s">
        <v>91</v>
      </c>
      <c r="B30" s="13" t="s">
        <v>92</v>
      </c>
      <c r="D30" s="87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121">
        <v>5591</v>
      </c>
      <c r="D31" s="86">
        <v>46071</v>
      </c>
      <c r="H31" s="71"/>
      <c r="K31" s="40">
        <f t="shared" si="0"/>
        <v>5591</v>
      </c>
    </row>
    <row r="32" spans="1:11" ht="16">
      <c r="A32" s="41" t="s">
        <v>95</v>
      </c>
      <c r="B32" s="13" t="s">
        <v>96</v>
      </c>
      <c r="C32" s="73">
        <v>5281</v>
      </c>
      <c r="D32" s="86">
        <v>46071</v>
      </c>
      <c r="H32" s="71"/>
      <c r="K32" s="46">
        <f t="shared" si="0"/>
        <v>5281</v>
      </c>
    </row>
    <row r="33" spans="1:11" ht="16">
      <c r="A33" s="41" t="s">
        <v>97</v>
      </c>
      <c r="B33" s="13" t="s">
        <v>98</v>
      </c>
      <c r="C33" s="42">
        <v>5143</v>
      </c>
      <c r="D33" s="86">
        <v>46081</v>
      </c>
      <c r="H33" s="71"/>
      <c r="K33" s="40">
        <f t="shared" si="0"/>
        <v>5143</v>
      </c>
    </row>
    <row r="34" spans="1:11" ht="16">
      <c r="A34" s="41" t="s">
        <v>99</v>
      </c>
      <c r="B34" s="13" t="s">
        <v>100</v>
      </c>
      <c r="C34" s="73">
        <v>4894</v>
      </c>
      <c r="D34" s="86">
        <v>46075</v>
      </c>
      <c r="H34" s="71"/>
      <c r="K34" s="46">
        <f t="shared" si="0"/>
        <v>4894</v>
      </c>
    </row>
    <row r="35" spans="1:11" ht="16">
      <c r="A35" s="41" t="s">
        <v>101</v>
      </c>
      <c r="B35" s="13" t="s">
        <v>102</v>
      </c>
      <c r="C35" s="40">
        <v>5809.25</v>
      </c>
      <c r="D35" s="45">
        <v>46054</v>
      </c>
      <c r="H35" s="72"/>
      <c r="K35" s="40">
        <f t="shared" si="0"/>
        <v>5809.25</v>
      </c>
    </row>
    <row r="36" spans="1:11" ht="16">
      <c r="A36" s="41" t="s">
        <v>103</v>
      </c>
      <c r="B36" s="13" t="s">
        <v>291</v>
      </c>
      <c r="C36" s="40">
        <v>5298</v>
      </c>
      <c r="D36" s="87">
        <v>46081</v>
      </c>
      <c r="H36" s="72"/>
      <c r="K36" s="40">
        <f t="shared" si="0"/>
        <v>5298</v>
      </c>
    </row>
    <row r="37" spans="1:11" ht="16">
      <c r="A37" s="41" t="s">
        <v>105</v>
      </c>
      <c r="B37" s="13" t="s">
        <v>106</v>
      </c>
      <c r="C37" s="73"/>
      <c r="D37" s="86"/>
      <c r="H37" s="71"/>
      <c r="K37" s="46">
        <f t="shared" si="0"/>
        <v>0</v>
      </c>
    </row>
    <row r="38" spans="1:11" ht="16">
      <c r="A38" s="41" t="s">
        <v>107</v>
      </c>
      <c r="B38" s="13" t="s">
        <v>108</v>
      </c>
      <c r="C38" s="42">
        <v>4892</v>
      </c>
      <c r="D38" s="86">
        <v>46074</v>
      </c>
      <c r="H38" s="71"/>
      <c r="K38" s="40">
        <f t="shared" si="0"/>
        <v>4892</v>
      </c>
    </row>
    <row r="39" spans="1:11" ht="16">
      <c r="A39" s="41" t="s">
        <v>109</v>
      </c>
      <c r="B39" s="30" t="s">
        <v>110</v>
      </c>
      <c r="D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73">
        <v>5272</v>
      </c>
      <c r="D40" s="86">
        <v>46080</v>
      </c>
      <c r="H40" s="71"/>
      <c r="K40" s="46">
        <f t="shared" si="0"/>
        <v>5272</v>
      </c>
    </row>
    <row r="41" spans="1:11" ht="16">
      <c r="A41" s="41" t="s">
        <v>113</v>
      </c>
      <c r="B41" s="13" t="s">
        <v>114</v>
      </c>
      <c r="C41" s="73"/>
      <c r="D41" s="86"/>
      <c r="F41" s="45"/>
      <c r="H41" s="71"/>
      <c r="K41" s="46">
        <f t="shared" si="0"/>
        <v>0</v>
      </c>
    </row>
    <row r="42" spans="1:11" ht="16">
      <c r="A42" s="41" t="s">
        <v>115</v>
      </c>
      <c r="B42" s="13" t="s">
        <v>116</v>
      </c>
      <c r="C42" s="73">
        <v>5520</v>
      </c>
      <c r="D42" s="86">
        <v>46078</v>
      </c>
      <c r="F42" s="86"/>
      <c r="H42" s="71"/>
      <c r="K42" s="46">
        <f t="shared" si="0"/>
        <v>5520</v>
      </c>
    </row>
    <row r="43" spans="1:11" ht="16">
      <c r="A43" s="41" t="s">
        <v>117</v>
      </c>
      <c r="B43" s="13" t="s">
        <v>118</v>
      </c>
      <c r="C43" s="73"/>
      <c r="D43" s="86"/>
      <c r="H43" s="71"/>
      <c r="K43" s="46">
        <f t="shared" si="0"/>
        <v>0</v>
      </c>
    </row>
    <row r="44" spans="1:11" ht="16">
      <c r="A44" s="41" t="s">
        <v>119</v>
      </c>
      <c r="B44" s="13" t="s">
        <v>120</v>
      </c>
      <c r="C44" s="121">
        <v>5070</v>
      </c>
      <c r="D44" s="86">
        <v>46081</v>
      </c>
      <c r="H44" s="71"/>
      <c r="K44" s="40">
        <f t="shared" si="0"/>
        <v>5070</v>
      </c>
    </row>
    <row r="45" spans="1:11" ht="16">
      <c r="A45" s="41" t="s">
        <v>121</v>
      </c>
      <c r="B45" s="13" t="s">
        <v>122</v>
      </c>
      <c r="C45" s="73"/>
      <c r="D45" s="86"/>
      <c r="H45" s="71"/>
      <c r="K45" s="46">
        <f t="shared" si="0"/>
        <v>0</v>
      </c>
    </row>
    <row r="46" spans="1:11" ht="16">
      <c r="A46" s="41" t="s">
        <v>123</v>
      </c>
      <c r="B46" s="13" t="s">
        <v>124</v>
      </c>
      <c r="C46" s="42">
        <v>5025.21</v>
      </c>
      <c r="D46" s="86">
        <v>46057</v>
      </c>
      <c r="F46" s="45"/>
      <c r="G46" s="42"/>
      <c r="H46" s="71"/>
      <c r="K46" s="40">
        <f t="shared" si="0"/>
        <v>5025.21</v>
      </c>
    </row>
    <row r="47" spans="1:11" ht="16">
      <c r="A47" s="41" t="s">
        <v>125</v>
      </c>
      <c r="B47" s="13" t="s">
        <v>126</v>
      </c>
      <c r="D47" s="87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H48" s="71"/>
      <c r="K48" s="40">
        <f t="shared" si="0"/>
        <v>0</v>
      </c>
    </row>
    <row r="49" spans="1:11" ht="16">
      <c r="A49" s="41" t="s">
        <v>129</v>
      </c>
      <c r="B49" s="13" t="s">
        <v>130</v>
      </c>
      <c r="C49" s="40">
        <v>5100</v>
      </c>
      <c r="D49" s="87">
        <v>46072</v>
      </c>
      <c r="H49" s="72"/>
      <c r="K49" s="40">
        <f t="shared" si="0"/>
        <v>5100</v>
      </c>
    </row>
    <row r="50" spans="1:11" ht="16">
      <c r="A50" s="41" t="s">
        <v>131</v>
      </c>
      <c r="B50" s="13" t="s">
        <v>132</v>
      </c>
      <c r="C50" s="42">
        <v>6050</v>
      </c>
      <c r="D50" s="47">
        <v>46074</v>
      </c>
      <c r="H50" s="71"/>
      <c r="K50" s="40">
        <f t="shared" si="0"/>
        <v>6050</v>
      </c>
    </row>
    <row r="51" spans="1:11" ht="16">
      <c r="A51" s="41" t="s">
        <v>133</v>
      </c>
      <c r="B51" s="13" t="s">
        <v>134</v>
      </c>
      <c r="C51" s="46"/>
      <c r="D51" s="87"/>
      <c r="H51" s="72"/>
      <c r="K51" s="46">
        <f t="shared" si="0"/>
        <v>0</v>
      </c>
    </row>
    <row r="52" spans="1:11" ht="16">
      <c r="A52" s="41" t="s">
        <v>135</v>
      </c>
      <c r="B52" s="13" t="s">
        <v>136</v>
      </c>
      <c r="C52" s="73">
        <v>5427</v>
      </c>
      <c r="D52" s="86">
        <v>46068</v>
      </c>
      <c r="H52" s="71"/>
      <c r="K52" s="46">
        <f t="shared" si="0"/>
        <v>5427</v>
      </c>
    </row>
    <row r="53" spans="1:11" ht="16">
      <c r="A53" s="41" t="s">
        <v>137</v>
      </c>
      <c r="B53" s="13" t="s">
        <v>138</v>
      </c>
      <c r="C53" s="73"/>
      <c r="D53" s="86"/>
      <c r="H53" s="71"/>
      <c r="K53" s="46">
        <f t="shared" si="0"/>
        <v>0</v>
      </c>
    </row>
    <row r="54" spans="1:11" ht="16">
      <c r="A54" s="41" t="s">
        <v>139</v>
      </c>
      <c r="B54" s="13" t="s">
        <v>140</v>
      </c>
      <c r="C54" s="42">
        <v>4920</v>
      </c>
      <c r="D54" s="86">
        <v>46055</v>
      </c>
      <c r="H54" s="71"/>
      <c r="K54" s="40">
        <f t="shared" si="0"/>
        <v>4920</v>
      </c>
    </row>
    <row r="55" spans="1:11" ht="16">
      <c r="A55" s="41" t="s">
        <v>141</v>
      </c>
      <c r="B55" s="13" t="s">
        <v>142</v>
      </c>
      <c r="C55" s="46"/>
      <c r="D55" s="87"/>
      <c r="H55" s="72"/>
      <c r="K55" s="46">
        <f t="shared" si="0"/>
        <v>0</v>
      </c>
    </row>
    <row r="56" spans="1:11" ht="16">
      <c r="A56" s="41" t="s">
        <v>143</v>
      </c>
      <c r="B56" s="13" t="s">
        <v>144</v>
      </c>
      <c r="C56" s="42">
        <v>5312</v>
      </c>
      <c r="D56" s="86">
        <v>46075</v>
      </c>
      <c r="H56" s="71"/>
      <c r="K56" s="40">
        <f t="shared" si="0"/>
        <v>5312</v>
      </c>
    </row>
    <row r="57" spans="1:11" ht="16">
      <c r="A57" s="41" t="s">
        <v>145</v>
      </c>
      <c r="B57" s="13" t="s">
        <v>146</v>
      </c>
      <c r="C57" s="122"/>
      <c r="D57" s="87"/>
      <c r="H57" s="72"/>
      <c r="K57" s="46">
        <f t="shared" si="0"/>
        <v>0</v>
      </c>
    </row>
    <row r="58" spans="1:11" ht="16">
      <c r="A58" s="41" t="s">
        <v>147</v>
      </c>
      <c r="B58" s="13" t="s">
        <v>148</v>
      </c>
      <c r="C58" s="40">
        <v>5508</v>
      </c>
      <c r="D58" s="87">
        <v>46074</v>
      </c>
      <c r="H58" s="72"/>
      <c r="K58" s="40">
        <f t="shared" si="0"/>
        <v>5508</v>
      </c>
    </row>
    <row r="59" spans="1:11" ht="16">
      <c r="A59" s="41" t="s">
        <v>149</v>
      </c>
      <c r="B59" s="13" t="s">
        <v>36</v>
      </c>
      <c r="C59" s="120"/>
      <c r="D59" s="86"/>
      <c r="F59" s="86"/>
      <c r="H59" s="71"/>
      <c r="K59" s="46">
        <f t="shared" si="0"/>
        <v>0</v>
      </c>
    </row>
    <row r="60" spans="1:11" ht="16">
      <c r="A60" s="41" t="s">
        <v>150</v>
      </c>
      <c r="B60" s="13" t="s">
        <v>151</v>
      </c>
      <c r="C60" s="73"/>
      <c r="D60" s="86"/>
      <c r="H60" s="71"/>
      <c r="K60" s="46">
        <f t="shared" si="0"/>
        <v>0</v>
      </c>
    </row>
    <row r="61" spans="1:11" ht="16">
      <c r="A61" s="41" t="s">
        <v>152</v>
      </c>
      <c r="B61" s="13" t="s">
        <v>153</v>
      </c>
      <c r="C61" s="46">
        <v>4982</v>
      </c>
      <c r="D61" s="86">
        <v>46069</v>
      </c>
      <c r="H61" s="71"/>
      <c r="K61" s="46">
        <f t="shared" si="0"/>
        <v>4982</v>
      </c>
    </row>
    <row r="62" spans="1:11" ht="16">
      <c r="A62" s="41" t="s">
        <v>154</v>
      </c>
      <c r="B62" s="13" t="s">
        <v>292</v>
      </c>
      <c r="C62" s="40">
        <v>12000</v>
      </c>
      <c r="D62" s="45">
        <v>46055</v>
      </c>
      <c r="H62" s="71"/>
      <c r="K62" s="40">
        <f t="shared" si="0"/>
        <v>12000</v>
      </c>
    </row>
    <row r="63" spans="1:11" ht="16">
      <c r="A63" s="41" t="s">
        <v>156</v>
      </c>
      <c r="B63" s="13" t="s">
        <v>157</v>
      </c>
      <c r="C63" s="46">
        <v>1489</v>
      </c>
      <c r="D63" s="87">
        <v>46055</v>
      </c>
      <c r="H63" s="72"/>
      <c r="K63" s="46">
        <f t="shared" si="0"/>
        <v>1489</v>
      </c>
    </row>
    <row r="64" spans="1:11" ht="16">
      <c r="A64" s="41" t="s">
        <v>158</v>
      </c>
      <c r="B64" s="13" t="s">
        <v>159</v>
      </c>
      <c r="C64" s="120">
        <v>5781</v>
      </c>
      <c r="D64" s="86">
        <v>46055</v>
      </c>
      <c r="H64" s="71"/>
      <c r="K64" s="46">
        <f t="shared" si="0"/>
        <v>5781</v>
      </c>
    </row>
    <row r="65" spans="1:27" ht="16">
      <c r="A65" s="41" t="s">
        <v>160</v>
      </c>
      <c r="B65" s="13" t="s">
        <v>161</v>
      </c>
      <c r="C65" s="42">
        <v>5387</v>
      </c>
      <c r="D65" s="86">
        <v>46068</v>
      </c>
      <c r="H65" s="71"/>
      <c r="K65" s="40">
        <f t="shared" si="0"/>
        <v>5387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256044.66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9" width="19.1640625" customWidth="1"/>
    <col min="10" max="10" width="27.1640625" customWidth="1"/>
    <col min="11" max="18" width="19.1640625" customWidth="1"/>
    <col min="19" max="19" width="32.33203125" customWidth="1"/>
    <col min="20" max="20" width="12" customWidth="1"/>
  </cols>
  <sheetData>
    <row r="1" spans="1:20" ht="16.5" customHeight="1">
      <c r="A1" s="123"/>
      <c r="B1" s="252" t="s">
        <v>293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</row>
    <row r="2" spans="1:20" ht="58.5" customHeight="1">
      <c r="A2" s="104" t="s">
        <v>1</v>
      </c>
      <c r="B2" s="118">
        <v>1</v>
      </c>
      <c r="C2" s="105" t="s">
        <v>2</v>
      </c>
      <c r="D2" s="105" t="s">
        <v>168</v>
      </c>
      <c r="E2" s="105" t="s">
        <v>169</v>
      </c>
      <c r="F2" s="105" t="s">
        <v>170</v>
      </c>
      <c r="G2" s="105" t="s">
        <v>6</v>
      </c>
      <c r="H2" s="105" t="s">
        <v>7</v>
      </c>
      <c r="I2" s="105" t="s">
        <v>171</v>
      </c>
      <c r="J2" s="105" t="s">
        <v>258</v>
      </c>
      <c r="K2" s="105" t="s">
        <v>173</v>
      </c>
      <c r="L2" s="105" t="s">
        <v>174</v>
      </c>
      <c r="M2" s="105" t="s">
        <v>188</v>
      </c>
      <c r="N2" s="105" t="s">
        <v>176</v>
      </c>
      <c r="O2" s="105" t="s">
        <v>177</v>
      </c>
      <c r="P2" s="106"/>
      <c r="Q2" s="106"/>
      <c r="R2" s="106" t="s">
        <v>179</v>
      </c>
      <c r="S2" s="107"/>
      <c r="T2" s="107"/>
    </row>
    <row r="3" spans="1:20" ht="12.75" customHeight="1">
      <c r="A3" s="104" t="s">
        <v>18</v>
      </c>
      <c r="B3" s="108" t="s">
        <v>19</v>
      </c>
      <c r="C3" s="104">
        <v>0</v>
      </c>
      <c r="D3" s="104">
        <v>0</v>
      </c>
      <c r="E3" s="104"/>
      <c r="F3" s="104"/>
      <c r="G3" s="104"/>
      <c r="H3" s="104">
        <v>1</v>
      </c>
      <c r="I3" s="104">
        <f>T7</f>
        <v>117.81</v>
      </c>
      <c r="J3" s="104"/>
      <c r="K3" s="104"/>
      <c r="L3" s="109"/>
      <c r="M3" s="104"/>
      <c r="N3" s="104"/>
      <c r="O3" s="104"/>
      <c r="P3" s="109"/>
      <c r="Q3" s="109"/>
      <c r="R3" s="109"/>
      <c r="S3" s="107"/>
      <c r="T3" s="110"/>
    </row>
    <row r="4" spans="1:20" ht="12.75" customHeight="1">
      <c r="A4" s="104" t="s">
        <v>20</v>
      </c>
      <c r="B4" s="108" t="s">
        <v>19</v>
      </c>
      <c r="C4" s="104">
        <v>0</v>
      </c>
      <c r="D4" s="104">
        <v>0</v>
      </c>
      <c r="E4" s="104"/>
      <c r="F4" s="104"/>
      <c r="G4" s="104"/>
      <c r="H4" s="104">
        <v>1</v>
      </c>
      <c r="I4" s="104">
        <f>T7</f>
        <v>117.81</v>
      </c>
      <c r="J4" s="104"/>
      <c r="K4" s="104"/>
      <c r="L4" s="109"/>
      <c r="M4" s="104"/>
      <c r="N4" s="104"/>
      <c r="O4" s="104"/>
      <c r="P4" s="109"/>
      <c r="Q4" s="109"/>
      <c r="R4" s="109"/>
      <c r="S4" s="111" t="s">
        <v>21</v>
      </c>
      <c r="T4" s="112">
        <f>'ANNUAL-EXPENSE-DETAILS'!BF13</f>
        <v>261700</v>
      </c>
    </row>
    <row r="5" spans="1:20" ht="12.75" customHeight="1">
      <c r="A5" s="104" t="s">
        <v>22</v>
      </c>
      <c r="B5" s="108" t="s">
        <v>19</v>
      </c>
      <c r="C5" s="104">
        <v>0</v>
      </c>
      <c r="D5" s="104">
        <v>0</v>
      </c>
      <c r="E5" s="104"/>
      <c r="F5" s="104"/>
      <c r="G5" s="104"/>
      <c r="H5" s="104">
        <v>1</v>
      </c>
      <c r="I5" s="104">
        <f>T7</f>
        <v>117.81</v>
      </c>
      <c r="J5" s="104"/>
      <c r="K5" s="104"/>
      <c r="L5" s="109"/>
      <c r="M5" s="104"/>
      <c r="N5" s="104"/>
      <c r="O5" s="104"/>
      <c r="P5" s="109"/>
      <c r="Q5" s="109"/>
      <c r="R5" s="109"/>
      <c r="S5" s="111" t="s">
        <v>23</v>
      </c>
      <c r="T5" s="112">
        <f>'ANNUAL-EXPENSE-DETAILS'!BE13</f>
        <v>38700</v>
      </c>
    </row>
    <row r="6" spans="1:20" ht="12.75" customHeight="1">
      <c r="A6" s="104" t="s">
        <v>24</v>
      </c>
      <c r="B6" s="13" t="s">
        <v>25</v>
      </c>
      <c r="C6" s="9">
        <v>3104</v>
      </c>
      <c r="D6" s="104">
        <f t="shared" ref="D6:D69" si="0">SUM($C$3:$C$5)/64</f>
        <v>0</v>
      </c>
      <c r="E6" s="104">
        <f t="shared" ref="E6:E69" si="1">C6+D6</f>
        <v>3104</v>
      </c>
      <c r="F6" s="104">
        <f t="shared" ref="F6:F70" si="2">IF($C$70=0, 0, E6/$C$70)</f>
        <v>7.9332016244661567E-3</v>
      </c>
      <c r="G6" s="104">
        <f t="shared" ref="G6:G69" si="3">F6*$T$5</f>
        <v>307.01490286684026</v>
      </c>
      <c r="H6" s="104">
        <v>3</v>
      </c>
      <c r="I6" s="104">
        <f t="shared" ref="I6:I69" si="4">$T$7*H6</f>
        <v>353.43</v>
      </c>
      <c r="J6" s="104">
        <f t="shared" ref="J6:J69" si="5">G6+$T$9+I6</f>
        <v>665.96724661684027</v>
      </c>
      <c r="K6" s="104">
        <f t="shared" ref="K6:K69" si="6">$T$11/64</f>
        <v>4089.0625</v>
      </c>
      <c r="L6" s="14">
        <v>0</v>
      </c>
      <c r="M6" s="104">
        <v>0</v>
      </c>
      <c r="N6" s="104">
        <v>0</v>
      </c>
      <c r="O6" s="104">
        <v>0</v>
      </c>
      <c r="P6" s="109"/>
      <c r="Q6" s="109"/>
      <c r="R6" s="109">
        <f t="shared" ref="R6:R69" si="7">(J6+K6+L6+M6+N6+O6)*$B$2</f>
        <v>4755.0297466168404</v>
      </c>
      <c r="S6" s="107"/>
      <c r="T6" s="110"/>
    </row>
    <row r="7" spans="1:20" ht="12.75" customHeight="1">
      <c r="A7" s="104" t="s">
        <v>26</v>
      </c>
      <c r="B7" s="13" t="s">
        <v>27</v>
      </c>
      <c r="C7" s="9">
        <v>6762</v>
      </c>
      <c r="D7" s="104">
        <f t="shared" si="0"/>
        <v>0</v>
      </c>
      <c r="E7" s="104">
        <f t="shared" si="1"/>
        <v>6762</v>
      </c>
      <c r="F7" s="104">
        <f t="shared" si="2"/>
        <v>1.7282316167732008E-2</v>
      </c>
      <c r="G7" s="104">
        <f t="shared" si="3"/>
        <v>668.82563569122874</v>
      </c>
      <c r="H7" s="104">
        <v>4</v>
      </c>
      <c r="I7" s="104">
        <f t="shared" si="4"/>
        <v>471.24</v>
      </c>
      <c r="J7" s="104">
        <f t="shared" si="5"/>
        <v>1145.5879794412288</v>
      </c>
      <c r="K7" s="104">
        <f t="shared" si="6"/>
        <v>4089.0625</v>
      </c>
      <c r="L7" s="7">
        <v>0</v>
      </c>
      <c r="M7" s="104">
        <v>0</v>
      </c>
      <c r="N7" s="104">
        <v>0</v>
      </c>
      <c r="O7" s="104">
        <v>0</v>
      </c>
      <c r="P7" s="109"/>
      <c r="Q7" s="109"/>
      <c r="R7" s="109">
        <f t="shared" si="7"/>
        <v>5234.6504794412285</v>
      </c>
      <c r="S7" s="107" t="s">
        <v>180</v>
      </c>
      <c r="T7" s="17">
        <v>117.81</v>
      </c>
    </row>
    <row r="8" spans="1:20" ht="12.75" customHeight="1">
      <c r="A8" s="104" t="s">
        <v>29</v>
      </c>
      <c r="B8" s="13" t="s">
        <v>30</v>
      </c>
      <c r="C8" s="9">
        <v>13666.5</v>
      </c>
      <c r="D8" s="104">
        <f t="shared" si="0"/>
        <v>0</v>
      </c>
      <c r="E8" s="104">
        <f t="shared" si="1"/>
        <v>13666.5</v>
      </c>
      <c r="F8" s="104">
        <f t="shared" si="2"/>
        <v>3.4928833763133611E-2</v>
      </c>
      <c r="G8" s="104">
        <f t="shared" si="3"/>
        <v>1351.7458666332707</v>
      </c>
      <c r="H8" s="104">
        <v>4</v>
      </c>
      <c r="I8" s="104">
        <f t="shared" si="4"/>
        <v>471.24</v>
      </c>
      <c r="J8" s="104">
        <f t="shared" si="5"/>
        <v>1828.5082103832706</v>
      </c>
      <c r="K8" s="104">
        <f t="shared" si="6"/>
        <v>4089.0625</v>
      </c>
      <c r="L8" s="7">
        <v>750</v>
      </c>
      <c r="M8" s="104">
        <v>0</v>
      </c>
      <c r="N8" s="104">
        <v>0</v>
      </c>
      <c r="O8" s="104">
        <v>0</v>
      </c>
      <c r="P8" s="109"/>
      <c r="Q8" s="109"/>
      <c r="R8" s="109">
        <f t="shared" si="7"/>
        <v>6667.5707103832701</v>
      </c>
      <c r="S8" s="107" t="s">
        <v>181</v>
      </c>
      <c r="T8" s="110">
        <f>$T$7*3</f>
        <v>353.43</v>
      </c>
    </row>
    <row r="9" spans="1:20" ht="12.75" customHeight="1">
      <c r="A9" s="104" t="s">
        <v>32</v>
      </c>
      <c r="B9" s="13" t="s">
        <v>33</v>
      </c>
      <c r="C9" s="9">
        <v>3628</v>
      </c>
      <c r="D9" s="104">
        <f t="shared" si="0"/>
        <v>0</v>
      </c>
      <c r="E9" s="104">
        <f t="shared" si="1"/>
        <v>3628</v>
      </c>
      <c r="F9" s="104">
        <f t="shared" si="2"/>
        <v>9.2724405584933053E-3</v>
      </c>
      <c r="G9" s="104">
        <f t="shared" si="3"/>
        <v>358.84344961369089</v>
      </c>
      <c r="H9" s="104">
        <v>4</v>
      </c>
      <c r="I9" s="104">
        <f t="shared" si="4"/>
        <v>471.24</v>
      </c>
      <c r="J9" s="104">
        <f t="shared" si="5"/>
        <v>835.60579336369096</v>
      </c>
      <c r="K9" s="104">
        <f t="shared" si="6"/>
        <v>4089.0625</v>
      </c>
      <c r="L9" s="7">
        <v>0</v>
      </c>
      <c r="M9" s="104">
        <v>0</v>
      </c>
      <c r="N9" s="104">
        <v>0</v>
      </c>
      <c r="O9" s="104">
        <v>0</v>
      </c>
      <c r="P9" s="109"/>
      <c r="Q9" s="109"/>
      <c r="R9" s="109">
        <f t="shared" si="7"/>
        <v>4924.6682933636912</v>
      </c>
      <c r="S9" s="113" t="s">
        <v>182</v>
      </c>
      <c r="T9" s="114">
        <f>T8/64</f>
        <v>5.5223437500000001</v>
      </c>
    </row>
    <row r="10" spans="1:20" ht="12.75" customHeight="1">
      <c r="A10" s="104" t="s">
        <v>35</v>
      </c>
      <c r="B10" s="13" t="s">
        <v>36</v>
      </c>
      <c r="C10" s="9">
        <v>2536</v>
      </c>
      <c r="D10" s="104">
        <f t="shared" si="0"/>
        <v>0</v>
      </c>
      <c r="E10" s="104">
        <f t="shared" si="1"/>
        <v>2536</v>
      </c>
      <c r="F10" s="104">
        <f t="shared" si="2"/>
        <v>6.4815075127726083E-3</v>
      </c>
      <c r="G10" s="104">
        <f t="shared" si="3"/>
        <v>250.83434074429994</v>
      </c>
      <c r="H10" s="104">
        <v>3</v>
      </c>
      <c r="I10" s="104">
        <f t="shared" si="4"/>
        <v>353.43</v>
      </c>
      <c r="J10" s="104">
        <f t="shared" si="5"/>
        <v>609.78668449429995</v>
      </c>
      <c r="K10" s="104">
        <f t="shared" si="6"/>
        <v>4089.0625</v>
      </c>
      <c r="L10" s="7">
        <v>0</v>
      </c>
      <c r="M10" s="104">
        <v>0</v>
      </c>
      <c r="N10" s="104">
        <v>0</v>
      </c>
      <c r="O10" s="104">
        <v>0</v>
      </c>
      <c r="P10" s="109"/>
      <c r="Q10" s="109"/>
      <c r="R10" s="109">
        <f t="shared" si="7"/>
        <v>4698.8491844943001</v>
      </c>
      <c r="S10" s="107"/>
      <c r="T10" s="110"/>
    </row>
    <row r="11" spans="1:20" ht="12.75" customHeight="1">
      <c r="A11" s="104" t="s">
        <v>37</v>
      </c>
      <c r="B11" s="13" t="s">
        <v>38</v>
      </c>
      <c r="C11" s="9">
        <v>4239.5</v>
      </c>
      <c r="D11" s="104">
        <f t="shared" si="0"/>
        <v>0</v>
      </c>
      <c r="E11" s="104">
        <f t="shared" si="1"/>
        <v>4239.5</v>
      </c>
      <c r="F11" s="104">
        <f t="shared" si="2"/>
        <v>1.0835311948107046E-2</v>
      </c>
      <c r="G11" s="104">
        <f t="shared" si="3"/>
        <v>419.32657239174267</v>
      </c>
      <c r="H11" s="104">
        <v>3</v>
      </c>
      <c r="I11" s="104">
        <f t="shared" si="4"/>
        <v>353.43</v>
      </c>
      <c r="J11" s="104">
        <f t="shared" si="5"/>
        <v>778.27891614174268</v>
      </c>
      <c r="K11" s="104">
        <f t="shared" si="6"/>
        <v>4089.0625</v>
      </c>
      <c r="L11" s="7">
        <v>0</v>
      </c>
      <c r="M11" s="104">
        <v>0</v>
      </c>
      <c r="N11" s="104">
        <v>0</v>
      </c>
      <c r="O11" s="104">
        <v>0</v>
      </c>
      <c r="P11" s="109"/>
      <c r="Q11" s="109"/>
      <c r="R11" s="109">
        <f t="shared" si="7"/>
        <v>4867.3414161417422</v>
      </c>
      <c r="S11" s="113" t="s">
        <v>21</v>
      </c>
      <c r="T11" s="114">
        <f>'ANNUAL-EXPENSE-DETAILS'!BF13</f>
        <v>261700</v>
      </c>
    </row>
    <row r="12" spans="1:20" ht="12.75" customHeight="1">
      <c r="A12" s="104" t="s">
        <v>40</v>
      </c>
      <c r="B12" s="13" t="s">
        <v>41</v>
      </c>
      <c r="C12" s="9">
        <v>152.5</v>
      </c>
      <c r="D12" s="104">
        <f t="shared" si="0"/>
        <v>0</v>
      </c>
      <c r="E12" s="104">
        <f t="shared" si="1"/>
        <v>152.5</v>
      </c>
      <c r="F12" s="104">
        <f t="shared" si="2"/>
        <v>3.8975942259377865E-4</v>
      </c>
      <c r="G12" s="104">
        <f t="shared" si="3"/>
        <v>15.083689654379233</v>
      </c>
      <c r="H12" s="104">
        <v>3</v>
      </c>
      <c r="I12" s="104">
        <f t="shared" si="4"/>
        <v>353.43</v>
      </c>
      <c r="J12" s="104">
        <f t="shared" si="5"/>
        <v>374.03603340437922</v>
      </c>
      <c r="K12" s="104">
        <f t="shared" si="6"/>
        <v>4089.0625</v>
      </c>
      <c r="L12" s="7">
        <v>750</v>
      </c>
      <c r="M12" s="104">
        <v>0</v>
      </c>
      <c r="N12" s="104">
        <v>0</v>
      </c>
      <c r="O12" s="104">
        <v>0</v>
      </c>
      <c r="P12" s="109"/>
      <c r="Q12" s="109"/>
      <c r="R12" s="109">
        <f t="shared" si="7"/>
        <v>5213.0985334043789</v>
      </c>
      <c r="S12" s="107"/>
      <c r="T12" s="110"/>
    </row>
    <row r="13" spans="1:20" ht="12.75" customHeight="1">
      <c r="A13" s="104" t="s">
        <v>43</v>
      </c>
      <c r="B13" s="13" t="s">
        <v>44</v>
      </c>
      <c r="C13" s="9">
        <v>16650.5</v>
      </c>
      <c r="D13" s="104">
        <f t="shared" si="0"/>
        <v>0</v>
      </c>
      <c r="E13" s="104">
        <f t="shared" si="1"/>
        <v>16650.5</v>
      </c>
      <c r="F13" s="104">
        <f t="shared" si="2"/>
        <v>4.2555339448509588E-2</v>
      </c>
      <c r="G13" s="104">
        <f t="shared" si="3"/>
        <v>1646.891636657321</v>
      </c>
      <c r="H13" s="104">
        <v>3</v>
      </c>
      <c r="I13" s="104">
        <f t="shared" si="4"/>
        <v>353.43</v>
      </c>
      <c r="J13" s="104">
        <f t="shared" si="5"/>
        <v>2005.8439804073209</v>
      </c>
      <c r="K13" s="104">
        <f t="shared" si="6"/>
        <v>4089.0625</v>
      </c>
      <c r="L13" s="7">
        <v>0</v>
      </c>
      <c r="M13" s="104">
        <v>0</v>
      </c>
      <c r="N13" s="104">
        <v>0</v>
      </c>
      <c r="O13" s="104">
        <v>0</v>
      </c>
      <c r="P13" s="109"/>
      <c r="Q13" s="109"/>
      <c r="R13" s="109">
        <f t="shared" si="7"/>
        <v>6094.9064804073205</v>
      </c>
      <c r="S13" s="115" t="s">
        <v>280</v>
      </c>
      <c r="T13" s="116">
        <f>T8+I70</f>
        <v>26625.060000000023</v>
      </c>
    </row>
    <row r="14" spans="1:20" ht="12.75" customHeight="1">
      <c r="A14" s="104" t="s">
        <v>46</v>
      </c>
      <c r="B14" s="13" t="s">
        <v>47</v>
      </c>
      <c r="C14" s="9">
        <v>2614</v>
      </c>
      <c r="D14" s="104">
        <f t="shared" si="0"/>
        <v>0</v>
      </c>
      <c r="E14" s="104">
        <f t="shared" si="1"/>
        <v>2614</v>
      </c>
      <c r="F14" s="104">
        <f t="shared" si="2"/>
        <v>6.6808598731812295E-3</v>
      </c>
      <c r="G14" s="104">
        <f t="shared" si="3"/>
        <v>258.54927709211358</v>
      </c>
      <c r="H14" s="104">
        <v>4</v>
      </c>
      <c r="I14" s="104">
        <f t="shared" si="4"/>
        <v>471.24</v>
      </c>
      <c r="J14" s="104">
        <f t="shared" si="5"/>
        <v>735.3116208421136</v>
      </c>
      <c r="K14" s="104">
        <f t="shared" si="6"/>
        <v>4089.0625</v>
      </c>
      <c r="L14" s="7">
        <v>0</v>
      </c>
      <c r="M14" s="104">
        <v>0</v>
      </c>
      <c r="N14" s="104">
        <v>0</v>
      </c>
      <c r="O14" s="104">
        <v>0</v>
      </c>
      <c r="P14" s="109"/>
      <c r="Q14" s="109"/>
      <c r="R14" s="109">
        <f t="shared" si="7"/>
        <v>4824.3741208421134</v>
      </c>
      <c r="S14" s="107"/>
      <c r="T14" s="110"/>
    </row>
    <row r="15" spans="1:20" ht="12.75" customHeight="1">
      <c r="A15" s="104" t="s">
        <v>49</v>
      </c>
      <c r="B15" s="13" t="s">
        <v>50</v>
      </c>
      <c r="C15" s="9">
        <v>11612</v>
      </c>
      <c r="D15" s="104">
        <f t="shared" si="0"/>
        <v>0</v>
      </c>
      <c r="E15" s="104">
        <f t="shared" si="1"/>
        <v>11612</v>
      </c>
      <c r="F15" s="104">
        <f t="shared" si="2"/>
        <v>2.9677943705960379E-2</v>
      </c>
      <c r="G15" s="104">
        <f t="shared" si="3"/>
        <v>1148.5364214206666</v>
      </c>
      <c r="H15" s="104">
        <v>3</v>
      </c>
      <c r="I15" s="104">
        <f t="shared" si="4"/>
        <v>353.43</v>
      </c>
      <c r="J15" s="104">
        <f t="shared" si="5"/>
        <v>1507.4887651706665</v>
      </c>
      <c r="K15" s="104">
        <f t="shared" si="6"/>
        <v>4089.0625</v>
      </c>
      <c r="L15" s="7">
        <v>0</v>
      </c>
      <c r="M15" s="104">
        <v>0</v>
      </c>
      <c r="N15" s="104">
        <v>0</v>
      </c>
      <c r="O15" s="104">
        <v>0</v>
      </c>
      <c r="P15" s="109"/>
      <c r="Q15" s="109"/>
      <c r="R15" s="109">
        <f t="shared" si="7"/>
        <v>5596.5512651706667</v>
      </c>
      <c r="S15" s="61" t="s">
        <v>294</v>
      </c>
      <c r="T15" s="63"/>
    </row>
    <row r="16" spans="1:20" ht="12.75" customHeight="1">
      <c r="A16" s="104" t="s">
        <v>52</v>
      </c>
      <c r="B16" s="13" t="s">
        <v>53</v>
      </c>
      <c r="C16" s="9">
        <v>1222.5</v>
      </c>
      <c r="D16" s="104">
        <f t="shared" si="0"/>
        <v>0</v>
      </c>
      <c r="E16" s="104">
        <f t="shared" si="1"/>
        <v>1222.5</v>
      </c>
      <c r="F16" s="104">
        <f t="shared" si="2"/>
        <v>3.1244648794812751E-3</v>
      </c>
      <c r="G16" s="104">
        <f t="shared" si="3"/>
        <v>120.91679083592534</v>
      </c>
      <c r="H16" s="104">
        <v>3</v>
      </c>
      <c r="I16" s="104">
        <f t="shared" si="4"/>
        <v>353.43</v>
      </c>
      <c r="J16" s="104">
        <f t="shared" si="5"/>
        <v>479.86913458592534</v>
      </c>
      <c r="K16" s="104">
        <f t="shared" si="6"/>
        <v>4089.0625</v>
      </c>
      <c r="L16" s="7">
        <v>0</v>
      </c>
      <c r="M16" s="104">
        <v>0</v>
      </c>
      <c r="N16" s="104">
        <v>0</v>
      </c>
      <c r="O16" s="104">
        <v>0</v>
      </c>
      <c r="P16" s="109"/>
      <c r="Q16" s="109"/>
      <c r="R16" s="109">
        <f t="shared" si="7"/>
        <v>4568.9316345859252</v>
      </c>
      <c r="S16" s="61" t="s">
        <v>42</v>
      </c>
      <c r="T16" s="63"/>
    </row>
    <row r="17" spans="1:20" ht="12.75" customHeight="1">
      <c r="A17" s="104" t="s">
        <v>55</v>
      </c>
      <c r="B17" s="13" t="s">
        <v>56</v>
      </c>
      <c r="C17" s="9">
        <v>9.5</v>
      </c>
      <c r="D17" s="104">
        <f t="shared" si="0"/>
        <v>0</v>
      </c>
      <c r="E17" s="104">
        <f t="shared" si="1"/>
        <v>9.5</v>
      </c>
      <c r="F17" s="104">
        <f t="shared" si="2"/>
        <v>2.4280095177973099E-5</v>
      </c>
      <c r="G17" s="104">
        <f t="shared" si="3"/>
        <v>0.93963968338755888</v>
      </c>
      <c r="H17" s="104">
        <v>3</v>
      </c>
      <c r="I17" s="104">
        <f t="shared" si="4"/>
        <v>353.43</v>
      </c>
      <c r="J17" s="104">
        <f t="shared" si="5"/>
        <v>359.89198343338757</v>
      </c>
      <c r="K17" s="104">
        <f t="shared" si="6"/>
        <v>4089.0625</v>
      </c>
      <c r="L17" s="7">
        <v>0</v>
      </c>
      <c r="M17" s="104">
        <v>0</v>
      </c>
      <c r="N17" s="104">
        <v>0</v>
      </c>
      <c r="O17" s="104">
        <v>0</v>
      </c>
      <c r="P17" s="109"/>
      <c r="Q17" s="109"/>
      <c r="R17" s="109">
        <f t="shared" si="7"/>
        <v>4448.9544834333874</v>
      </c>
      <c r="S17" s="61" t="s">
        <v>45</v>
      </c>
      <c r="T17" s="63"/>
    </row>
    <row r="18" spans="1:20" ht="12.75" customHeight="1">
      <c r="A18" s="104" t="s">
        <v>58</v>
      </c>
      <c r="B18" s="13" t="s">
        <v>59</v>
      </c>
      <c r="C18" s="9">
        <v>1874.5</v>
      </c>
      <c r="D18" s="104">
        <f t="shared" si="0"/>
        <v>0</v>
      </c>
      <c r="E18" s="104">
        <f t="shared" si="1"/>
        <v>1874.5</v>
      </c>
      <c r="F18" s="104">
        <f t="shared" si="2"/>
        <v>4.790846148537955E-3</v>
      </c>
      <c r="G18" s="104">
        <f t="shared" si="3"/>
        <v>185.40574594841885</v>
      </c>
      <c r="H18" s="104">
        <v>4</v>
      </c>
      <c r="I18" s="104">
        <f t="shared" si="4"/>
        <v>471.24</v>
      </c>
      <c r="J18" s="104">
        <f t="shared" si="5"/>
        <v>662.16808969841884</v>
      </c>
      <c r="K18" s="104">
        <f t="shared" si="6"/>
        <v>4089.0625</v>
      </c>
      <c r="L18" s="7">
        <v>0</v>
      </c>
      <c r="M18" s="104">
        <v>0</v>
      </c>
      <c r="N18" s="104">
        <v>0</v>
      </c>
      <c r="O18" s="104">
        <v>0</v>
      </c>
      <c r="P18" s="109"/>
      <c r="Q18" s="109"/>
      <c r="R18" s="109">
        <f t="shared" si="7"/>
        <v>4751.230589698419</v>
      </c>
      <c r="S18" s="64" t="s">
        <v>48</v>
      </c>
      <c r="T18" s="65">
        <f>T16-T17</f>
        <v>0</v>
      </c>
    </row>
    <row r="19" spans="1:20" ht="12.75" customHeight="1">
      <c r="A19" s="104" t="s">
        <v>61</v>
      </c>
      <c r="B19" s="13" t="s">
        <v>62</v>
      </c>
      <c r="C19" s="9">
        <v>7119.5</v>
      </c>
      <c r="D19" s="104">
        <f t="shared" si="0"/>
        <v>0</v>
      </c>
      <c r="E19" s="104">
        <f t="shared" si="1"/>
        <v>7119.5</v>
      </c>
      <c r="F19" s="104">
        <f t="shared" si="2"/>
        <v>1.8196014486271523E-2</v>
      </c>
      <c r="G19" s="104">
        <f t="shared" si="3"/>
        <v>704.18576061870795</v>
      </c>
      <c r="H19" s="104">
        <v>4</v>
      </c>
      <c r="I19" s="104">
        <f t="shared" si="4"/>
        <v>471.24</v>
      </c>
      <c r="J19" s="104">
        <f t="shared" si="5"/>
        <v>1180.9481043687078</v>
      </c>
      <c r="K19" s="104">
        <f t="shared" si="6"/>
        <v>4089.0625</v>
      </c>
      <c r="L19" s="7">
        <v>0</v>
      </c>
      <c r="M19" s="104">
        <v>0</v>
      </c>
      <c r="N19" s="104">
        <v>0</v>
      </c>
      <c r="O19" s="104">
        <v>0</v>
      </c>
      <c r="P19" s="109"/>
      <c r="Q19" s="109"/>
      <c r="R19" s="109">
        <f t="shared" si="7"/>
        <v>5270.0106043687083</v>
      </c>
      <c r="S19" s="66" t="s">
        <v>54</v>
      </c>
      <c r="T19" s="67">
        <f>T15-T18</f>
        <v>0</v>
      </c>
    </row>
    <row r="20" spans="1:20" ht="12.75" customHeight="1">
      <c r="A20" s="104" t="s">
        <v>63</v>
      </c>
      <c r="B20" s="13" t="s">
        <v>64</v>
      </c>
      <c r="C20" s="9">
        <v>2064.5</v>
      </c>
      <c r="D20" s="104">
        <f t="shared" si="0"/>
        <v>0</v>
      </c>
      <c r="E20" s="104">
        <f t="shared" si="1"/>
        <v>2064.5</v>
      </c>
      <c r="F20" s="104">
        <f t="shared" si="2"/>
        <v>5.2764480520974171E-3</v>
      </c>
      <c r="G20" s="104">
        <f t="shared" si="3"/>
        <v>204.19853961617005</v>
      </c>
      <c r="H20" s="104">
        <v>4</v>
      </c>
      <c r="I20" s="104">
        <f t="shared" si="4"/>
        <v>471.24</v>
      </c>
      <c r="J20" s="104">
        <f t="shared" si="5"/>
        <v>680.96088336617004</v>
      </c>
      <c r="K20" s="104">
        <f t="shared" si="6"/>
        <v>4089.0625</v>
      </c>
      <c r="L20" s="7">
        <v>750</v>
      </c>
      <c r="M20" s="104">
        <v>0</v>
      </c>
      <c r="N20" s="104">
        <v>0</v>
      </c>
      <c r="O20" s="104">
        <v>0</v>
      </c>
      <c r="P20" s="109"/>
      <c r="Q20" s="109"/>
      <c r="R20" s="109">
        <f t="shared" si="7"/>
        <v>5520.0233833661696</v>
      </c>
      <c r="S20" s="66" t="s">
        <v>57</v>
      </c>
      <c r="T20" s="67">
        <f>'ANNUAL-EXPENSE-DETAILS'!BH13</f>
        <v>326672</v>
      </c>
    </row>
    <row r="21" spans="1:20" ht="12.75" customHeight="1">
      <c r="A21" s="104" t="s">
        <v>65</v>
      </c>
      <c r="B21" s="13" t="s">
        <v>66</v>
      </c>
      <c r="C21" s="9">
        <v>14711.5</v>
      </c>
      <c r="D21" s="104">
        <f t="shared" si="0"/>
        <v>0</v>
      </c>
      <c r="E21" s="104">
        <f t="shared" si="1"/>
        <v>14711.5</v>
      </c>
      <c r="F21" s="104">
        <f t="shared" si="2"/>
        <v>3.7599644232710658E-2</v>
      </c>
      <c r="G21" s="104">
        <f t="shared" si="3"/>
        <v>1455.1062318059026</v>
      </c>
      <c r="H21" s="104">
        <v>3</v>
      </c>
      <c r="I21" s="104">
        <f t="shared" si="4"/>
        <v>353.43</v>
      </c>
      <c r="J21" s="104">
        <f t="shared" si="5"/>
        <v>1814.0585755559025</v>
      </c>
      <c r="K21" s="104">
        <f t="shared" si="6"/>
        <v>4089.0625</v>
      </c>
      <c r="L21" s="7">
        <v>0</v>
      </c>
      <c r="M21" s="104">
        <v>0</v>
      </c>
      <c r="N21" s="104">
        <v>0</v>
      </c>
      <c r="O21" s="104">
        <v>0</v>
      </c>
      <c r="P21" s="109"/>
      <c r="Q21" s="109"/>
      <c r="R21" s="109">
        <f t="shared" si="7"/>
        <v>5903.1210755559023</v>
      </c>
      <c r="S21" s="66" t="s">
        <v>60</v>
      </c>
      <c r="T21" s="110">
        <f>T19-T20</f>
        <v>-326672</v>
      </c>
    </row>
    <row r="22" spans="1:20" ht="12.75" customHeight="1">
      <c r="A22" s="104" t="s">
        <v>67</v>
      </c>
      <c r="B22" s="13" t="s">
        <v>68</v>
      </c>
      <c r="C22" s="9">
        <v>10315.5</v>
      </c>
      <c r="D22" s="104">
        <f t="shared" si="0"/>
        <v>0</v>
      </c>
      <c r="E22" s="104">
        <f t="shared" si="1"/>
        <v>10315.5</v>
      </c>
      <c r="F22" s="104">
        <f t="shared" si="2"/>
        <v>2.6364349664040158E-2</v>
      </c>
      <c r="G22" s="104">
        <f t="shared" si="3"/>
        <v>1020.3003319983542</v>
      </c>
      <c r="H22" s="104">
        <v>3</v>
      </c>
      <c r="I22" s="104">
        <f t="shared" si="4"/>
        <v>353.43</v>
      </c>
      <c r="J22" s="104">
        <f t="shared" si="5"/>
        <v>1379.2526757483542</v>
      </c>
      <c r="K22" s="104">
        <f t="shared" si="6"/>
        <v>4089.0625</v>
      </c>
      <c r="L22" s="7">
        <v>0</v>
      </c>
      <c r="M22" s="104">
        <v>0</v>
      </c>
      <c r="N22" s="104">
        <v>0</v>
      </c>
      <c r="O22" s="104">
        <v>0</v>
      </c>
      <c r="P22" s="109"/>
      <c r="Q22" s="109"/>
      <c r="R22" s="109">
        <f t="shared" si="7"/>
        <v>5468.3151757483538</v>
      </c>
      <c r="S22" s="107"/>
      <c r="T22" s="110"/>
    </row>
    <row r="23" spans="1:20" ht="12.75" customHeight="1">
      <c r="A23" s="104" t="s">
        <v>69</v>
      </c>
      <c r="B23" s="13" t="s">
        <v>70</v>
      </c>
      <c r="C23" s="9">
        <v>14344</v>
      </c>
      <c r="D23" s="104">
        <f t="shared" si="0"/>
        <v>0</v>
      </c>
      <c r="E23" s="104">
        <f t="shared" si="1"/>
        <v>14344</v>
      </c>
      <c r="F23" s="104">
        <f t="shared" si="2"/>
        <v>3.6660387919246959E-2</v>
      </c>
      <c r="G23" s="104">
        <f t="shared" si="3"/>
        <v>1418.7570124748572</v>
      </c>
      <c r="H23" s="104">
        <v>4</v>
      </c>
      <c r="I23" s="104">
        <f t="shared" si="4"/>
        <v>471.24</v>
      </c>
      <c r="J23" s="104">
        <f t="shared" si="5"/>
        <v>1895.5193562248571</v>
      </c>
      <c r="K23" s="104">
        <f t="shared" si="6"/>
        <v>4089.0625</v>
      </c>
      <c r="L23" s="7">
        <v>0</v>
      </c>
      <c r="M23" s="104">
        <v>0</v>
      </c>
      <c r="N23" s="104">
        <v>0</v>
      </c>
      <c r="O23" s="104">
        <v>0</v>
      </c>
      <c r="P23" s="109"/>
      <c r="Q23" s="109"/>
      <c r="R23" s="109">
        <f t="shared" si="7"/>
        <v>5984.5818562248569</v>
      </c>
      <c r="S23" s="107"/>
      <c r="T23" s="110"/>
    </row>
    <row r="24" spans="1:20" ht="12.75" customHeight="1">
      <c r="A24" s="104" t="s">
        <v>71</v>
      </c>
      <c r="B24" s="13" t="s">
        <v>72</v>
      </c>
      <c r="C24" s="9">
        <v>7979</v>
      </c>
      <c r="D24" s="104">
        <f t="shared" si="0"/>
        <v>0</v>
      </c>
      <c r="E24" s="104">
        <f t="shared" si="1"/>
        <v>7979</v>
      </c>
      <c r="F24" s="104">
        <f t="shared" si="2"/>
        <v>2.0392724150004985E-2</v>
      </c>
      <c r="G24" s="104">
        <f t="shared" si="3"/>
        <v>789.19842460519294</v>
      </c>
      <c r="H24" s="104">
        <v>4</v>
      </c>
      <c r="I24" s="104">
        <f t="shared" si="4"/>
        <v>471.24</v>
      </c>
      <c r="J24" s="104">
        <f t="shared" si="5"/>
        <v>1265.9607683551931</v>
      </c>
      <c r="K24" s="104">
        <f t="shared" si="6"/>
        <v>4089.0625</v>
      </c>
      <c r="L24" s="7">
        <v>0</v>
      </c>
      <c r="M24" s="104">
        <v>0</v>
      </c>
      <c r="N24" s="104">
        <v>0</v>
      </c>
      <c r="O24" s="104">
        <v>0</v>
      </c>
      <c r="P24" s="109"/>
      <c r="Q24" s="109"/>
      <c r="R24" s="109">
        <f t="shared" si="7"/>
        <v>5355.0232683551931</v>
      </c>
      <c r="S24" s="107"/>
      <c r="T24" s="110"/>
    </row>
    <row r="25" spans="1:20" ht="12.75" customHeight="1">
      <c r="A25" s="104" t="s">
        <v>73</v>
      </c>
      <c r="B25" s="13" t="s">
        <v>74</v>
      </c>
      <c r="C25" s="9">
        <v>9232.5</v>
      </c>
      <c r="D25" s="104">
        <f t="shared" si="0"/>
        <v>0</v>
      </c>
      <c r="E25" s="104">
        <f t="shared" si="1"/>
        <v>9232.5</v>
      </c>
      <c r="F25" s="104">
        <f t="shared" si="2"/>
        <v>2.3596418813751224E-2</v>
      </c>
      <c r="G25" s="104">
        <f t="shared" si="3"/>
        <v>913.18140809217232</v>
      </c>
      <c r="H25" s="104">
        <v>4</v>
      </c>
      <c r="I25" s="104">
        <f t="shared" si="4"/>
        <v>471.24</v>
      </c>
      <c r="J25" s="104">
        <f t="shared" si="5"/>
        <v>1389.9437518421723</v>
      </c>
      <c r="K25" s="104">
        <f t="shared" si="6"/>
        <v>4089.0625</v>
      </c>
      <c r="L25" s="7">
        <v>0</v>
      </c>
      <c r="M25" s="104">
        <v>0</v>
      </c>
      <c r="N25" s="104">
        <v>0</v>
      </c>
      <c r="O25" s="104">
        <v>0</v>
      </c>
      <c r="P25" s="109"/>
      <c r="Q25" s="109"/>
      <c r="R25" s="109">
        <f t="shared" si="7"/>
        <v>5479.0062518421728</v>
      </c>
      <c r="S25" s="107"/>
      <c r="T25" s="110"/>
    </row>
    <row r="26" spans="1:20" ht="12.75" customHeight="1">
      <c r="A26" s="104" t="s">
        <v>75</v>
      </c>
      <c r="B26" s="13" t="s">
        <v>76</v>
      </c>
      <c r="C26" s="9">
        <v>9159</v>
      </c>
      <c r="D26" s="104">
        <f t="shared" si="0"/>
        <v>0</v>
      </c>
      <c r="E26" s="104">
        <f t="shared" si="1"/>
        <v>9159</v>
      </c>
      <c r="F26" s="104">
        <f t="shared" si="2"/>
        <v>2.3408567551058485E-2</v>
      </c>
      <c r="G26" s="104">
        <f t="shared" si="3"/>
        <v>905.91156422596339</v>
      </c>
      <c r="H26" s="104">
        <v>3</v>
      </c>
      <c r="I26" s="104">
        <f t="shared" si="4"/>
        <v>353.43</v>
      </c>
      <c r="J26" s="104">
        <f t="shared" si="5"/>
        <v>1264.8639079759635</v>
      </c>
      <c r="K26" s="104">
        <f t="shared" si="6"/>
        <v>4089.0625</v>
      </c>
      <c r="L26" s="7">
        <v>0</v>
      </c>
      <c r="M26" s="104">
        <v>0</v>
      </c>
      <c r="N26" s="104">
        <v>0</v>
      </c>
      <c r="O26" s="104">
        <v>0</v>
      </c>
      <c r="P26" s="109"/>
      <c r="Q26" s="109"/>
      <c r="R26" s="109">
        <f t="shared" si="7"/>
        <v>5353.9264079759632</v>
      </c>
      <c r="S26" s="107"/>
      <c r="T26" s="110"/>
    </row>
    <row r="27" spans="1:20" ht="12.75" customHeight="1">
      <c r="A27" s="104" t="s">
        <v>77</v>
      </c>
      <c r="B27" s="13" t="s">
        <v>78</v>
      </c>
      <c r="C27" s="9">
        <v>8210</v>
      </c>
      <c r="D27" s="104">
        <f t="shared" si="0"/>
        <v>0</v>
      </c>
      <c r="E27" s="104">
        <f t="shared" si="1"/>
        <v>8210</v>
      </c>
      <c r="F27" s="104">
        <f t="shared" si="2"/>
        <v>2.0983113832753593E-2</v>
      </c>
      <c r="G27" s="104">
        <f t="shared" si="3"/>
        <v>812.04650532756409</v>
      </c>
      <c r="H27" s="104">
        <v>3</v>
      </c>
      <c r="I27" s="104">
        <f t="shared" si="4"/>
        <v>353.43</v>
      </c>
      <c r="J27" s="104">
        <f t="shared" si="5"/>
        <v>1170.998849077564</v>
      </c>
      <c r="K27" s="104">
        <f t="shared" si="6"/>
        <v>4089.0625</v>
      </c>
      <c r="L27" s="7">
        <v>0</v>
      </c>
      <c r="M27" s="104">
        <v>0</v>
      </c>
      <c r="N27" s="104">
        <v>0</v>
      </c>
      <c r="O27" s="104">
        <v>0</v>
      </c>
      <c r="P27" s="109"/>
      <c r="Q27" s="109"/>
      <c r="R27" s="109">
        <f t="shared" si="7"/>
        <v>5260.061349077564</v>
      </c>
      <c r="S27" s="107"/>
      <c r="T27" s="110"/>
    </row>
    <row r="28" spans="1:20" ht="12.75" customHeight="1">
      <c r="A28" s="104" t="s">
        <v>79</v>
      </c>
      <c r="B28" s="13" t="s">
        <v>80</v>
      </c>
      <c r="C28" s="9">
        <v>3969.5</v>
      </c>
      <c r="D28" s="104">
        <f t="shared" si="0"/>
        <v>0</v>
      </c>
      <c r="E28" s="104">
        <f t="shared" si="1"/>
        <v>3969.5</v>
      </c>
      <c r="F28" s="104">
        <f t="shared" si="2"/>
        <v>1.0145246085154127E-2</v>
      </c>
      <c r="G28" s="104">
        <f t="shared" si="3"/>
        <v>392.62102349546473</v>
      </c>
      <c r="H28" s="104">
        <v>3</v>
      </c>
      <c r="I28" s="104">
        <f t="shared" si="4"/>
        <v>353.43</v>
      </c>
      <c r="J28" s="104">
        <f t="shared" si="5"/>
        <v>751.57336724546474</v>
      </c>
      <c r="K28" s="104">
        <f t="shared" si="6"/>
        <v>4089.0625</v>
      </c>
      <c r="L28" s="7">
        <v>0</v>
      </c>
      <c r="M28" s="104">
        <v>0</v>
      </c>
      <c r="N28" s="104">
        <v>0</v>
      </c>
      <c r="O28" s="104">
        <v>0</v>
      </c>
      <c r="P28" s="109"/>
      <c r="Q28" s="109"/>
      <c r="R28" s="109">
        <f t="shared" si="7"/>
        <v>4840.6358672454644</v>
      </c>
      <c r="S28" s="107"/>
      <c r="T28" s="110"/>
    </row>
    <row r="29" spans="1:20" ht="12.75" customHeight="1">
      <c r="A29" s="104" t="s">
        <v>81</v>
      </c>
      <c r="B29" s="13" t="s">
        <v>82</v>
      </c>
      <c r="C29" s="9">
        <v>13104</v>
      </c>
      <c r="D29" s="104">
        <f t="shared" si="0"/>
        <v>0</v>
      </c>
      <c r="E29" s="104">
        <f t="shared" si="1"/>
        <v>13104</v>
      </c>
      <c r="F29" s="104">
        <f t="shared" si="2"/>
        <v>3.3491196548648364E-2</v>
      </c>
      <c r="G29" s="104">
        <f t="shared" si="3"/>
        <v>1296.1093064326917</v>
      </c>
      <c r="H29" s="104">
        <v>3</v>
      </c>
      <c r="I29" s="104">
        <f t="shared" si="4"/>
        <v>353.43</v>
      </c>
      <c r="J29" s="104">
        <f t="shared" si="5"/>
        <v>1655.0616501826917</v>
      </c>
      <c r="K29" s="104">
        <f t="shared" si="6"/>
        <v>4089.0625</v>
      </c>
      <c r="L29" s="7">
        <v>0</v>
      </c>
      <c r="M29" s="104">
        <v>0</v>
      </c>
      <c r="N29" s="104">
        <v>0</v>
      </c>
      <c r="O29" s="104">
        <v>0</v>
      </c>
      <c r="P29" s="109"/>
      <c r="Q29" s="109"/>
      <c r="R29" s="109">
        <f t="shared" si="7"/>
        <v>5744.1241501826917</v>
      </c>
      <c r="S29" s="107"/>
      <c r="T29" s="110"/>
    </row>
    <row r="30" spans="1:20" ht="12.75" customHeight="1">
      <c r="A30" s="104" t="s">
        <v>83</v>
      </c>
      <c r="B30" s="13" t="s">
        <v>84</v>
      </c>
      <c r="C30" s="9">
        <v>4447.5</v>
      </c>
      <c r="D30" s="104">
        <f t="shared" si="0"/>
        <v>0</v>
      </c>
      <c r="E30" s="104">
        <f t="shared" si="1"/>
        <v>4447.5</v>
      </c>
      <c r="F30" s="104">
        <f t="shared" si="2"/>
        <v>1.1366918242530038E-2</v>
      </c>
      <c r="G30" s="104">
        <f t="shared" si="3"/>
        <v>439.89973598591246</v>
      </c>
      <c r="H30" s="104">
        <v>5</v>
      </c>
      <c r="I30" s="104">
        <f t="shared" si="4"/>
        <v>589.04999999999995</v>
      </c>
      <c r="J30" s="104">
        <f t="shared" si="5"/>
        <v>1034.4720797359123</v>
      </c>
      <c r="K30" s="104">
        <f t="shared" si="6"/>
        <v>4089.0625</v>
      </c>
      <c r="L30" s="7">
        <v>0</v>
      </c>
      <c r="M30" s="104">
        <v>0</v>
      </c>
      <c r="N30" s="104">
        <v>0</v>
      </c>
      <c r="O30" s="104">
        <v>0</v>
      </c>
      <c r="P30" s="109"/>
      <c r="Q30" s="109"/>
      <c r="R30" s="109">
        <f t="shared" si="7"/>
        <v>5123.5345797359123</v>
      </c>
      <c r="S30" s="107"/>
      <c r="T30" s="110"/>
    </row>
    <row r="31" spans="1:20" ht="12.75" customHeight="1">
      <c r="A31" s="104" t="s">
        <v>85</v>
      </c>
      <c r="B31" s="13" t="s">
        <v>86</v>
      </c>
      <c r="C31" s="9">
        <v>2787</v>
      </c>
      <c r="D31" s="104">
        <f t="shared" si="0"/>
        <v>0</v>
      </c>
      <c r="E31" s="104">
        <f t="shared" si="1"/>
        <v>2787</v>
      </c>
      <c r="F31" s="104">
        <f t="shared" si="2"/>
        <v>7.1230131853695818E-3</v>
      </c>
      <c r="G31" s="104">
        <f t="shared" si="3"/>
        <v>275.66061027380283</v>
      </c>
      <c r="H31" s="104">
        <v>3</v>
      </c>
      <c r="I31" s="104">
        <f t="shared" si="4"/>
        <v>353.43</v>
      </c>
      <c r="J31" s="104">
        <f t="shared" si="5"/>
        <v>634.61295402380279</v>
      </c>
      <c r="K31" s="104">
        <f t="shared" si="6"/>
        <v>4089.0625</v>
      </c>
      <c r="L31" s="7">
        <v>0</v>
      </c>
      <c r="M31" s="104">
        <v>0</v>
      </c>
      <c r="N31" s="104">
        <v>0</v>
      </c>
      <c r="O31" s="104">
        <v>0</v>
      </c>
      <c r="P31" s="109"/>
      <c r="Q31" s="109"/>
      <c r="R31" s="109">
        <f t="shared" si="7"/>
        <v>4723.6754540238026</v>
      </c>
      <c r="S31" s="107"/>
      <c r="T31" s="110"/>
    </row>
    <row r="32" spans="1:20" ht="12.75" customHeight="1">
      <c r="A32" s="104" t="s">
        <v>87</v>
      </c>
      <c r="B32" s="13" t="s">
        <v>88</v>
      </c>
      <c r="C32" s="9">
        <v>831.5</v>
      </c>
      <c r="D32" s="104">
        <f t="shared" si="0"/>
        <v>0</v>
      </c>
      <c r="E32" s="104">
        <f t="shared" si="1"/>
        <v>831.5</v>
      </c>
      <c r="F32" s="104">
        <f t="shared" si="2"/>
        <v>2.1251472779457506E-3</v>
      </c>
      <c r="G32" s="104">
        <f t="shared" si="3"/>
        <v>82.243199656500551</v>
      </c>
      <c r="H32" s="104">
        <v>3</v>
      </c>
      <c r="I32" s="104">
        <f t="shared" si="4"/>
        <v>353.43</v>
      </c>
      <c r="J32" s="104">
        <f t="shared" si="5"/>
        <v>441.19554340650058</v>
      </c>
      <c r="K32" s="104">
        <f t="shared" si="6"/>
        <v>4089.0625</v>
      </c>
      <c r="L32" s="7">
        <v>0</v>
      </c>
      <c r="M32" s="104">
        <v>0</v>
      </c>
      <c r="N32" s="104">
        <v>0</v>
      </c>
      <c r="O32" s="104">
        <v>0</v>
      </c>
      <c r="P32" s="109"/>
      <c r="Q32" s="109"/>
      <c r="R32" s="109">
        <f t="shared" si="7"/>
        <v>4530.2580434065003</v>
      </c>
      <c r="S32" s="107"/>
      <c r="T32" s="110"/>
    </row>
    <row r="33" spans="1:20" ht="12.75" customHeight="1">
      <c r="A33" s="104" t="s">
        <v>89</v>
      </c>
      <c r="B33" s="13" t="s">
        <v>90</v>
      </c>
      <c r="C33" s="9">
        <v>10317.5</v>
      </c>
      <c r="D33" s="104">
        <f t="shared" si="0"/>
        <v>0</v>
      </c>
      <c r="E33" s="104">
        <f t="shared" si="1"/>
        <v>10317.5</v>
      </c>
      <c r="F33" s="104">
        <f t="shared" si="2"/>
        <v>2.6369461263024994E-2</v>
      </c>
      <c r="G33" s="104">
        <f t="shared" si="3"/>
        <v>1020.4981508790673</v>
      </c>
      <c r="H33" s="104">
        <v>3</v>
      </c>
      <c r="I33" s="104">
        <f t="shared" si="4"/>
        <v>353.43</v>
      </c>
      <c r="J33" s="104">
        <f t="shared" si="5"/>
        <v>1379.4504946290674</v>
      </c>
      <c r="K33" s="104">
        <f t="shared" si="6"/>
        <v>4089.0625</v>
      </c>
      <c r="L33" s="7">
        <v>0</v>
      </c>
      <c r="M33" s="104">
        <v>0</v>
      </c>
      <c r="N33" s="104">
        <v>0</v>
      </c>
      <c r="O33" s="104">
        <v>0</v>
      </c>
      <c r="P33" s="109"/>
      <c r="Q33" s="109"/>
      <c r="R33" s="109">
        <f t="shared" si="7"/>
        <v>5468.5129946290672</v>
      </c>
      <c r="S33" s="107"/>
      <c r="T33" s="110"/>
    </row>
    <row r="34" spans="1:20" ht="12.75" customHeight="1">
      <c r="A34" s="104" t="s">
        <v>91</v>
      </c>
      <c r="B34" s="13" t="s">
        <v>92</v>
      </c>
      <c r="C34" s="9">
        <v>7879</v>
      </c>
      <c r="D34" s="104">
        <f t="shared" si="0"/>
        <v>0</v>
      </c>
      <c r="E34" s="104">
        <f t="shared" si="1"/>
        <v>7879</v>
      </c>
      <c r="F34" s="104">
        <f t="shared" si="2"/>
        <v>2.0137144200763162E-2</v>
      </c>
      <c r="G34" s="104">
        <f t="shared" si="3"/>
        <v>779.30748056953439</v>
      </c>
      <c r="H34" s="104">
        <v>4</v>
      </c>
      <c r="I34" s="104">
        <f t="shared" si="4"/>
        <v>471.24</v>
      </c>
      <c r="J34" s="104">
        <f t="shared" si="5"/>
        <v>1256.0698243195343</v>
      </c>
      <c r="K34" s="104">
        <f t="shared" si="6"/>
        <v>4089.0625</v>
      </c>
      <c r="L34" s="7">
        <v>0</v>
      </c>
      <c r="M34" s="104">
        <v>0</v>
      </c>
      <c r="N34" s="104">
        <v>0</v>
      </c>
      <c r="O34" s="104">
        <v>0</v>
      </c>
      <c r="P34" s="109"/>
      <c r="Q34" s="109"/>
      <c r="R34" s="109">
        <f t="shared" si="7"/>
        <v>5345.1323243195347</v>
      </c>
      <c r="S34" s="107"/>
      <c r="T34" s="110"/>
    </row>
    <row r="35" spans="1:20" ht="12.75" customHeight="1">
      <c r="A35" s="104" t="s">
        <v>93</v>
      </c>
      <c r="B35" s="13" t="s">
        <v>94</v>
      </c>
      <c r="C35" s="9">
        <v>6344</v>
      </c>
      <c r="D35" s="104">
        <f t="shared" si="0"/>
        <v>0</v>
      </c>
      <c r="E35" s="104">
        <f t="shared" si="1"/>
        <v>6344</v>
      </c>
      <c r="F35" s="104">
        <f t="shared" si="2"/>
        <v>1.6213991979901192E-2</v>
      </c>
      <c r="G35" s="104">
        <f t="shared" si="3"/>
        <v>627.48148962217613</v>
      </c>
      <c r="H35" s="104">
        <v>4</v>
      </c>
      <c r="I35" s="104">
        <f t="shared" si="4"/>
        <v>471.24</v>
      </c>
      <c r="J35" s="104">
        <f t="shared" si="5"/>
        <v>1104.2438333721761</v>
      </c>
      <c r="K35" s="104">
        <f t="shared" si="6"/>
        <v>4089.0625</v>
      </c>
      <c r="L35" s="7">
        <v>0</v>
      </c>
      <c r="M35" s="104">
        <v>0</v>
      </c>
      <c r="N35" s="104">
        <v>0</v>
      </c>
      <c r="O35" s="104">
        <v>0</v>
      </c>
      <c r="P35" s="109"/>
      <c r="Q35" s="109"/>
      <c r="R35" s="109">
        <f t="shared" si="7"/>
        <v>5193.3063333721766</v>
      </c>
      <c r="S35" s="107"/>
      <c r="T35" s="110"/>
    </row>
    <row r="36" spans="1:20" ht="12.75" customHeight="1">
      <c r="A36" s="104" t="s">
        <v>95</v>
      </c>
      <c r="B36" s="13" t="s">
        <v>96</v>
      </c>
      <c r="C36" s="9">
        <v>2439</v>
      </c>
      <c r="D36" s="104">
        <f t="shared" si="0"/>
        <v>0</v>
      </c>
      <c r="E36" s="104">
        <f t="shared" si="1"/>
        <v>2439</v>
      </c>
      <c r="F36" s="104">
        <f t="shared" si="2"/>
        <v>6.2335949620080404E-3</v>
      </c>
      <c r="G36" s="104">
        <f t="shared" si="3"/>
        <v>241.24012502971115</v>
      </c>
      <c r="H36" s="104">
        <v>4</v>
      </c>
      <c r="I36" s="104">
        <f t="shared" si="4"/>
        <v>471.24</v>
      </c>
      <c r="J36" s="104">
        <f t="shared" si="5"/>
        <v>718.00246877971119</v>
      </c>
      <c r="K36" s="104">
        <f t="shared" si="6"/>
        <v>4089.0625</v>
      </c>
      <c r="L36" s="7">
        <v>0</v>
      </c>
      <c r="M36" s="104">
        <v>0</v>
      </c>
      <c r="N36" s="104">
        <v>0</v>
      </c>
      <c r="O36" s="104">
        <v>0</v>
      </c>
      <c r="P36" s="109"/>
      <c r="Q36" s="109"/>
      <c r="R36" s="109">
        <f t="shared" si="7"/>
        <v>4807.0649687797113</v>
      </c>
      <c r="S36" s="107"/>
      <c r="T36" s="110"/>
    </row>
    <row r="37" spans="1:20" ht="12.75" customHeight="1">
      <c r="A37" s="104" t="s">
        <v>97</v>
      </c>
      <c r="B37" s="13" t="s">
        <v>98</v>
      </c>
      <c r="C37" s="9">
        <v>7256</v>
      </c>
      <c r="D37" s="104">
        <f t="shared" si="0"/>
        <v>0</v>
      </c>
      <c r="E37" s="104">
        <f t="shared" si="1"/>
        <v>7256</v>
      </c>
      <c r="F37" s="104">
        <f t="shared" si="2"/>
        <v>1.8544881116986611E-2</v>
      </c>
      <c r="G37" s="104">
        <f t="shared" si="3"/>
        <v>717.68689922738179</v>
      </c>
      <c r="H37" s="104">
        <v>3</v>
      </c>
      <c r="I37" s="104">
        <f t="shared" si="4"/>
        <v>353.43</v>
      </c>
      <c r="J37" s="104">
        <f t="shared" si="5"/>
        <v>1076.6392429773819</v>
      </c>
      <c r="K37" s="104">
        <f t="shared" si="6"/>
        <v>4089.0625</v>
      </c>
      <c r="L37" s="7">
        <v>0</v>
      </c>
      <c r="M37" s="104">
        <v>0</v>
      </c>
      <c r="N37" s="104">
        <v>0</v>
      </c>
      <c r="O37" s="104">
        <v>0</v>
      </c>
      <c r="P37" s="109"/>
      <c r="Q37" s="109"/>
      <c r="R37" s="109">
        <f t="shared" si="7"/>
        <v>5165.7017429773823</v>
      </c>
      <c r="S37" s="107"/>
      <c r="T37" s="110"/>
    </row>
    <row r="38" spans="1:20" ht="12.75" customHeight="1">
      <c r="A38" s="104" t="s">
        <v>99</v>
      </c>
      <c r="B38" s="13" t="s">
        <v>100</v>
      </c>
      <c r="C38" s="9">
        <v>1261.5</v>
      </c>
      <c r="D38" s="104">
        <f t="shared" si="0"/>
        <v>0</v>
      </c>
      <c r="E38" s="104">
        <f t="shared" si="1"/>
        <v>1261.5</v>
      </c>
      <c r="F38" s="104">
        <f t="shared" si="2"/>
        <v>3.2241410596855857E-3</v>
      </c>
      <c r="G38" s="104">
        <f t="shared" si="3"/>
        <v>124.77425900983216</v>
      </c>
      <c r="H38" s="104">
        <v>3</v>
      </c>
      <c r="I38" s="104">
        <f t="shared" si="4"/>
        <v>353.43</v>
      </c>
      <c r="J38" s="104">
        <f t="shared" si="5"/>
        <v>483.72660275983219</v>
      </c>
      <c r="K38" s="104">
        <f t="shared" si="6"/>
        <v>4089.0625</v>
      </c>
      <c r="L38" s="7">
        <v>0</v>
      </c>
      <c r="M38" s="104">
        <v>0</v>
      </c>
      <c r="N38" s="104">
        <v>0</v>
      </c>
      <c r="O38" s="104">
        <v>0</v>
      </c>
      <c r="P38" s="109"/>
      <c r="Q38" s="109"/>
      <c r="R38" s="109">
        <f t="shared" si="7"/>
        <v>4572.7891027598325</v>
      </c>
      <c r="S38" s="107"/>
      <c r="T38" s="110"/>
    </row>
    <row r="39" spans="1:20" ht="12.75" customHeight="1">
      <c r="A39" s="104" t="s">
        <v>101</v>
      </c>
      <c r="B39" s="13" t="s">
        <v>102</v>
      </c>
      <c r="C39" s="9">
        <v>10996</v>
      </c>
      <c r="D39" s="104">
        <f t="shared" si="0"/>
        <v>0</v>
      </c>
      <c r="E39" s="104">
        <f t="shared" si="1"/>
        <v>10996</v>
      </c>
      <c r="F39" s="104">
        <f t="shared" si="2"/>
        <v>2.8103571218630757E-2</v>
      </c>
      <c r="G39" s="104">
        <f t="shared" si="3"/>
        <v>1087.6082061610102</v>
      </c>
      <c r="H39" s="104">
        <v>4</v>
      </c>
      <c r="I39" s="104">
        <f t="shared" si="4"/>
        <v>471.24</v>
      </c>
      <c r="J39" s="104">
        <f t="shared" si="5"/>
        <v>1564.3705499110101</v>
      </c>
      <c r="K39" s="104">
        <f t="shared" si="6"/>
        <v>4089.0625</v>
      </c>
      <c r="L39" s="7">
        <v>0</v>
      </c>
      <c r="M39" s="104">
        <v>0</v>
      </c>
      <c r="N39" s="104">
        <v>0</v>
      </c>
      <c r="O39" s="104">
        <v>0</v>
      </c>
      <c r="P39" s="109"/>
      <c r="Q39" s="109"/>
      <c r="R39" s="109">
        <f t="shared" si="7"/>
        <v>5653.4330499110101</v>
      </c>
      <c r="S39" s="107"/>
      <c r="T39" s="110"/>
    </row>
    <row r="40" spans="1:20" ht="12.75" customHeight="1">
      <c r="A40" s="104" t="s">
        <v>103</v>
      </c>
      <c r="B40" s="13" t="s">
        <v>104</v>
      </c>
      <c r="C40" s="9">
        <v>2661</v>
      </c>
      <c r="D40" s="104">
        <f t="shared" si="0"/>
        <v>0</v>
      </c>
      <c r="E40" s="104">
        <f t="shared" si="1"/>
        <v>2661</v>
      </c>
      <c r="F40" s="104">
        <f t="shared" si="2"/>
        <v>6.8009824493248851E-3</v>
      </c>
      <c r="G40" s="104">
        <f t="shared" si="3"/>
        <v>263.19802078887307</v>
      </c>
      <c r="H40" s="104">
        <v>4</v>
      </c>
      <c r="I40" s="104">
        <f t="shared" si="4"/>
        <v>471.24</v>
      </c>
      <c r="J40" s="104">
        <f t="shared" si="5"/>
        <v>739.96036453887314</v>
      </c>
      <c r="K40" s="104">
        <f t="shared" si="6"/>
        <v>4089.0625</v>
      </c>
      <c r="L40" s="7">
        <v>0</v>
      </c>
      <c r="M40" s="104">
        <v>0</v>
      </c>
      <c r="N40" s="104">
        <v>0</v>
      </c>
      <c r="O40" s="104">
        <v>0</v>
      </c>
      <c r="P40" s="109"/>
      <c r="Q40" s="109"/>
      <c r="R40" s="109">
        <f t="shared" si="7"/>
        <v>4829.0228645388734</v>
      </c>
      <c r="S40" s="107"/>
      <c r="T40" s="110"/>
    </row>
    <row r="41" spans="1:20" ht="12.75" customHeight="1">
      <c r="A41" s="104" t="s">
        <v>105</v>
      </c>
      <c r="B41" s="13" t="s">
        <v>106</v>
      </c>
      <c r="C41" s="9">
        <v>9232.5</v>
      </c>
      <c r="D41" s="104">
        <f t="shared" si="0"/>
        <v>0</v>
      </c>
      <c r="E41" s="104">
        <f t="shared" si="1"/>
        <v>9232.5</v>
      </c>
      <c r="F41" s="104">
        <f t="shared" si="2"/>
        <v>2.3596418813751224E-2</v>
      </c>
      <c r="G41" s="104">
        <f t="shared" si="3"/>
        <v>913.18140809217232</v>
      </c>
      <c r="H41" s="104">
        <v>3</v>
      </c>
      <c r="I41" s="104">
        <f t="shared" si="4"/>
        <v>353.43</v>
      </c>
      <c r="J41" s="104">
        <f t="shared" si="5"/>
        <v>1272.1337518421724</v>
      </c>
      <c r="K41" s="104">
        <f t="shared" si="6"/>
        <v>4089.0625</v>
      </c>
      <c r="L41" s="7">
        <v>0</v>
      </c>
      <c r="M41" s="104">
        <v>0</v>
      </c>
      <c r="N41" s="104">
        <v>0</v>
      </c>
      <c r="O41" s="104">
        <v>0</v>
      </c>
      <c r="P41" s="109"/>
      <c r="Q41" s="109"/>
      <c r="R41" s="109">
        <f t="shared" si="7"/>
        <v>5361.1962518421724</v>
      </c>
      <c r="S41" s="107"/>
      <c r="T41" s="110"/>
    </row>
    <row r="42" spans="1:20" ht="12.75" customHeight="1">
      <c r="A42" s="104" t="s">
        <v>107</v>
      </c>
      <c r="B42" s="13" t="s">
        <v>108</v>
      </c>
      <c r="C42" s="9">
        <v>1730.5</v>
      </c>
      <c r="D42" s="104">
        <f t="shared" si="0"/>
        <v>0</v>
      </c>
      <c r="E42" s="104">
        <f t="shared" si="1"/>
        <v>1730.5</v>
      </c>
      <c r="F42" s="104">
        <f t="shared" si="2"/>
        <v>4.4228110216297314E-3</v>
      </c>
      <c r="G42" s="104">
        <f t="shared" si="3"/>
        <v>171.16278653707062</v>
      </c>
      <c r="H42" s="104">
        <v>3</v>
      </c>
      <c r="I42" s="104">
        <f t="shared" si="4"/>
        <v>353.43</v>
      </c>
      <c r="J42" s="104">
        <f t="shared" si="5"/>
        <v>530.11513028707066</v>
      </c>
      <c r="K42" s="104">
        <f t="shared" si="6"/>
        <v>4089.0625</v>
      </c>
      <c r="L42" s="7">
        <v>0</v>
      </c>
      <c r="M42" s="104">
        <v>0</v>
      </c>
      <c r="N42" s="104">
        <v>0</v>
      </c>
      <c r="O42" s="104">
        <v>0</v>
      </c>
      <c r="P42" s="109"/>
      <c r="Q42" s="109"/>
      <c r="R42" s="109">
        <f t="shared" si="7"/>
        <v>4619.1776302870703</v>
      </c>
      <c r="S42" s="107"/>
      <c r="T42" s="110"/>
    </row>
    <row r="43" spans="1:20" ht="12.75" customHeight="1">
      <c r="A43" s="104" t="s">
        <v>109</v>
      </c>
      <c r="B43" s="30" t="s">
        <v>110</v>
      </c>
      <c r="C43" s="9">
        <v>1130.5</v>
      </c>
      <c r="D43" s="104">
        <f t="shared" si="0"/>
        <v>0</v>
      </c>
      <c r="E43" s="104">
        <f t="shared" si="1"/>
        <v>1130.5</v>
      </c>
      <c r="F43" s="104">
        <f t="shared" si="2"/>
        <v>2.8893313261787986E-3</v>
      </c>
      <c r="G43" s="104">
        <f t="shared" si="3"/>
        <v>111.81712232311951</v>
      </c>
      <c r="H43" s="104">
        <v>3</v>
      </c>
      <c r="I43" s="104">
        <f t="shared" si="4"/>
        <v>353.43</v>
      </c>
      <c r="J43" s="104">
        <f t="shared" si="5"/>
        <v>470.76946607311953</v>
      </c>
      <c r="K43" s="104">
        <f t="shared" si="6"/>
        <v>4089.0625</v>
      </c>
      <c r="L43" s="7">
        <v>0</v>
      </c>
      <c r="M43" s="104">
        <v>0</v>
      </c>
      <c r="N43" s="104">
        <v>0</v>
      </c>
      <c r="O43" s="104">
        <v>0</v>
      </c>
      <c r="P43" s="109"/>
      <c r="Q43" s="109"/>
      <c r="R43" s="109">
        <f t="shared" si="7"/>
        <v>4559.8319660731195</v>
      </c>
      <c r="S43" s="107"/>
      <c r="T43" s="110"/>
    </row>
    <row r="44" spans="1:20" ht="12.75" customHeight="1">
      <c r="A44" s="104" t="s">
        <v>111</v>
      </c>
      <c r="B44" s="13" t="s">
        <v>112</v>
      </c>
      <c r="C44" s="9">
        <v>4319</v>
      </c>
      <c r="D44" s="104">
        <f t="shared" si="0"/>
        <v>0</v>
      </c>
      <c r="E44" s="104">
        <f t="shared" si="1"/>
        <v>4319</v>
      </c>
      <c r="F44" s="104">
        <f t="shared" si="2"/>
        <v>1.1038498007754296E-2</v>
      </c>
      <c r="G44" s="104">
        <f t="shared" si="3"/>
        <v>427.18987290009125</v>
      </c>
      <c r="H44" s="104">
        <v>3</v>
      </c>
      <c r="I44" s="104">
        <f t="shared" si="4"/>
        <v>353.43</v>
      </c>
      <c r="J44" s="104">
        <f t="shared" si="5"/>
        <v>786.14221665009131</v>
      </c>
      <c r="K44" s="104">
        <f t="shared" si="6"/>
        <v>4089.0625</v>
      </c>
      <c r="L44" s="7">
        <v>0</v>
      </c>
      <c r="M44" s="104">
        <v>0</v>
      </c>
      <c r="N44" s="104">
        <v>0</v>
      </c>
      <c r="O44" s="104">
        <v>0</v>
      </c>
      <c r="P44" s="109"/>
      <c r="Q44" s="109"/>
      <c r="R44" s="109">
        <f t="shared" si="7"/>
        <v>4875.2047166500915</v>
      </c>
      <c r="S44" s="107"/>
      <c r="T44" s="110"/>
    </row>
    <row r="45" spans="1:20" ht="12.75" customHeight="1">
      <c r="A45" s="104" t="s">
        <v>113</v>
      </c>
      <c r="B45" s="13" t="s">
        <v>114</v>
      </c>
      <c r="C45" s="9">
        <v>11231.5</v>
      </c>
      <c r="D45" s="104">
        <f t="shared" si="0"/>
        <v>0</v>
      </c>
      <c r="E45" s="104">
        <f t="shared" si="1"/>
        <v>11231.5</v>
      </c>
      <c r="F45" s="104">
        <f t="shared" si="2"/>
        <v>2.8705461999095246E-2</v>
      </c>
      <c r="G45" s="104">
        <f t="shared" si="3"/>
        <v>1110.901379364986</v>
      </c>
      <c r="H45" s="104">
        <v>3</v>
      </c>
      <c r="I45" s="104">
        <f t="shared" si="4"/>
        <v>353.43</v>
      </c>
      <c r="J45" s="104">
        <f t="shared" si="5"/>
        <v>1469.853723114986</v>
      </c>
      <c r="K45" s="104">
        <f t="shared" si="6"/>
        <v>4089.0625</v>
      </c>
      <c r="L45" s="7">
        <v>0</v>
      </c>
      <c r="M45" s="104">
        <v>0</v>
      </c>
      <c r="N45" s="104">
        <v>0</v>
      </c>
      <c r="O45" s="104">
        <v>0</v>
      </c>
      <c r="P45" s="109"/>
      <c r="Q45" s="109"/>
      <c r="R45" s="109">
        <f t="shared" si="7"/>
        <v>5558.9162231149858</v>
      </c>
      <c r="S45" s="107"/>
      <c r="T45" s="110"/>
    </row>
    <row r="46" spans="1:20" ht="12.75" customHeight="1">
      <c r="A46" s="104" t="s">
        <v>115</v>
      </c>
      <c r="B46" s="13" t="s">
        <v>116</v>
      </c>
      <c r="C46" s="9">
        <v>8536</v>
      </c>
      <c r="D46" s="104">
        <f t="shared" si="0"/>
        <v>0</v>
      </c>
      <c r="E46" s="104">
        <f t="shared" si="1"/>
        <v>8536</v>
      </c>
      <c r="F46" s="104">
        <f t="shared" si="2"/>
        <v>2.1816304467281934E-2</v>
      </c>
      <c r="G46" s="104">
        <f t="shared" si="3"/>
        <v>844.29098288381078</v>
      </c>
      <c r="H46" s="104">
        <v>4</v>
      </c>
      <c r="I46" s="104">
        <f t="shared" si="4"/>
        <v>471.24</v>
      </c>
      <c r="J46" s="104">
        <f t="shared" si="5"/>
        <v>1321.0533266338107</v>
      </c>
      <c r="K46" s="104">
        <f t="shared" si="6"/>
        <v>4089.0625</v>
      </c>
      <c r="L46" s="7">
        <v>0</v>
      </c>
      <c r="M46" s="104">
        <v>0</v>
      </c>
      <c r="N46" s="104">
        <v>0</v>
      </c>
      <c r="O46" s="104">
        <v>0</v>
      </c>
      <c r="P46" s="109"/>
      <c r="Q46" s="109"/>
      <c r="R46" s="109">
        <f t="shared" si="7"/>
        <v>5410.1158266338107</v>
      </c>
      <c r="S46" s="107"/>
      <c r="T46" s="110"/>
    </row>
    <row r="47" spans="1:20" ht="12.75" customHeight="1">
      <c r="A47" s="104" t="s">
        <v>117</v>
      </c>
      <c r="B47" s="13" t="s">
        <v>118</v>
      </c>
      <c r="C47" s="9">
        <v>139.5</v>
      </c>
      <c r="D47" s="104">
        <f t="shared" si="0"/>
        <v>0</v>
      </c>
      <c r="E47" s="104">
        <f t="shared" si="1"/>
        <v>139.5</v>
      </c>
      <c r="F47" s="104">
        <f t="shared" si="2"/>
        <v>3.5653402919234178E-4</v>
      </c>
      <c r="G47" s="104">
        <f t="shared" si="3"/>
        <v>13.797866929743627</v>
      </c>
      <c r="H47" s="104">
        <v>3</v>
      </c>
      <c r="I47" s="104">
        <f t="shared" si="4"/>
        <v>353.43</v>
      </c>
      <c r="J47" s="104">
        <f t="shared" si="5"/>
        <v>372.75021067974365</v>
      </c>
      <c r="K47" s="104">
        <f t="shared" si="6"/>
        <v>4089.0625</v>
      </c>
      <c r="L47" s="7">
        <v>0</v>
      </c>
      <c r="M47" s="104">
        <v>0</v>
      </c>
      <c r="N47" s="104">
        <v>0</v>
      </c>
      <c r="O47" s="104">
        <v>0</v>
      </c>
      <c r="P47" s="109"/>
      <c r="Q47" s="109"/>
      <c r="R47" s="109">
        <f t="shared" si="7"/>
        <v>4461.8127106797438</v>
      </c>
      <c r="S47" s="107"/>
      <c r="T47" s="110"/>
    </row>
    <row r="48" spans="1:20" ht="12.75" customHeight="1">
      <c r="A48" s="104" t="s">
        <v>119</v>
      </c>
      <c r="B48" s="13" t="s">
        <v>120</v>
      </c>
      <c r="C48" s="9">
        <v>6145</v>
      </c>
      <c r="D48" s="104">
        <f t="shared" si="0"/>
        <v>0</v>
      </c>
      <c r="E48" s="104">
        <f t="shared" si="1"/>
        <v>6145</v>
      </c>
      <c r="F48" s="104">
        <f t="shared" si="2"/>
        <v>1.5705387880909968E-2</v>
      </c>
      <c r="G48" s="104">
        <f t="shared" si="3"/>
        <v>607.79851099121572</v>
      </c>
      <c r="H48" s="104">
        <v>3</v>
      </c>
      <c r="I48" s="104">
        <f t="shared" si="4"/>
        <v>353.43</v>
      </c>
      <c r="J48" s="104">
        <f t="shared" si="5"/>
        <v>966.75085474121579</v>
      </c>
      <c r="K48" s="104">
        <f t="shared" si="6"/>
        <v>4089.0625</v>
      </c>
      <c r="L48" s="7">
        <v>0</v>
      </c>
      <c r="M48" s="104">
        <v>0</v>
      </c>
      <c r="N48" s="104">
        <v>0</v>
      </c>
      <c r="O48" s="104">
        <v>0</v>
      </c>
      <c r="P48" s="109"/>
      <c r="Q48" s="109"/>
      <c r="R48" s="109">
        <f t="shared" si="7"/>
        <v>5055.8133547412162</v>
      </c>
      <c r="S48" s="107"/>
      <c r="T48" s="110"/>
    </row>
    <row r="49" spans="1:20" ht="12.75" customHeight="1">
      <c r="A49" s="104" t="s">
        <v>121</v>
      </c>
      <c r="B49" s="13" t="s">
        <v>122</v>
      </c>
      <c r="C49" s="9">
        <v>2424</v>
      </c>
      <c r="D49" s="104">
        <f t="shared" si="0"/>
        <v>0</v>
      </c>
      <c r="E49" s="104">
        <f t="shared" si="1"/>
        <v>2424</v>
      </c>
      <c r="F49" s="104">
        <f t="shared" si="2"/>
        <v>6.1952579696217674E-3</v>
      </c>
      <c r="G49" s="104">
        <f t="shared" si="3"/>
        <v>239.75648342436239</v>
      </c>
      <c r="H49" s="104">
        <v>3</v>
      </c>
      <c r="I49" s="104">
        <f t="shared" si="4"/>
        <v>353.43</v>
      </c>
      <c r="J49" s="104">
        <f t="shared" si="5"/>
        <v>598.70882717436234</v>
      </c>
      <c r="K49" s="104">
        <f t="shared" si="6"/>
        <v>4089.0625</v>
      </c>
      <c r="L49" s="7">
        <v>0</v>
      </c>
      <c r="M49" s="104">
        <v>0</v>
      </c>
      <c r="N49" s="104">
        <v>0</v>
      </c>
      <c r="O49" s="104">
        <v>0</v>
      </c>
      <c r="P49" s="109"/>
      <c r="Q49" s="109"/>
      <c r="R49" s="109">
        <f t="shared" si="7"/>
        <v>4687.7713271743623</v>
      </c>
      <c r="S49" s="107"/>
      <c r="T49" s="110"/>
    </row>
    <row r="50" spans="1:20" ht="12.75" customHeight="1">
      <c r="A50" s="104" t="s">
        <v>123</v>
      </c>
      <c r="B50" s="13" t="s">
        <v>124</v>
      </c>
      <c r="C50" s="9">
        <v>7</v>
      </c>
      <c r="D50" s="104">
        <f t="shared" si="0"/>
        <v>0</v>
      </c>
      <c r="E50" s="104">
        <f t="shared" si="1"/>
        <v>7</v>
      </c>
      <c r="F50" s="104">
        <f t="shared" si="2"/>
        <v>1.7890596446927546E-5</v>
      </c>
      <c r="G50" s="104">
        <f t="shared" si="3"/>
        <v>0.69236608249609599</v>
      </c>
      <c r="H50" s="104">
        <v>4</v>
      </c>
      <c r="I50" s="104">
        <f t="shared" si="4"/>
        <v>471.24</v>
      </c>
      <c r="J50" s="104">
        <f t="shared" si="5"/>
        <v>477.45470983249612</v>
      </c>
      <c r="K50" s="104">
        <f t="shared" si="6"/>
        <v>4089.0625</v>
      </c>
      <c r="L50" s="7">
        <v>0</v>
      </c>
      <c r="M50" s="104">
        <v>0</v>
      </c>
      <c r="N50" s="104">
        <v>0</v>
      </c>
      <c r="O50" s="104">
        <v>0</v>
      </c>
      <c r="P50" s="109"/>
      <c r="Q50" s="109"/>
      <c r="R50" s="109">
        <f t="shared" si="7"/>
        <v>4566.5172098324965</v>
      </c>
      <c r="S50" s="107"/>
      <c r="T50" s="110"/>
    </row>
    <row r="51" spans="1:20" ht="12.75" customHeight="1">
      <c r="A51" s="104" t="s">
        <v>125</v>
      </c>
      <c r="B51" s="13" t="s">
        <v>126</v>
      </c>
      <c r="C51" s="9">
        <v>1375.5</v>
      </c>
      <c r="D51" s="104">
        <f t="shared" si="0"/>
        <v>0</v>
      </c>
      <c r="E51" s="104">
        <f t="shared" si="1"/>
        <v>1375.5</v>
      </c>
      <c r="F51" s="104">
        <f t="shared" si="2"/>
        <v>3.5155022018212626E-3</v>
      </c>
      <c r="G51" s="104">
        <f t="shared" si="3"/>
        <v>136.04993521048286</v>
      </c>
      <c r="H51" s="104">
        <v>4</v>
      </c>
      <c r="I51" s="104">
        <f t="shared" si="4"/>
        <v>471.24</v>
      </c>
      <c r="J51" s="104">
        <f t="shared" si="5"/>
        <v>612.8122789604829</v>
      </c>
      <c r="K51" s="104">
        <f t="shared" si="6"/>
        <v>4089.0625</v>
      </c>
      <c r="L51" s="7">
        <v>0</v>
      </c>
      <c r="M51" s="104">
        <v>0</v>
      </c>
      <c r="N51" s="104">
        <v>0</v>
      </c>
      <c r="O51" s="104">
        <v>0</v>
      </c>
      <c r="P51" s="109"/>
      <c r="Q51" s="109"/>
      <c r="R51" s="109">
        <f t="shared" si="7"/>
        <v>4701.8747789604831</v>
      </c>
      <c r="S51" s="107"/>
      <c r="T51" s="110"/>
    </row>
    <row r="52" spans="1:20" ht="12.75" customHeight="1">
      <c r="A52" s="104" t="s">
        <v>127</v>
      </c>
      <c r="B52" s="13" t="s">
        <v>128</v>
      </c>
      <c r="C52" s="9">
        <v>11304</v>
      </c>
      <c r="D52" s="104">
        <f t="shared" si="0"/>
        <v>0</v>
      </c>
      <c r="E52" s="104">
        <f t="shared" si="1"/>
        <v>11304</v>
      </c>
      <c r="F52" s="104">
        <f t="shared" si="2"/>
        <v>2.8890757462295569E-2</v>
      </c>
      <c r="G52" s="104">
        <f t="shared" si="3"/>
        <v>1118.0723137908385</v>
      </c>
      <c r="H52" s="104">
        <v>4</v>
      </c>
      <c r="I52" s="104">
        <f t="shared" si="4"/>
        <v>471.24</v>
      </c>
      <c r="J52" s="104">
        <f t="shared" si="5"/>
        <v>1594.8346575408384</v>
      </c>
      <c r="K52" s="104">
        <f t="shared" si="6"/>
        <v>4089.0625</v>
      </c>
      <c r="L52" s="7">
        <v>0</v>
      </c>
      <c r="M52" s="104">
        <v>0</v>
      </c>
      <c r="N52" s="104">
        <v>0</v>
      </c>
      <c r="O52" s="104">
        <v>0</v>
      </c>
      <c r="P52" s="109"/>
      <c r="Q52" s="109"/>
      <c r="R52" s="109">
        <f t="shared" si="7"/>
        <v>5683.8971575408386</v>
      </c>
      <c r="S52" s="107"/>
      <c r="T52" s="110"/>
    </row>
    <row r="53" spans="1:20" ht="12.75" customHeight="1">
      <c r="A53" s="104" t="s">
        <v>129</v>
      </c>
      <c r="B53" s="13" t="s">
        <v>130</v>
      </c>
      <c r="C53" s="9">
        <v>3482.5</v>
      </c>
      <c r="D53" s="104">
        <f t="shared" si="0"/>
        <v>0</v>
      </c>
      <c r="E53" s="104">
        <f t="shared" si="1"/>
        <v>3482.5</v>
      </c>
      <c r="F53" s="104">
        <f t="shared" si="2"/>
        <v>8.9005717323464538E-3</v>
      </c>
      <c r="G53" s="104">
        <f t="shared" si="3"/>
        <v>344.45212604180779</v>
      </c>
      <c r="H53" s="104">
        <v>3</v>
      </c>
      <c r="I53" s="104">
        <f t="shared" si="4"/>
        <v>353.43</v>
      </c>
      <c r="J53" s="104">
        <f t="shared" si="5"/>
        <v>703.40446979180774</v>
      </c>
      <c r="K53" s="104">
        <f t="shared" si="6"/>
        <v>4089.0625</v>
      </c>
      <c r="L53" s="7">
        <v>0</v>
      </c>
      <c r="M53" s="104">
        <v>0</v>
      </c>
      <c r="N53" s="104">
        <v>0</v>
      </c>
      <c r="O53" s="104">
        <v>0</v>
      </c>
      <c r="P53" s="109"/>
      <c r="Q53" s="109"/>
      <c r="R53" s="109">
        <f t="shared" si="7"/>
        <v>4792.466969791808</v>
      </c>
      <c r="S53" s="107"/>
      <c r="T53" s="110"/>
    </row>
    <row r="54" spans="1:20" ht="12.75" customHeight="1">
      <c r="A54" s="104" t="s">
        <v>131</v>
      </c>
      <c r="B54" s="13" t="s">
        <v>132</v>
      </c>
      <c r="C54" s="9">
        <v>15012.5</v>
      </c>
      <c r="D54" s="104">
        <f t="shared" si="0"/>
        <v>0</v>
      </c>
      <c r="E54" s="104">
        <f t="shared" si="1"/>
        <v>15012.5</v>
      </c>
      <c r="F54" s="104">
        <f t="shared" si="2"/>
        <v>3.8368939879928537E-2</v>
      </c>
      <c r="G54" s="104">
        <f t="shared" si="3"/>
        <v>1484.8779733532344</v>
      </c>
      <c r="H54" s="104">
        <v>3</v>
      </c>
      <c r="I54" s="104">
        <f t="shared" si="4"/>
        <v>353.43</v>
      </c>
      <c r="J54" s="104">
        <f t="shared" si="5"/>
        <v>1843.8303171032344</v>
      </c>
      <c r="K54" s="104">
        <f t="shared" si="6"/>
        <v>4089.0625</v>
      </c>
      <c r="L54" s="7">
        <v>0</v>
      </c>
      <c r="M54" s="104">
        <v>0</v>
      </c>
      <c r="N54" s="104">
        <v>0</v>
      </c>
      <c r="O54" s="104">
        <v>0</v>
      </c>
      <c r="P54" s="109"/>
      <c r="Q54" s="109"/>
      <c r="R54" s="109">
        <f t="shared" si="7"/>
        <v>5932.8928171032348</v>
      </c>
      <c r="S54" s="107"/>
      <c r="T54" s="110"/>
    </row>
    <row r="55" spans="1:20" ht="12.75" customHeight="1">
      <c r="A55" s="104" t="s">
        <v>133</v>
      </c>
      <c r="B55" s="13" t="s">
        <v>134</v>
      </c>
      <c r="C55" s="9">
        <v>13104</v>
      </c>
      <c r="D55" s="104">
        <f t="shared" si="0"/>
        <v>0</v>
      </c>
      <c r="E55" s="104">
        <f t="shared" si="1"/>
        <v>13104</v>
      </c>
      <c r="F55" s="104">
        <f t="shared" si="2"/>
        <v>3.3491196548648364E-2</v>
      </c>
      <c r="G55" s="104">
        <f t="shared" si="3"/>
        <v>1296.1093064326917</v>
      </c>
      <c r="H55" s="104">
        <v>4</v>
      </c>
      <c r="I55" s="104">
        <f t="shared" si="4"/>
        <v>471.24</v>
      </c>
      <c r="J55" s="104">
        <f t="shared" si="5"/>
        <v>1772.8716501826916</v>
      </c>
      <c r="K55" s="104">
        <f t="shared" si="6"/>
        <v>4089.0625</v>
      </c>
      <c r="L55" s="7">
        <v>0</v>
      </c>
      <c r="M55" s="104">
        <v>0</v>
      </c>
      <c r="N55" s="104">
        <v>0</v>
      </c>
      <c r="O55" s="104">
        <v>0</v>
      </c>
      <c r="P55" s="109"/>
      <c r="Q55" s="109"/>
      <c r="R55" s="109">
        <f t="shared" si="7"/>
        <v>5861.9341501826912</v>
      </c>
      <c r="S55" s="107"/>
      <c r="T55" s="110"/>
    </row>
    <row r="56" spans="1:20" ht="12.75" customHeight="1">
      <c r="A56" s="104" t="s">
        <v>135</v>
      </c>
      <c r="B56" s="13" t="s">
        <v>136</v>
      </c>
      <c r="C56" s="9">
        <v>7178.5</v>
      </c>
      <c r="D56" s="104">
        <f t="shared" si="0"/>
        <v>0</v>
      </c>
      <c r="E56" s="104">
        <f t="shared" si="1"/>
        <v>7178.5</v>
      </c>
      <c r="F56" s="104">
        <f t="shared" si="2"/>
        <v>1.8346806656324197E-2</v>
      </c>
      <c r="G56" s="104">
        <f t="shared" si="3"/>
        <v>710.02141759974643</v>
      </c>
      <c r="H56" s="104">
        <v>4</v>
      </c>
      <c r="I56" s="104">
        <f t="shared" si="4"/>
        <v>471.24</v>
      </c>
      <c r="J56" s="104">
        <f t="shared" si="5"/>
        <v>1186.7837613497463</v>
      </c>
      <c r="K56" s="104">
        <f t="shared" si="6"/>
        <v>4089.0625</v>
      </c>
      <c r="L56" s="7">
        <v>0</v>
      </c>
      <c r="M56" s="104">
        <v>0</v>
      </c>
      <c r="N56" s="104">
        <v>0</v>
      </c>
      <c r="O56" s="104">
        <v>0</v>
      </c>
      <c r="P56" s="109"/>
      <c r="Q56" s="109"/>
      <c r="R56" s="109">
        <f t="shared" si="7"/>
        <v>5275.8462613497468</v>
      </c>
      <c r="S56" s="107"/>
      <c r="T56" s="110"/>
    </row>
    <row r="57" spans="1:20" ht="12.75" customHeight="1">
      <c r="A57" s="104" t="s">
        <v>137</v>
      </c>
      <c r="B57" s="13" t="s">
        <v>138</v>
      </c>
      <c r="C57" s="9">
        <v>10182</v>
      </c>
      <c r="D57" s="104">
        <f t="shared" si="0"/>
        <v>0</v>
      </c>
      <c r="E57" s="104">
        <f t="shared" si="1"/>
        <v>10182</v>
      </c>
      <c r="F57" s="104">
        <f t="shared" si="2"/>
        <v>2.6023150431802325E-2</v>
      </c>
      <c r="G57" s="104">
        <f t="shared" si="3"/>
        <v>1007.09592171075</v>
      </c>
      <c r="H57" s="104">
        <v>4</v>
      </c>
      <c r="I57" s="104">
        <f t="shared" si="4"/>
        <v>471.24</v>
      </c>
      <c r="J57" s="104">
        <f t="shared" si="5"/>
        <v>1483.8582654607499</v>
      </c>
      <c r="K57" s="104">
        <f t="shared" si="6"/>
        <v>4089.0625</v>
      </c>
      <c r="L57" s="7">
        <v>0</v>
      </c>
      <c r="M57" s="104">
        <v>0</v>
      </c>
      <c r="N57" s="104">
        <v>0</v>
      </c>
      <c r="O57" s="104">
        <v>0</v>
      </c>
      <c r="P57" s="109"/>
      <c r="Q57" s="109"/>
      <c r="R57" s="109">
        <f t="shared" si="7"/>
        <v>5572.9207654607499</v>
      </c>
      <c r="S57" s="107"/>
      <c r="T57" s="110"/>
    </row>
    <row r="58" spans="1:20" ht="12.75" customHeight="1">
      <c r="A58" s="104" t="s">
        <v>139</v>
      </c>
      <c r="B58" s="13" t="s">
        <v>140</v>
      </c>
      <c r="C58" s="9">
        <v>640</v>
      </c>
      <c r="D58" s="104">
        <f t="shared" si="0"/>
        <v>0</v>
      </c>
      <c r="E58" s="104">
        <f t="shared" si="1"/>
        <v>640</v>
      </c>
      <c r="F58" s="104">
        <f t="shared" si="2"/>
        <v>1.6357116751476613E-3</v>
      </c>
      <c r="G58" s="104">
        <f t="shared" si="3"/>
        <v>63.302041828214492</v>
      </c>
      <c r="H58" s="104">
        <v>3</v>
      </c>
      <c r="I58" s="104">
        <f t="shared" si="4"/>
        <v>353.43</v>
      </c>
      <c r="J58" s="104">
        <f t="shared" si="5"/>
        <v>422.25438557821451</v>
      </c>
      <c r="K58" s="104">
        <f t="shared" si="6"/>
        <v>4089.0625</v>
      </c>
      <c r="L58" s="7">
        <v>0</v>
      </c>
      <c r="M58" s="104">
        <v>0</v>
      </c>
      <c r="N58" s="104">
        <v>0</v>
      </c>
      <c r="O58" s="104">
        <v>0</v>
      </c>
      <c r="P58" s="109"/>
      <c r="Q58" s="109"/>
      <c r="R58" s="109">
        <f t="shared" si="7"/>
        <v>4511.3168855782142</v>
      </c>
      <c r="S58" s="107"/>
      <c r="T58" s="110"/>
    </row>
    <row r="59" spans="1:20" ht="12.75" customHeight="1">
      <c r="A59" s="104" t="s">
        <v>141</v>
      </c>
      <c r="B59" s="13" t="s">
        <v>142</v>
      </c>
      <c r="C59" s="9">
        <v>15213.5</v>
      </c>
      <c r="D59" s="104">
        <f t="shared" si="0"/>
        <v>0</v>
      </c>
      <c r="E59" s="104">
        <f t="shared" si="1"/>
        <v>15213.5</v>
      </c>
      <c r="F59" s="104">
        <f t="shared" si="2"/>
        <v>3.8882655577904601E-2</v>
      </c>
      <c r="G59" s="104">
        <f t="shared" si="3"/>
        <v>1504.758770864908</v>
      </c>
      <c r="H59" s="104">
        <v>3</v>
      </c>
      <c r="I59" s="104">
        <f t="shared" si="4"/>
        <v>353.43</v>
      </c>
      <c r="J59" s="104">
        <f t="shared" si="5"/>
        <v>1863.711114614908</v>
      </c>
      <c r="K59" s="104">
        <f t="shared" si="6"/>
        <v>4089.0625</v>
      </c>
      <c r="L59" s="7">
        <v>0</v>
      </c>
      <c r="M59" s="104">
        <v>0</v>
      </c>
      <c r="N59" s="104">
        <v>0</v>
      </c>
      <c r="O59" s="104">
        <v>0</v>
      </c>
      <c r="P59" s="109"/>
      <c r="Q59" s="109"/>
      <c r="R59" s="109">
        <f t="shared" si="7"/>
        <v>5952.7736146149082</v>
      </c>
      <c r="S59" s="107"/>
      <c r="T59" s="110"/>
    </row>
    <row r="60" spans="1:20" ht="12.75" customHeight="1">
      <c r="A60" s="104" t="s">
        <v>143</v>
      </c>
      <c r="B60" s="13" t="s">
        <v>144</v>
      </c>
      <c r="C60" s="9">
        <v>515.5</v>
      </c>
      <c r="D60" s="104">
        <f t="shared" si="0"/>
        <v>0</v>
      </c>
      <c r="E60" s="104">
        <f t="shared" si="1"/>
        <v>515.5</v>
      </c>
      <c r="F60" s="104">
        <f t="shared" si="2"/>
        <v>1.3175146383415928E-3</v>
      </c>
      <c r="G60" s="104">
        <f t="shared" si="3"/>
        <v>50.987816503819644</v>
      </c>
      <c r="H60" s="104">
        <v>3</v>
      </c>
      <c r="I60" s="104">
        <f t="shared" si="4"/>
        <v>353.43</v>
      </c>
      <c r="J60" s="104">
        <f t="shared" si="5"/>
        <v>409.94016025381967</v>
      </c>
      <c r="K60" s="104">
        <f t="shared" si="6"/>
        <v>4089.0625</v>
      </c>
      <c r="L60" s="7">
        <v>0</v>
      </c>
      <c r="M60" s="104">
        <v>0</v>
      </c>
      <c r="N60" s="104">
        <v>0</v>
      </c>
      <c r="O60" s="104">
        <v>0</v>
      </c>
      <c r="P60" s="109"/>
      <c r="Q60" s="109"/>
      <c r="R60" s="109">
        <f t="shared" si="7"/>
        <v>4499.0026602538201</v>
      </c>
      <c r="S60" s="107"/>
      <c r="T60" s="110"/>
    </row>
    <row r="61" spans="1:20" ht="12.75" customHeight="1">
      <c r="A61" s="104" t="s">
        <v>145</v>
      </c>
      <c r="B61" s="13" t="s">
        <v>146</v>
      </c>
      <c r="C61" s="9">
        <v>3319</v>
      </c>
      <c r="D61" s="104">
        <f t="shared" si="0"/>
        <v>0</v>
      </c>
      <c r="E61" s="104">
        <f t="shared" si="1"/>
        <v>3319</v>
      </c>
      <c r="F61" s="104">
        <f t="shared" si="2"/>
        <v>8.4826985153360745E-3</v>
      </c>
      <c r="G61" s="104">
        <f t="shared" si="3"/>
        <v>328.28043254350609</v>
      </c>
      <c r="H61" s="104">
        <v>3</v>
      </c>
      <c r="I61" s="104">
        <f t="shared" si="4"/>
        <v>353.43</v>
      </c>
      <c r="J61" s="104">
        <f t="shared" si="5"/>
        <v>687.23277629350605</v>
      </c>
      <c r="K61" s="104">
        <f t="shared" si="6"/>
        <v>4089.0625</v>
      </c>
      <c r="L61" s="7">
        <v>0</v>
      </c>
      <c r="M61" s="104">
        <v>0</v>
      </c>
      <c r="N61" s="104">
        <v>0</v>
      </c>
      <c r="O61" s="104">
        <v>0</v>
      </c>
      <c r="P61" s="109"/>
      <c r="Q61" s="109"/>
      <c r="R61" s="109">
        <f t="shared" si="7"/>
        <v>4776.2952762935056</v>
      </c>
      <c r="S61" s="107"/>
      <c r="T61" s="110"/>
    </row>
    <row r="62" spans="1:20" ht="12.75" customHeight="1">
      <c r="A62" s="104" t="s">
        <v>147</v>
      </c>
      <c r="B62" s="13" t="s">
        <v>148</v>
      </c>
      <c r="C62" s="9">
        <v>936.5</v>
      </c>
      <c r="D62" s="104">
        <f t="shared" si="0"/>
        <v>0</v>
      </c>
      <c r="E62" s="104">
        <f t="shared" si="1"/>
        <v>936.5</v>
      </c>
      <c r="F62" s="104">
        <f t="shared" si="2"/>
        <v>2.393506224649664E-3</v>
      </c>
      <c r="G62" s="104">
        <f t="shared" si="3"/>
        <v>92.628690893941993</v>
      </c>
      <c r="H62" s="104">
        <v>4</v>
      </c>
      <c r="I62" s="104">
        <f t="shared" si="4"/>
        <v>471.24</v>
      </c>
      <c r="J62" s="104">
        <f t="shared" si="5"/>
        <v>569.39103464394202</v>
      </c>
      <c r="K62" s="104">
        <f t="shared" si="6"/>
        <v>4089.0625</v>
      </c>
      <c r="L62" s="7">
        <v>0</v>
      </c>
      <c r="M62" s="104">
        <v>0</v>
      </c>
      <c r="N62" s="104">
        <v>0</v>
      </c>
      <c r="O62" s="104">
        <v>0</v>
      </c>
      <c r="P62" s="109"/>
      <c r="Q62" s="109"/>
      <c r="R62" s="109">
        <f t="shared" si="7"/>
        <v>4658.4535346439425</v>
      </c>
      <c r="S62" s="107"/>
      <c r="T62" s="110"/>
    </row>
    <row r="63" spans="1:20" ht="12.75" customHeight="1">
      <c r="A63" s="104" t="s">
        <v>149</v>
      </c>
      <c r="B63" s="13" t="s">
        <v>36</v>
      </c>
      <c r="C63" s="9">
        <v>7301.5</v>
      </c>
      <c r="D63" s="104">
        <f t="shared" si="0"/>
        <v>0</v>
      </c>
      <c r="E63" s="104">
        <f t="shared" si="1"/>
        <v>7301.5</v>
      </c>
      <c r="F63" s="104">
        <f t="shared" si="2"/>
        <v>1.8661169993891641E-2</v>
      </c>
      <c r="G63" s="104">
        <f t="shared" si="3"/>
        <v>722.18727876360651</v>
      </c>
      <c r="H63" s="104">
        <v>3</v>
      </c>
      <c r="I63" s="104">
        <f t="shared" si="4"/>
        <v>353.43</v>
      </c>
      <c r="J63" s="104">
        <f t="shared" si="5"/>
        <v>1081.1396225136066</v>
      </c>
      <c r="K63" s="104">
        <f t="shared" si="6"/>
        <v>4089.0625</v>
      </c>
      <c r="L63" s="7">
        <v>750</v>
      </c>
      <c r="M63" s="104">
        <v>0</v>
      </c>
      <c r="N63" s="104">
        <v>0</v>
      </c>
      <c r="O63" s="104">
        <v>0</v>
      </c>
      <c r="P63" s="109"/>
      <c r="Q63" s="109"/>
      <c r="R63" s="109">
        <f t="shared" si="7"/>
        <v>5920.2021225136068</v>
      </c>
      <c r="S63" s="107"/>
      <c r="T63" s="110"/>
    </row>
    <row r="64" spans="1:20" ht="12.75" customHeight="1">
      <c r="A64" s="104" t="s">
        <v>150</v>
      </c>
      <c r="B64" s="13" t="s">
        <v>151</v>
      </c>
      <c r="C64" s="9">
        <v>4446</v>
      </c>
      <c r="D64" s="104">
        <f t="shared" si="0"/>
        <v>0</v>
      </c>
      <c r="E64" s="104">
        <f t="shared" si="1"/>
        <v>4446</v>
      </c>
      <c r="F64" s="104">
        <f t="shared" si="2"/>
        <v>1.1363084543291409E-2</v>
      </c>
      <c r="G64" s="104">
        <f t="shared" si="3"/>
        <v>439.75137182537753</v>
      </c>
      <c r="H64" s="104">
        <v>3</v>
      </c>
      <c r="I64" s="104">
        <f t="shared" si="4"/>
        <v>353.43</v>
      </c>
      <c r="J64" s="104">
        <f t="shared" si="5"/>
        <v>798.7037155753776</v>
      </c>
      <c r="K64" s="104">
        <f t="shared" si="6"/>
        <v>4089.0625</v>
      </c>
      <c r="L64" s="7">
        <v>0</v>
      </c>
      <c r="M64" s="104">
        <v>0</v>
      </c>
      <c r="N64" s="104">
        <v>0</v>
      </c>
      <c r="O64" s="104">
        <v>0</v>
      </c>
      <c r="P64" s="109"/>
      <c r="Q64" s="109"/>
      <c r="R64" s="109">
        <f t="shared" si="7"/>
        <v>4887.7662155753778</v>
      </c>
      <c r="S64" s="107"/>
      <c r="T64" s="110"/>
    </row>
    <row r="65" spans="1:20" ht="12.75" customHeight="1">
      <c r="A65" s="104" t="s">
        <v>152</v>
      </c>
      <c r="B65" s="13" t="s">
        <v>153</v>
      </c>
      <c r="C65" s="9">
        <v>1580.5</v>
      </c>
      <c r="D65" s="104">
        <f t="shared" si="0"/>
        <v>0</v>
      </c>
      <c r="E65" s="104">
        <f t="shared" si="1"/>
        <v>1580.5</v>
      </c>
      <c r="F65" s="104">
        <f t="shared" si="2"/>
        <v>4.039441097766998E-3</v>
      </c>
      <c r="G65" s="104">
        <f t="shared" si="3"/>
        <v>156.32637048358282</v>
      </c>
      <c r="H65" s="104">
        <v>3</v>
      </c>
      <c r="I65" s="104">
        <f t="shared" si="4"/>
        <v>353.43</v>
      </c>
      <c r="J65" s="104">
        <f t="shared" si="5"/>
        <v>515.27871423358283</v>
      </c>
      <c r="K65" s="104">
        <f t="shared" si="6"/>
        <v>4089.0625</v>
      </c>
      <c r="L65" s="7">
        <v>0</v>
      </c>
      <c r="M65" s="104">
        <v>0</v>
      </c>
      <c r="N65" s="104">
        <v>0</v>
      </c>
      <c r="O65" s="104">
        <v>0</v>
      </c>
      <c r="P65" s="109"/>
      <c r="Q65" s="109"/>
      <c r="R65" s="109">
        <f t="shared" si="7"/>
        <v>4604.3412142335828</v>
      </c>
      <c r="S65" s="107"/>
      <c r="T65" s="110"/>
    </row>
    <row r="66" spans="1:20" ht="12.75" customHeight="1">
      <c r="A66" s="104" t="s">
        <v>154</v>
      </c>
      <c r="B66" s="13" t="s">
        <v>155</v>
      </c>
      <c r="C66" s="9">
        <v>4297.5</v>
      </c>
      <c r="D66" s="104">
        <f t="shared" si="0"/>
        <v>0</v>
      </c>
      <c r="E66" s="104">
        <f t="shared" si="1"/>
        <v>4297.5</v>
      </c>
      <c r="F66" s="104">
        <f t="shared" si="2"/>
        <v>1.0983548318667304E-2</v>
      </c>
      <c r="G66" s="104">
        <f t="shared" si="3"/>
        <v>425.06331993242463</v>
      </c>
      <c r="H66" s="104">
        <v>4</v>
      </c>
      <c r="I66" s="104">
        <f t="shared" si="4"/>
        <v>471.24</v>
      </c>
      <c r="J66" s="104">
        <f t="shared" si="5"/>
        <v>901.82566368242465</v>
      </c>
      <c r="K66" s="104">
        <f t="shared" si="6"/>
        <v>4089.0625</v>
      </c>
      <c r="L66" s="7">
        <v>0</v>
      </c>
      <c r="M66" s="104">
        <v>0</v>
      </c>
      <c r="N66" s="104">
        <v>0</v>
      </c>
      <c r="O66" s="104">
        <v>0</v>
      </c>
      <c r="P66" s="109"/>
      <c r="Q66" s="109"/>
      <c r="R66" s="109">
        <f t="shared" si="7"/>
        <v>4990.8881636824244</v>
      </c>
      <c r="S66" s="107"/>
      <c r="T66" s="110"/>
    </row>
    <row r="67" spans="1:20" ht="12.75" customHeight="1">
      <c r="A67" s="104" t="s">
        <v>156</v>
      </c>
      <c r="B67" s="13" t="s">
        <v>157</v>
      </c>
      <c r="C67" s="9">
        <v>3747.5</v>
      </c>
      <c r="D67" s="104">
        <f t="shared" si="0"/>
        <v>0</v>
      </c>
      <c r="E67" s="104">
        <f t="shared" si="1"/>
        <v>3747.5</v>
      </c>
      <c r="F67" s="104">
        <f t="shared" si="2"/>
        <v>9.577858597837283E-3</v>
      </c>
      <c r="G67" s="104">
        <f t="shared" si="3"/>
        <v>370.66312773630284</v>
      </c>
      <c r="H67" s="104">
        <v>4</v>
      </c>
      <c r="I67" s="104">
        <f t="shared" si="4"/>
        <v>471.24</v>
      </c>
      <c r="J67" s="104">
        <f t="shared" si="5"/>
        <v>847.42547148630285</v>
      </c>
      <c r="K67" s="104">
        <f t="shared" si="6"/>
        <v>4089.0625</v>
      </c>
      <c r="L67" s="7">
        <v>0</v>
      </c>
      <c r="M67" s="104">
        <v>0</v>
      </c>
      <c r="N67" s="104">
        <v>0</v>
      </c>
      <c r="O67" s="104">
        <v>0</v>
      </c>
      <c r="P67" s="109"/>
      <c r="Q67" s="109"/>
      <c r="R67" s="109">
        <f t="shared" si="7"/>
        <v>4936.4879714863027</v>
      </c>
      <c r="S67" s="107"/>
      <c r="T67" s="110"/>
    </row>
    <row r="68" spans="1:20" ht="12.75" customHeight="1">
      <c r="A68" s="104" t="s">
        <v>158</v>
      </c>
      <c r="B68" s="13" t="s">
        <v>159</v>
      </c>
      <c r="C68" s="9">
        <v>7957.5</v>
      </c>
      <c r="D68" s="104">
        <f t="shared" si="0"/>
        <v>0</v>
      </c>
      <c r="E68" s="104">
        <f t="shared" si="1"/>
        <v>7957.5</v>
      </c>
      <c r="F68" s="104">
        <f t="shared" si="2"/>
        <v>2.0337774460917991E-2</v>
      </c>
      <c r="G68" s="104">
        <f t="shared" si="3"/>
        <v>787.07187163752621</v>
      </c>
      <c r="H68" s="104">
        <v>4</v>
      </c>
      <c r="I68" s="104">
        <f t="shared" si="4"/>
        <v>471.24</v>
      </c>
      <c r="J68" s="104">
        <f t="shared" si="5"/>
        <v>1263.8342153875262</v>
      </c>
      <c r="K68" s="104">
        <f t="shared" si="6"/>
        <v>4089.0625</v>
      </c>
      <c r="L68" s="7">
        <v>0</v>
      </c>
      <c r="M68" s="104">
        <v>0</v>
      </c>
      <c r="N68" s="104">
        <v>0</v>
      </c>
      <c r="O68" s="104">
        <v>0</v>
      </c>
      <c r="P68" s="109"/>
      <c r="Q68" s="109"/>
      <c r="R68" s="109">
        <f t="shared" si="7"/>
        <v>5352.8967153875265</v>
      </c>
      <c r="S68" s="107"/>
      <c r="T68" s="110"/>
    </row>
    <row r="69" spans="1:20" ht="12.75" customHeight="1">
      <c r="A69" s="104" t="s">
        <v>160</v>
      </c>
      <c r="B69" s="13" t="s">
        <v>161</v>
      </c>
      <c r="C69" s="9">
        <v>9277</v>
      </c>
      <c r="D69" s="104">
        <f t="shared" si="0"/>
        <v>0</v>
      </c>
      <c r="E69" s="104">
        <f t="shared" si="1"/>
        <v>9277</v>
      </c>
      <c r="F69" s="104">
        <f t="shared" si="2"/>
        <v>2.3710151891163836E-2</v>
      </c>
      <c r="G69" s="104">
        <f t="shared" si="3"/>
        <v>917.58287818804047</v>
      </c>
      <c r="H69" s="104">
        <v>3</v>
      </c>
      <c r="I69" s="104">
        <f t="shared" si="4"/>
        <v>353.43</v>
      </c>
      <c r="J69" s="104">
        <f t="shared" si="5"/>
        <v>1276.5352219380404</v>
      </c>
      <c r="K69" s="104">
        <f t="shared" si="6"/>
        <v>4089.0625</v>
      </c>
      <c r="L69" s="7">
        <v>0</v>
      </c>
      <c r="M69" s="104">
        <v>0</v>
      </c>
      <c r="N69" s="104">
        <v>0</v>
      </c>
      <c r="O69" s="104">
        <v>0</v>
      </c>
      <c r="P69" s="109"/>
      <c r="Q69" s="109"/>
      <c r="R69" s="109">
        <f t="shared" si="7"/>
        <v>5365.5977219380402</v>
      </c>
      <c r="S69" s="107"/>
      <c r="T69" s="110"/>
    </row>
    <row r="70" spans="1:20" ht="12.75" customHeight="1">
      <c r="A70" s="104"/>
      <c r="B70" s="108" t="s">
        <v>162</v>
      </c>
      <c r="C70" s="104">
        <f>SUM(C3:C69)</f>
        <v>391267</v>
      </c>
      <c r="D70" s="104">
        <f t="shared" ref="D70:E70" si="8">SUM(D3:D69)</f>
        <v>0</v>
      </c>
      <c r="E70" s="104">
        <f t="shared" si="8"/>
        <v>391267</v>
      </c>
      <c r="F70" s="104">
        <f t="shared" si="2"/>
        <v>1</v>
      </c>
      <c r="G70" s="104">
        <f t="shared" ref="G70:O70" si="9">SUM(G3:G69)</f>
        <v>38700.000000000007</v>
      </c>
      <c r="H70" s="104">
        <f t="shared" si="9"/>
        <v>223</v>
      </c>
      <c r="I70" s="104">
        <f t="shared" si="9"/>
        <v>26271.630000000023</v>
      </c>
      <c r="J70" s="104">
        <f t="shared" si="9"/>
        <v>64971.630000000012</v>
      </c>
      <c r="K70" s="104">
        <f t="shared" si="9"/>
        <v>261700</v>
      </c>
      <c r="L70" s="104">
        <f t="shared" si="9"/>
        <v>3000</v>
      </c>
      <c r="M70" s="104">
        <f t="shared" si="9"/>
        <v>0</v>
      </c>
      <c r="N70" s="104">
        <f t="shared" si="9"/>
        <v>0</v>
      </c>
      <c r="O70" s="104">
        <f t="shared" si="9"/>
        <v>0</v>
      </c>
      <c r="P70" s="104"/>
      <c r="Q70" s="104"/>
      <c r="R70" s="104">
        <f>SUM(R3:R69)</f>
        <v>329671.63000000006</v>
      </c>
      <c r="S70" s="107"/>
      <c r="T70" s="110"/>
    </row>
  </sheetData>
  <mergeCells count="1">
    <mergeCell ref="B1:T1"/>
  </mergeCells>
  <conditionalFormatting sqref="T21">
    <cfRule type="cellIs" dxfId="14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T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1" width="7.6640625" customWidth="1"/>
    <col min="2" max="2" width="30.5" customWidth="1"/>
    <col min="3" max="18" width="20.33203125" customWidth="1"/>
    <col min="19" max="19" width="38.6640625" customWidth="1"/>
    <col min="20" max="20" width="10.33203125" customWidth="1"/>
  </cols>
  <sheetData>
    <row r="1" spans="1:20" ht="16.5" customHeight="1">
      <c r="A1" s="124"/>
      <c r="B1" s="254" t="s">
        <v>295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</row>
    <row r="2" spans="1:20" ht="58.5" customHeight="1">
      <c r="A2" s="125" t="s">
        <v>1</v>
      </c>
      <c r="B2" s="126">
        <v>1</v>
      </c>
      <c r="C2" s="119" t="s">
        <v>2</v>
      </c>
      <c r="D2" s="119" t="s">
        <v>168</v>
      </c>
      <c r="E2" s="119" t="s">
        <v>169</v>
      </c>
      <c r="F2" s="119" t="s">
        <v>170</v>
      </c>
      <c r="G2" s="119" t="s">
        <v>6</v>
      </c>
      <c r="H2" s="119" t="s">
        <v>7</v>
      </c>
      <c r="I2" s="119" t="s">
        <v>171</v>
      </c>
      <c r="J2" s="119" t="s">
        <v>258</v>
      </c>
      <c r="K2" s="119" t="s">
        <v>173</v>
      </c>
      <c r="L2" s="119" t="s">
        <v>174</v>
      </c>
      <c r="M2" s="119" t="s">
        <v>188</v>
      </c>
      <c r="N2" s="119" t="s">
        <v>176</v>
      </c>
      <c r="O2" s="119" t="s">
        <v>177</v>
      </c>
      <c r="P2" s="119" t="s">
        <v>272</v>
      </c>
      <c r="Q2" s="127"/>
      <c r="R2" s="128" t="s">
        <v>179</v>
      </c>
      <c r="S2" s="129"/>
      <c r="T2" s="129"/>
    </row>
    <row r="3" spans="1:20" ht="12.75" customHeight="1">
      <c r="A3" s="125" t="s">
        <v>18</v>
      </c>
      <c r="B3" s="130" t="s">
        <v>19</v>
      </c>
      <c r="C3" s="127">
        <v>0</v>
      </c>
      <c r="D3" s="131">
        <v>0</v>
      </c>
      <c r="E3" s="127"/>
      <c r="F3" s="127"/>
      <c r="G3" s="127"/>
      <c r="H3" s="131">
        <v>1</v>
      </c>
      <c r="I3" s="131">
        <f>T7</f>
        <v>117.81</v>
      </c>
      <c r="J3" s="127"/>
      <c r="K3" s="127"/>
      <c r="L3" s="127"/>
      <c r="M3" s="127"/>
      <c r="N3" s="127"/>
      <c r="O3" s="127"/>
      <c r="P3" s="127"/>
      <c r="Q3" s="127"/>
      <c r="R3" s="127"/>
      <c r="S3" s="129"/>
      <c r="T3" s="129"/>
    </row>
    <row r="4" spans="1:20" ht="12.75" customHeight="1">
      <c r="A4" s="125" t="s">
        <v>20</v>
      </c>
      <c r="B4" s="130" t="s">
        <v>19</v>
      </c>
      <c r="C4" s="127">
        <v>0</v>
      </c>
      <c r="D4" s="131">
        <v>0</v>
      </c>
      <c r="E4" s="127"/>
      <c r="F4" s="127"/>
      <c r="G4" s="127"/>
      <c r="H4" s="131">
        <v>1</v>
      </c>
      <c r="I4" s="131">
        <f>T7</f>
        <v>117.81</v>
      </c>
      <c r="J4" s="127"/>
      <c r="K4" s="127"/>
      <c r="L4" s="127"/>
      <c r="M4" s="127"/>
      <c r="N4" s="127"/>
      <c r="O4" s="127"/>
      <c r="P4" s="127"/>
      <c r="Q4" s="127"/>
      <c r="R4" s="127"/>
      <c r="S4" s="132" t="s">
        <v>21</v>
      </c>
      <c r="T4" s="133">
        <f>'ANNUAL-EXPENSE-DETAILS'!BF14</f>
        <v>272735</v>
      </c>
    </row>
    <row r="5" spans="1:20" ht="12.75" customHeight="1">
      <c r="A5" s="125" t="s">
        <v>22</v>
      </c>
      <c r="B5" s="130" t="s">
        <v>19</v>
      </c>
      <c r="C5" s="127">
        <v>0</v>
      </c>
      <c r="D5" s="131">
        <v>0</v>
      </c>
      <c r="E5" s="127"/>
      <c r="F5" s="127"/>
      <c r="G5" s="127"/>
      <c r="H5" s="131">
        <v>1</v>
      </c>
      <c r="I5" s="131">
        <f>T7</f>
        <v>117.81</v>
      </c>
      <c r="J5" s="127"/>
      <c r="K5" s="127"/>
      <c r="L5" s="127"/>
      <c r="M5" s="127"/>
      <c r="N5" s="127"/>
      <c r="O5" s="127"/>
      <c r="P5" s="127"/>
      <c r="Q5" s="127"/>
      <c r="R5" s="127"/>
      <c r="S5" s="132" t="s">
        <v>23</v>
      </c>
      <c r="T5" s="133">
        <f>'ANNUAL-EXPENSE-DETAILS'!BE14</f>
        <v>38400</v>
      </c>
    </row>
    <row r="6" spans="1:20" ht="12.75" customHeight="1">
      <c r="A6" s="125" t="s">
        <v>24</v>
      </c>
      <c r="B6" s="13" t="s">
        <v>25</v>
      </c>
      <c r="C6" s="9">
        <v>3924</v>
      </c>
      <c r="D6" s="131">
        <f t="shared" ref="D6:D69" si="0">SUM($C$3:$C$5)/64</f>
        <v>0</v>
      </c>
      <c r="E6" s="131">
        <f t="shared" ref="E6:E69" si="1">C6+D6</f>
        <v>3924</v>
      </c>
      <c r="F6" s="131">
        <f t="shared" ref="F6:F70" si="2">IF($C$70=0, 0, E6/$C$70)</f>
        <v>9.039433491976466E-3</v>
      </c>
      <c r="G6" s="131">
        <f t="shared" ref="G6:G69" si="3">F6*$T$5</f>
        <v>347.11424609189629</v>
      </c>
      <c r="H6" s="131">
        <v>3</v>
      </c>
      <c r="I6" s="131">
        <f t="shared" ref="I6:I69" si="4">$T$7*H6</f>
        <v>353.43</v>
      </c>
      <c r="J6" s="131">
        <f t="shared" ref="J6:J69" si="5">G6+$T$9+I6</f>
        <v>706.0665898418963</v>
      </c>
      <c r="K6" s="131">
        <f t="shared" ref="K6:K69" si="6">$T$11/64</f>
        <v>4261.484375</v>
      </c>
      <c r="L6" s="14">
        <v>0</v>
      </c>
      <c r="M6" s="131">
        <v>0</v>
      </c>
      <c r="N6" s="131">
        <v>0</v>
      </c>
      <c r="O6" s="131">
        <v>0</v>
      </c>
      <c r="P6" s="127"/>
      <c r="Q6" s="127"/>
      <c r="R6" s="134">
        <f t="shared" ref="R6:R69" si="7">(J6+K6+L6+M6+N6+O6+P6)*$B$2</f>
        <v>4967.5509648418965</v>
      </c>
      <c r="S6" s="129"/>
      <c r="T6" s="129"/>
    </row>
    <row r="7" spans="1:20" ht="12.75" customHeight="1">
      <c r="A7" s="125" t="s">
        <v>26</v>
      </c>
      <c r="B7" s="13" t="s">
        <v>27</v>
      </c>
      <c r="C7" s="9">
        <v>8243</v>
      </c>
      <c r="D7" s="131">
        <f t="shared" si="0"/>
        <v>0</v>
      </c>
      <c r="E7" s="131">
        <f t="shared" si="1"/>
        <v>8243</v>
      </c>
      <c r="F7" s="131">
        <f t="shared" si="2"/>
        <v>1.8988799764108565E-2</v>
      </c>
      <c r="G7" s="131">
        <f t="shared" si="3"/>
        <v>729.16991094176888</v>
      </c>
      <c r="H7" s="131">
        <v>4</v>
      </c>
      <c r="I7" s="131">
        <f t="shared" si="4"/>
        <v>471.24</v>
      </c>
      <c r="J7" s="131">
        <f t="shared" si="5"/>
        <v>1205.9322546917688</v>
      </c>
      <c r="K7" s="131">
        <f t="shared" si="6"/>
        <v>4261.484375</v>
      </c>
      <c r="L7" s="7">
        <v>0</v>
      </c>
      <c r="M7" s="131">
        <v>0</v>
      </c>
      <c r="N7" s="131">
        <v>0</v>
      </c>
      <c r="O7" s="131">
        <v>0</v>
      </c>
      <c r="P7" s="127"/>
      <c r="Q7" s="127"/>
      <c r="R7" s="134">
        <f t="shared" si="7"/>
        <v>5467.4166296917683</v>
      </c>
      <c r="S7" s="135" t="s">
        <v>180</v>
      </c>
      <c r="T7" s="17">
        <v>117.81</v>
      </c>
    </row>
    <row r="8" spans="1:20" ht="12.75" customHeight="1">
      <c r="A8" s="125" t="s">
        <v>29</v>
      </c>
      <c r="B8" s="13" t="s">
        <v>30</v>
      </c>
      <c r="C8" s="9">
        <v>12107</v>
      </c>
      <c r="D8" s="131">
        <f t="shared" si="0"/>
        <v>0</v>
      </c>
      <c r="E8" s="131">
        <f t="shared" si="1"/>
        <v>12107</v>
      </c>
      <c r="F8" s="131">
        <f t="shared" si="2"/>
        <v>2.7890015618593035E-2</v>
      </c>
      <c r="G8" s="131">
        <f t="shared" si="3"/>
        <v>1070.9765997539726</v>
      </c>
      <c r="H8" s="131">
        <v>4</v>
      </c>
      <c r="I8" s="131">
        <f t="shared" si="4"/>
        <v>471.24</v>
      </c>
      <c r="J8" s="131">
        <f t="shared" si="5"/>
        <v>1547.7389435039725</v>
      </c>
      <c r="K8" s="131">
        <f t="shared" si="6"/>
        <v>4261.484375</v>
      </c>
      <c r="L8" s="7">
        <v>750</v>
      </c>
      <c r="M8" s="131">
        <v>0</v>
      </c>
      <c r="N8" s="131">
        <v>0</v>
      </c>
      <c r="O8" s="131">
        <v>0</v>
      </c>
      <c r="P8" s="127"/>
      <c r="Q8" s="127"/>
      <c r="R8" s="134">
        <f t="shared" si="7"/>
        <v>6559.2233185039722</v>
      </c>
      <c r="S8" s="135" t="s">
        <v>181</v>
      </c>
      <c r="T8" s="136">
        <f>$T$7*3</f>
        <v>353.43</v>
      </c>
    </row>
    <row r="9" spans="1:20" ht="12.75" customHeight="1">
      <c r="A9" s="125" t="s">
        <v>32</v>
      </c>
      <c r="B9" s="13" t="s">
        <v>33</v>
      </c>
      <c r="C9" s="9">
        <v>3088</v>
      </c>
      <c r="D9" s="131">
        <f t="shared" si="0"/>
        <v>0</v>
      </c>
      <c r="E9" s="131">
        <f t="shared" si="1"/>
        <v>3088</v>
      </c>
      <c r="F9" s="131">
        <f t="shared" si="2"/>
        <v>7.1136010762546708E-3</v>
      </c>
      <c r="G9" s="131">
        <f t="shared" si="3"/>
        <v>273.16228132817935</v>
      </c>
      <c r="H9" s="131">
        <v>4</v>
      </c>
      <c r="I9" s="131">
        <f t="shared" si="4"/>
        <v>471.24</v>
      </c>
      <c r="J9" s="131">
        <f t="shared" si="5"/>
        <v>749.92462507817936</v>
      </c>
      <c r="K9" s="131">
        <f t="shared" si="6"/>
        <v>4261.484375</v>
      </c>
      <c r="L9" s="7">
        <v>0</v>
      </c>
      <c r="M9" s="131">
        <v>0</v>
      </c>
      <c r="N9" s="131">
        <v>0</v>
      </c>
      <c r="O9" s="131">
        <v>0</v>
      </c>
      <c r="P9" s="127"/>
      <c r="Q9" s="127"/>
      <c r="R9" s="134">
        <f t="shared" si="7"/>
        <v>5011.4090000781798</v>
      </c>
      <c r="S9" s="137" t="s">
        <v>182</v>
      </c>
      <c r="T9" s="138">
        <f>T8/64</f>
        <v>5.5223437500000001</v>
      </c>
    </row>
    <row r="10" spans="1:20" ht="12.75" customHeight="1">
      <c r="A10" s="125" t="s">
        <v>35</v>
      </c>
      <c r="B10" s="13" t="s">
        <v>36</v>
      </c>
      <c r="C10" s="9">
        <v>4522.5</v>
      </c>
      <c r="D10" s="131">
        <f t="shared" si="0"/>
        <v>0</v>
      </c>
      <c r="E10" s="131">
        <f t="shared" si="1"/>
        <v>4522.5</v>
      </c>
      <c r="F10" s="131">
        <f t="shared" si="2"/>
        <v>1.0418154425959116E-2</v>
      </c>
      <c r="G10" s="131">
        <f t="shared" si="3"/>
        <v>400.05712995683007</v>
      </c>
      <c r="H10" s="131">
        <v>3</v>
      </c>
      <c r="I10" s="131">
        <f t="shared" si="4"/>
        <v>353.43</v>
      </c>
      <c r="J10" s="131">
        <f t="shared" si="5"/>
        <v>759.00947370683002</v>
      </c>
      <c r="K10" s="131">
        <f t="shared" si="6"/>
        <v>4261.484375</v>
      </c>
      <c r="L10" s="7">
        <v>0</v>
      </c>
      <c r="M10" s="131">
        <v>0</v>
      </c>
      <c r="N10" s="131">
        <v>0</v>
      </c>
      <c r="O10" s="131">
        <v>0</v>
      </c>
      <c r="P10" s="127">
        <v>0</v>
      </c>
      <c r="Q10" s="127"/>
      <c r="R10" s="134">
        <f t="shared" si="7"/>
        <v>5020.4938487068302</v>
      </c>
      <c r="S10" s="129"/>
      <c r="T10" s="129"/>
    </row>
    <row r="11" spans="1:20" ht="12.75" customHeight="1">
      <c r="A11" s="125" t="s">
        <v>37</v>
      </c>
      <c r="B11" s="13" t="s">
        <v>38</v>
      </c>
      <c r="C11" s="9">
        <v>2743</v>
      </c>
      <c r="D11" s="131">
        <f t="shared" si="0"/>
        <v>0</v>
      </c>
      <c r="E11" s="131">
        <f t="shared" si="1"/>
        <v>2743</v>
      </c>
      <c r="F11" s="131">
        <f t="shared" si="2"/>
        <v>6.3188496606756996E-3</v>
      </c>
      <c r="G11" s="131">
        <f t="shared" si="3"/>
        <v>242.64382696994687</v>
      </c>
      <c r="H11" s="131">
        <v>3</v>
      </c>
      <c r="I11" s="131">
        <f t="shared" si="4"/>
        <v>353.43</v>
      </c>
      <c r="J11" s="131">
        <f t="shared" si="5"/>
        <v>601.59617071994694</v>
      </c>
      <c r="K11" s="131">
        <f t="shared" si="6"/>
        <v>4261.484375</v>
      </c>
      <c r="L11" s="7">
        <v>0</v>
      </c>
      <c r="M11" s="131">
        <v>0</v>
      </c>
      <c r="N11" s="131">
        <v>0</v>
      </c>
      <c r="O11" s="131">
        <v>0</v>
      </c>
      <c r="P11" s="127"/>
      <c r="Q11" s="127"/>
      <c r="R11" s="134">
        <f t="shared" si="7"/>
        <v>4863.0805457199467</v>
      </c>
      <c r="S11" s="137" t="s">
        <v>21</v>
      </c>
      <c r="T11" s="138">
        <f>'ANNUAL-EXPENSE-DETAILS'!BF14</f>
        <v>272735</v>
      </c>
    </row>
    <row r="12" spans="1:20" ht="12.75" customHeight="1">
      <c r="A12" s="125" t="s">
        <v>40</v>
      </c>
      <c r="B12" s="13" t="s">
        <v>41</v>
      </c>
      <c r="C12" s="9">
        <v>155</v>
      </c>
      <c r="D12" s="131">
        <f t="shared" si="0"/>
        <v>0</v>
      </c>
      <c r="E12" s="131">
        <f t="shared" si="1"/>
        <v>155</v>
      </c>
      <c r="F12" s="131">
        <f t="shared" si="2"/>
        <v>3.570622301876535E-4</v>
      </c>
      <c r="G12" s="131">
        <f t="shared" si="3"/>
        <v>13.711189639205895</v>
      </c>
      <c r="H12" s="131">
        <v>3</v>
      </c>
      <c r="I12" s="131">
        <f t="shared" si="4"/>
        <v>353.43</v>
      </c>
      <c r="J12" s="131">
        <f t="shared" si="5"/>
        <v>372.6635333892059</v>
      </c>
      <c r="K12" s="131">
        <f t="shared" si="6"/>
        <v>4261.484375</v>
      </c>
      <c r="L12" s="7">
        <v>750</v>
      </c>
      <c r="M12" s="131">
        <v>0</v>
      </c>
      <c r="N12" s="131">
        <v>0</v>
      </c>
      <c r="O12" s="131">
        <v>0</v>
      </c>
      <c r="P12" s="127"/>
      <c r="Q12" s="127"/>
      <c r="R12" s="134">
        <f t="shared" si="7"/>
        <v>5384.1479083892063</v>
      </c>
      <c r="S12" s="129"/>
      <c r="T12" s="129"/>
    </row>
    <row r="13" spans="1:20" ht="12.75" customHeight="1">
      <c r="A13" s="125" t="s">
        <v>43</v>
      </c>
      <c r="B13" s="13" t="s">
        <v>44</v>
      </c>
      <c r="C13" s="9">
        <v>16388</v>
      </c>
      <c r="D13" s="131">
        <f t="shared" si="0"/>
        <v>0</v>
      </c>
      <c r="E13" s="131">
        <f t="shared" si="1"/>
        <v>16388</v>
      </c>
      <c r="F13" s="131">
        <f t="shared" si="2"/>
        <v>3.7751844053646871E-2</v>
      </c>
      <c r="G13" s="131">
        <f t="shared" si="3"/>
        <v>1449.6708116600398</v>
      </c>
      <c r="H13" s="131">
        <v>3</v>
      </c>
      <c r="I13" s="131">
        <f t="shared" si="4"/>
        <v>353.43</v>
      </c>
      <c r="J13" s="131">
        <f t="shared" si="5"/>
        <v>1808.6231554100398</v>
      </c>
      <c r="K13" s="131">
        <f t="shared" si="6"/>
        <v>4261.484375</v>
      </c>
      <c r="L13" s="7">
        <v>0</v>
      </c>
      <c r="M13" s="131">
        <v>0</v>
      </c>
      <c r="N13" s="131">
        <v>0</v>
      </c>
      <c r="O13" s="131">
        <v>0</v>
      </c>
      <c r="P13" s="127"/>
      <c r="Q13" s="127"/>
      <c r="R13" s="134">
        <f t="shared" si="7"/>
        <v>6070.1075304100395</v>
      </c>
      <c r="S13" s="137" t="s">
        <v>280</v>
      </c>
      <c r="T13" s="138">
        <f>T8+I70</f>
        <v>26625.060000000023</v>
      </c>
    </row>
    <row r="14" spans="1:20" ht="12.75" customHeight="1">
      <c r="A14" s="125" t="s">
        <v>46</v>
      </c>
      <c r="B14" s="13" t="s">
        <v>47</v>
      </c>
      <c r="C14" s="9">
        <v>1458.5</v>
      </c>
      <c r="D14" s="131">
        <f t="shared" si="0"/>
        <v>0</v>
      </c>
      <c r="E14" s="131">
        <f t="shared" si="1"/>
        <v>1458.5</v>
      </c>
      <c r="F14" s="131">
        <f t="shared" si="2"/>
        <v>3.3598404047012428E-3</v>
      </c>
      <c r="G14" s="131">
        <f t="shared" si="3"/>
        <v>129.01787154052772</v>
      </c>
      <c r="H14" s="131">
        <v>4</v>
      </c>
      <c r="I14" s="131">
        <f t="shared" si="4"/>
        <v>471.24</v>
      </c>
      <c r="J14" s="131">
        <f t="shared" si="5"/>
        <v>605.78021529052774</v>
      </c>
      <c r="K14" s="131">
        <f t="shared" si="6"/>
        <v>4261.484375</v>
      </c>
      <c r="L14" s="7">
        <v>0</v>
      </c>
      <c r="M14" s="131">
        <v>0</v>
      </c>
      <c r="N14" s="131">
        <v>0</v>
      </c>
      <c r="O14" s="131">
        <v>0</v>
      </c>
      <c r="P14" s="127"/>
      <c r="Q14" s="127"/>
      <c r="R14" s="134">
        <f t="shared" si="7"/>
        <v>4867.2645902905278</v>
      </c>
      <c r="S14" s="129"/>
      <c r="T14" s="129"/>
    </row>
    <row r="15" spans="1:20" ht="12.75" customHeight="1">
      <c r="A15" s="125" t="s">
        <v>49</v>
      </c>
      <c r="B15" s="13" t="s">
        <v>50</v>
      </c>
      <c r="C15" s="9">
        <v>5503.5</v>
      </c>
      <c r="D15" s="131">
        <f t="shared" si="0"/>
        <v>0</v>
      </c>
      <c r="E15" s="131">
        <f t="shared" si="1"/>
        <v>5503.5</v>
      </c>
      <c r="F15" s="131">
        <f t="shared" si="2"/>
        <v>1.2678012798953232E-2</v>
      </c>
      <c r="G15" s="131">
        <f t="shared" si="3"/>
        <v>486.8356914798041</v>
      </c>
      <c r="H15" s="131">
        <v>3</v>
      </c>
      <c r="I15" s="131">
        <f t="shared" si="4"/>
        <v>353.43</v>
      </c>
      <c r="J15" s="131">
        <f t="shared" si="5"/>
        <v>845.78803522980411</v>
      </c>
      <c r="K15" s="131">
        <f t="shared" si="6"/>
        <v>4261.484375</v>
      </c>
      <c r="L15" s="7">
        <v>0</v>
      </c>
      <c r="M15" s="131">
        <v>0</v>
      </c>
      <c r="N15" s="131">
        <v>0</v>
      </c>
      <c r="O15" s="131">
        <v>0</v>
      </c>
      <c r="P15" s="127"/>
      <c r="Q15" s="127"/>
      <c r="R15" s="134">
        <f t="shared" si="7"/>
        <v>5107.2724102298043</v>
      </c>
      <c r="S15" s="129"/>
      <c r="T15" s="129"/>
    </row>
    <row r="16" spans="1:20" ht="12.75" customHeight="1">
      <c r="A16" s="125" t="s">
        <v>52</v>
      </c>
      <c r="B16" s="13" t="s">
        <v>53</v>
      </c>
      <c r="C16" s="9">
        <v>787.5</v>
      </c>
      <c r="D16" s="131">
        <f t="shared" si="0"/>
        <v>0</v>
      </c>
      <c r="E16" s="131">
        <f t="shared" si="1"/>
        <v>787.5</v>
      </c>
      <c r="F16" s="131">
        <f t="shared" si="2"/>
        <v>1.814106492082433E-3</v>
      </c>
      <c r="G16" s="131">
        <f t="shared" si="3"/>
        <v>69.661689295965431</v>
      </c>
      <c r="H16" s="131">
        <v>3</v>
      </c>
      <c r="I16" s="131">
        <f t="shared" si="4"/>
        <v>353.43</v>
      </c>
      <c r="J16" s="131">
        <f t="shared" si="5"/>
        <v>428.61403304596547</v>
      </c>
      <c r="K16" s="131">
        <f t="shared" si="6"/>
        <v>4261.484375</v>
      </c>
      <c r="L16" s="7">
        <v>0</v>
      </c>
      <c r="M16" s="131">
        <v>0</v>
      </c>
      <c r="N16" s="131">
        <v>0</v>
      </c>
      <c r="O16" s="131">
        <v>0</v>
      </c>
      <c r="P16" s="127"/>
      <c r="Q16" s="127"/>
      <c r="R16" s="134">
        <f t="shared" si="7"/>
        <v>4690.0984080459657</v>
      </c>
      <c r="S16" s="129"/>
      <c r="T16" s="129"/>
    </row>
    <row r="17" spans="1:20" ht="12.75" customHeight="1">
      <c r="A17" s="125" t="s">
        <v>55</v>
      </c>
      <c r="B17" s="13" t="s">
        <v>56</v>
      </c>
      <c r="C17" s="9">
        <v>76</v>
      </c>
      <c r="D17" s="131">
        <f t="shared" si="0"/>
        <v>0</v>
      </c>
      <c r="E17" s="131">
        <f t="shared" si="1"/>
        <v>76</v>
      </c>
      <c r="F17" s="131">
        <f t="shared" si="2"/>
        <v>1.7507567415652687E-4</v>
      </c>
      <c r="G17" s="131">
        <f t="shared" si="3"/>
        <v>6.722905887610632</v>
      </c>
      <c r="H17" s="131">
        <v>3</v>
      </c>
      <c r="I17" s="131">
        <f t="shared" si="4"/>
        <v>353.43</v>
      </c>
      <c r="J17" s="131">
        <f t="shared" si="5"/>
        <v>365.67524963761065</v>
      </c>
      <c r="K17" s="131">
        <f t="shared" si="6"/>
        <v>4261.484375</v>
      </c>
      <c r="L17" s="7">
        <v>0</v>
      </c>
      <c r="M17" s="131">
        <v>0</v>
      </c>
      <c r="N17" s="131">
        <v>0</v>
      </c>
      <c r="O17" s="131">
        <v>0</v>
      </c>
      <c r="P17" s="127">
        <v>1332</v>
      </c>
      <c r="Q17" s="127"/>
      <c r="R17" s="134">
        <f t="shared" si="7"/>
        <v>5959.1596246376102</v>
      </c>
      <c r="S17" s="129"/>
      <c r="T17" s="129"/>
    </row>
    <row r="18" spans="1:20" ht="12.75" customHeight="1">
      <c r="A18" s="125" t="s">
        <v>58</v>
      </c>
      <c r="B18" s="13" t="s">
        <v>59</v>
      </c>
      <c r="C18" s="9">
        <v>2209.5</v>
      </c>
      <c r="D18" s="131">
        <f t="shared" si="0"/>
        <v>0</v>
      </c>
      <c r="E18" s="131">
        <f t="shared" si="1"/>
        <v>2209.5</v>
      </c>
      <c r="F18" s="131">
        <f t="shared" si="2"/>
        <v>5.0898645006427117E-3</v>
      </c>
      <c r="G18" s="131">
        <f t="shared" si="3"/>
        <v>195.45079682468014</v>
      </c>
      <c r="H18" s="131">
        <v>4</v>
      </c>
      <c r="I18" s="131">
        <f t="shared" si="4"/>
        <v>471.24</v>
      </c>
      <c r="J18" s="131">
        <f t="shared" si="5"/>
        <v>672.21314057468021</v>
      </c>
      <c r="K18" s="131">
        <f t="shared" si="6"/>
        <v>4261.484375</v>
      </c>
      <c r="L18" s="7">
        <v>0</v>
      </c>
      <c r="M18" s="131">
        <v>0</v>
      </c>
      <c r="N18" s="131">
        <v>0</v>
      </c>
      <c r="O18" s="131">
        <v>0</v>
      </c>
      <c r="P18" s="127"/>
      <c r="Q18" s="127"/>
      <c r="R18" s="134">
        <f t="shared" si="7"/>
        <v>4933.6975155746804</v>
      </c>
      <c r="S18" s="129"/>
      <c r="T18" s="129"/>
    </row>
    <row r="19" spans="1:20" ht="12.75" customHeight="1">
      <c r="A19" s="125" t="s">
        <v>61</v>
      </c>
      <c r="B19" s="13" t="s">
        <v>62</v>
      </c>
      <c r="C19" s="9">
        <v>6412</v>
      </c>
      <c r="D19" s="131">
        <f t="shared" si="0"/>
        <v>0</v>
      </c>
      <c r="E19" s="131">
        <f t="shared" si="1"/>
        <v>6412</v>
      </c>
      <c r="F19" s="131">
        <f t="shared" si="2"/>
        <v>1.4770858193311188E-2</v>
      </c>
      <c r="G19" s="131">
        <f t="shared" si="3"/>
        <v>567.20095462314964</v>
      </c>
      <c r="H19" s="131">
        <v>4</v>
      </c>
      <c r="I19" s="131">
        <f t="shared" si="4"/>
        <v>471.24</v>
      </c>
      <c r="J19" s="131">
        <f t="shared" si="5"/>
        <v>1043.9632983731497</v>
      </c>
      <c r="K19" s="131">
        <f t="shared" si="6"/>
        <v>4261.484375</v>
      </c>
      <c r="L19" s="7">
        <v>0</v>
      </c>
      <c r="M19" s="131">
        <v>0</v>
      </c>
      <c r="N19" s="131">
        <v>0</v>
      </c>
      <c r="O19" s="131">
        <v>0</v>
      </c>
      <c r="P19" s="127"/>
      <c r="Q19" s="127"/>
      <c r="R19" s="134">
        <f t="shared" si="7"/>
        <v>5305.4476733731499</v>
      </c>
      <c r="S19" s="129"/>
      <c r="T19" s="129"/>
    </row>
    <row r="20" spans="1:20" ht="12.75" customHeight="1">
      <c r="A20" s="125" t="s">
        <v>63</v>
      </c>
      <c r="B20" s="13" t="s">
        <v>64</v>
      </c>
      <c r="C20" s="9">
        <v>3119</v>
      </c>
      <c r="D20" s="131">
        <f t="shared" si="0"/>
        <v>0</v>
      </c>
      <c r="E20" s="131">
        <f t="shared" si="1"/>
        <v>3119</v>
      </c>
      <c r="F20" s="131">
        <f t="shared" si="2"/>
        <v>7.1850135222922013E-3</v>
      </c>
      <c r="G20" s="131">
        <f t="shared" si="3"/>
        <v>275.90451925602054</v>
      </c>
      <c r="H20" s="131">
        <v>4</v>
      </c>
      <c r="I20" s="131">
        <f t="shared" si="4"/>
        <v>471.24</v>
      </c>
      <c r="J20" s="131">
        <f t="shared" si="5"/>
        <v>752.66686300602055</v>
      </c>
      <c r="K20" s="131">
        <f t="shared" si="6"/>
        <v>4261.484375</v>
      </c>
      <c r="L20" s="7">
        <v>750</v>
      </c>
      <c r="M20" s="131">
        <v>0</v>
      </c>
      <c r="N20" s="131">
        <v>0</v>
      </c>
      <c r="O20" s="131">
        <v>0</v>
      </c>
      <c r="P20" s="127"/>
      <c r="Q20" s="127"/>
      <c r="R20" s="134">
        <f t="shared" si="7"/>
        <v>5764.1512380060203</v>
      </c>
      <c r="S20" s="129"/>
      <c r="T20" s="129"/>
    </row>
    <row r="21" spans="1:20" ht="12.75" customHeight="1">
      <c r="A21" s="125" t="s">
        <v>65</v>
      </c>
      <c r="B21" s="13" t="s">
        <v>66</v>
      </c>
      <c r="C21" s="9">
        <v>16408.5</v>
      </c>
      <c r="D21" s="131">
        <f t="shared" si="0"/>
        <v>0</v>
      </c>
      <c r="E21" s="131">
        <f t="shared" si="1"/>
        <v>16408.5</v>
      </c>
      <c r="F21" s="131">
        <f t="shared" si="2"/>
        <v>3.7799068413123305E-2</v>
      </c>
      <c r="G21" s="131">
        <f t="shared" si="3"/>
        <v>1451.4842270639349</v>
      </c>
      <c r="H21" s="131">
        <v>3</v>
      </c>
      <c r="I21" s="131">
        <f t="shared" si="4"/>
        <v>353.43</v>
      </c>
      <c r="J21" s="131">
        <f t="shared" si="5"/>
        <v>1810.4365708139348</v>
      </c>
      <c r="K21" s="131">
        <f t="shared" si="6"/>
        <v>4261.484375</v>
      </c>
      <c r="L21" s="7">
        <v>0</v>
      </c>
      <c r="M21" s="131">
        <v>0</v>
      </c>
      <c r="N21" s="131">
        <v>0</v>
      </c>
      <c r="O21" s="131">
        <v>0</v>
      </c>
      <c r="P21" s="127"/>
      <c r="Q21" s="127"/>
      <c r="R21" s="134">
        <f t="shared" si="7"/>
        <v>6071.9209458139348</v>
      </c>
      <c r="S21" s="129"/>
      <c r="T21" s="129"/>
    </row>
    <row r="22" spans="1:20" ht="12.75" customHeight="1">
      <c r="A22" s="125" t="s">
        <v>67</v>
      </c>
      <c r="B22" s="13" t="s">
        <v>68</v>
      </c>
      <c r="C22" s="9">
        <v>11641</v>
      </c>
      <c r="D22" s="131">
        <f t="shared" si="0"/>
        <v>0</v>
      </c>
      <c r="E22" s="131">
        <f t="shared" si="1"/>
        <v>11641</v>
      </c>
      <c r="F22" s="131">
        <f t="shared" si="2"/>
        <v>2.6816525300738542E-2</v>
      </c>
      <c r="G22" s="131">
        <f t="shared" si="3"/>
        <v>1029.75457154836</v>
      </c>
      <c r="H22" s="131">
        <v>3</v>
      </c>
      <c r="I22" s="131">
        <f t="shared" si="4"/>
        <v>353.43</v>
      </c>
      <c r="J22" s="131">
        <f t="shared" si="5"/>
        <v>1388.7069152983599</v>
      </c>
      <c r="K22" s="131">
        <f t="shared" si="6"/>
        <v>4261.484375</v>
      </c>
      <c r="L22" s="7">
        <v>0</v>
      </c>
      <c r="M22" s="131">
        <v>0</v>
      </c>
      <c r="N22" s="131">
        <v>0</v>
      </c>
      <c r="O22" s="131">
        <v>0</v>
      </c>
      <c r="P22" s="127">
        <v>1684</v>
      </c>
      <c r="Q22" s="127"/>
      <c r="R22" s="134">
        <f t="shared" si="7"/>
        <v>7334.1912902983604</v>
      </c>
      <c r="S22" s="129"/>
      <c r="T22" s="129"/>
    </row>
    <row r="23" spans="1:20" ht="12.75" customHeight="1">
      <c r="A23" s="125" t="s">
        <v>69</v>
      </c>
      <c r="B23" s="13" t="s">
        <v>70</v>
      </c>
      <c r="C23" s="9">
        <v>15626</v>
      </c>
      <c r="D23" s="131">
        <f t="shared" si="0"/>
        <v>0</v>
      </c>
      <c r="E23" s="131">
        <f t="shared" si="1"/>
        <v>15626</v>
      </c>
      <c r="F23" s="131">
        <f t="shared" si="2"/>
        <v>3.5996480057498538E-2</v>
      </c>
      <c r="G23" s="131">
        <f t="shared" si="3"/>
        <v>1382.2648342079437</v>
      </c>
      <c r="H23" s="131">
        <v>4</v>
      </c>
      <c r="I23" s="131">
        <f t="shared" si="4"/>
        <v>471.24</v>
      </c>
      <c r="J23" s="131">
        <f t="shared" si="5"/>
        <v>1859.0271779579436</v>
      </c>
      <c r="K23" s="131">
        <f t="shared" si="6"/>
        <v>4261.484375</v>
      </c>
      <c r="L23" s="7">
        <v>0</v>
      </c>
      <c r="M23" s="131">
        <v>0</v>
      </c>
      <c r="N23" s="131">
        <v>0</v>
      </c>
      <c r="O23" s="131">
        <v>0</v>
      </c>
      <c r="P23" s="127"/>
      <c r="Q23" s="127"/>
      <c r="R23" s="134">
        <f t="shared" si="7"/>
        <v>6120.5115529579434</v>
      </c>
      <c r="S23" s="129"/>
      <c r="T23" s="129"/>
    </row>
    <row r="24" spans="1:20" ht="12.75" customHeight="1">
      <c r="A24" s="125" t="s">
        <v>71</v>
      </c>
      <c r="B24" s="13" t="s">
        <v>72</v>
      </c>
      <c r="C24" s="9">
        <v>11962.5</v>
      </c>
      <c r="D24" s="131">
        <f t="shared" si="0"/>
        <v>0</v>
      </c>
      <c r="E24" s="131">
        <f t="shared" si="1"/>
        <v>11962.5</v>
      </c>
      <c r="F24" s="131">
        <f t="shared" si="2"/>
        <v>2.7557141474966483E-2</v>
      </c>
      <c r="G24" s="131">
        <f t="shared" si="3"/>
        <v>1058.1942326387129</v>
      </c>
      <c r="H24" s="131">
        <v>4</v>
      </c>
      <c r="I24" s="131">
        <f t="shared" si="4"/>
        <v>471.24</v>
      </c>
      <c r="J24" s="131">
        <f t="shared" si="5"/>
        <v>1534.9565763887128</v>
      </c>
      <c r="K24" s="131">
        <f t="shared" si="6"/>
        <v>4261.484375</v>
      </c>
      <c r="L24" s="7">
        <v>0</v>
      </c>
      <c r="M24" s="131">
        <v>0</v>
      </c>
      <c r="N24" s="131">
        <v>0</v>
      </c>
      <c r="O24" s="131">
        <v>0</v>
      </c>
      <c r="P24" s="127"/>
      <c r="Q24" s="127"/>
      <c r="R24" s="134">
        <f t="shared" si="7"/>
        <v>5796.4409513887131</v>
      </c>
      <c r="S24" s="129"/>
      <c r="T24" s="129"/>
    </row>
    <row r="25" spans="1:20" ht="12.75" customHeight="1">
      <c r="A25" s="125" t="s">
        <v>73</v>
      </c>
      <c r="B25" s="13" t="s">
        <v>74</v>
      </c>
      <c r="C25" s="9">
        <v>9783.5</v>
      </c>
      <c r="D25" s="131">
        <f t="shared" si="0"/>
        <v>0</v>
      </c>
      <c r="E25" s="131">
        <f t="shared" si="1"/>
        <v>9783.5</v>
      </c>
      <c r="F25" s="131">
        <f t="shared" si="2"/>
        <v>2.2537537606715535E-2</v>
      </c>
      <c r="G25" s="131">
        <f t="shared" si="3"/>
        <v>865.44144409787657</v>
      </c>
      <c r="H25" s="131">
        <v>4</v>
      </c>
      <c r="I25" s="131">
        <f t="shared" si="4"/>
        <v>471.24</v>
      </c>
      <c r="J25" s="131">
        <f t="shared" si="5"/>
        <v>1342.2037878478766</v>
      </c>
      <c r="K25" s="131">
        <f t="shared" si="6"/>
        <v>4261.484375</v>
      </c>
      <c r="L25" s="7">
        <v>0</v>
      </c>
      <c r="M25" s="131">
        <v>0</v>
      </c>
      <c r="N25" s="131">
        <v>0</v>
      </c>
      <c r="O25" s="131">
        <v>0</v>
      </c>
      <c r="P25" s="127"/>
      <c r="Q25" s="127"/>
      <c r="R25" s="134">
        <f t="shared" si="7"/>
        <v>5603.6881628478768</v>
      </c>
      <c r="S25" s="129"/>
      <c r="T25" s="129"/>
    </row>
    <row r="26" spans="1:20" ht="12.75" customHeight="1">
      <c r="A26" s="125" t="s">
        <v>75</v>
      </c>
      <c r="B26" s="13" t="s">
        <v>76</v>
      </c>
      <c r="C26" s="9">
        <v>12657</v>
      </c>
      <c r="D26" s="131">
        <f t="shared" si="0"/>
        <v>0</v>
      </c>
      <c r="E26" s="131">
        <f t="shared" si="1"/>
        <v>12657</v>
      </c>
      <c r="F26" s="131">
        <f t="shared" si="2"/>
        <v>2.9157010628936324E-2</v>
      </c>
      <c r="G26" s="131">
        <f t="shared" si="3"/>
        <v>1119.6292081511549</v>
      </c>
      <c r="H26" s="131">
        <v>3</v>
      </c>
      <c r="I26" s="131">
        <f t="shared" si="4"/>
        <v>353.43</v>
      </c>
      <c r="J26" s="131">
        <f t="shared" si="5"/>
        <v>1478.5815519011549</v>
      </c>
      <c r="K26" s="131">
        <f t="shared" si="6"/>
        <v>4261.484375</v>
      </c>
      <c r="L26" s="7">
        <v>0</v>
      </c>
      <c r="M26" s="131">
        <v>0</v>
      </c>
      <c r="N26" s="131">
        <v>0</v>
      </c>
      <c r="O26" s="131">
        <v>0</v>
      </c>
      <c r="P26" s="127"/>
      <c r="Q26" s="127"/>
      <c r="R26" s="134">
        <f t="shared" si="7"/>
        <v>5740.0659269011549</v>
      </c>
      <c r="S26" s="129"/>
      <c r="T26" s="129"/>
    </row>
    <row r="27" spans="1:20" ht="12.75" customHeight="1">
      <c r="A27" s="125" t="s">
        <v>77</v>
      </c>
      <c r="B27" s="13" t="s">
        <v>78</v>
      </c>
      <c r="C27" s="9">
        <v>9801</v>
      </c>
      <c r="D27" s="131">
        <f t="shared" si="0"/>
        <v>0</v>
      </c>
      <c r="E27" s="131">
        <f t="shared" si="1"/>
        <v>9801</v>
      </c>
      <c r="F27" s="131">
        <f t="shared" si="2"/>
        <v>2.2577851084317365E-2</v>
      </c>
      <c r="G27" s="131">
        <f t="shared" si="3"/>
        <v>866.98948163778687</v>
      </c>
      <c r="H27" s="131">
        <v>3</v>
      </c>
      <c r="I27" s="131">
        <f t="shared" si="4"/>
        <v>353.43</v>
      </c>
      <c r="J27" s="131">
        <f t="shared" si="5"/>
        <v>1225.9418253877868</v>
      </c>
      <c r="K27" s="131">
        <f t="shared" si="6"/>
        <v>4261.484375</v>
      </c>
      <c r="L27" s="7">
        <v>0</v>
      </c>
      <c r="M27" s="131">
        <v>0</v>
      </c>
      <c r="N27" s="131">
        <v>0</v>
      </c>
      <c r="O27" s="131">
        <v>0</v>
      </c>
      <c r="P27" s="127"/>
      <c r="Q27" s="127"/>
      <c r="R27" s="134">
        <f t="shared" si="7"/>
        <v>5487.4262003877866</v>
      </c>
      <c r="S27" s="129"/>
      <c r="T27" s="129"/>
    </row>
    <row r="28" spans="1:20" ht="12.75" customHeight="1">
      <c r="A28" s="125" t="s">
        <v>79</v>
      </c>
      <c r="B28" s="13" t="s">
        <v>80</v>
      </c>
      <c r="C28" s="9">
        <v>2222</v>
      </c>
      <c r="D28" s="131">
        <f t="shared" si="0"/>
        <v>0</v>
      </c>
      <c r="E28" s="131">
        <f t="shared" si="1"/>
        <v>2222</v>
      </c>
      <c r="F28" s="131">
        <f t="shared" si="2"/>
        <v>5.1186598417868774E-3</v>
      </c>
      <c r="G28" s="131">
        <f t="shared" si="3"/>
        <v>196.55653792461609</v>
      </c>
      <c r="H28" s="131">
        <v>3</v>
      </c>
      <c r="I28" s="131">
        <f t="shared" si="4"/>
        <v>353.43</v>
      </c>
      <c r="J28" s="131">
        <f t="shared" si="5"/>
        <v>555.50888167461608</v>
      </c>
      <c r="K28" s="131">
        <f t="shared" si="6"/>
        <v>4261.484375</v>
      </c>
      <c r="L28" s="7">
        <v>0</v>
      </c>
      <c r="M28" s="131">
        <v>0</v>
      </c>
      <c r="N28" s="131">
        <v>0</v>
      </c>
      <c r="O28" s="131">
        <v>0</v>
      </c>
      <c r="P28" s="127"/>
      <c r="Q28" s="127"/>
      <c r="R28" s="134">
        <f t="shared" si="7"/>
        <v>4816.9932566746156</v>
      </c>
      <c r="S28" s="129"/>
      <c r="T28" s="129"/>
    </row>
    <row r="29" spans="1:20" ht="12.75" customHeight="1">
      <c r="A29" s="125" t="s">
        <v>81</v>
      </c>
      <c r="B29" s="13" t="s">
        <v>82</v>
      </c>
      <c r="C29" s="9">
        <v>5047</v>
      </c>
      <c r="D29" s="131">
        <f t="shared" si="0"/>
        <v>0</v>
      </c>
      <c r="E29" s="131">
        <f t="shared" si="1"/>
        <v>5047</v>
      </c>
      <c r="F29" s="131">
        <f t="shared" si="2"/>
        <v>1.1626406940368305E-2</v>
      </c>
      <c r="G29" s="131">
        <f t="shared" si="3"/>
        <v>446.45402651014291</v>
      </c>
      <c r="H29" s="131">
        <v>3</v>
      </c>
      <c r="I29" s="131">
        <f t="shared" si="4"/>
        <v>353.43</v>
      </c>
      <c r="J29" s="131">
        <f t="shared" si="5"/>
        <v>805.40637026014292</v>
      </c>
      <c r="K29" s="131">
        <f t="shared" si="6"/>
        <v>4261.484375</v>
      </c>
      <c r="L29" s="7">
        <v>0</v>
      </c>
      <c r="M29" s="131">
        <v>0</v>
      </c>
      <c r="N29" s="131">
        <v>0</v>
      </c>
      <c r="O29" s="131">
        <v>0</v>
      </c>
      <c r="P29" s="127"/>
      <c r="Q29" s="127"/>
      <c r="R29" s="134">
        <f t="shared" si="7"/>
        <v>5066.8907452601434</v>
      </c>
      <c r="S29" s="129"/>
      <c r="T29" s="129"/>
    </row>
    <row r="30" spans="1:20" ht="12.75" customHeight="1">
      <c r="A30" s="125" t="s">
        <v>83</v>
      </c>
      <c r="B30" s="13" t="s">
        <v>84</v>
      </c>
      <c r="C30" s="9">
        <v>8296</v>
      </c>
      <c r="D30" s="131">
        <f t="shared" si="0"/>
        <v>0</v>
      </c>
      <c r="E30" s="131">
        <f t="shared" si="1"/>
        <v>8296</v>
      </c>
      <c r="F30" s="131">
        <f t="shared" si="2"/>
        <v>1.9110892010559828E-2</v>
      </c>
      <c r="G30" s="131">
        <f t="shared" si="3"/>
        <v>733.85825320549736</v>
      </c>
      <c r="H30" s="131">
        <v>5</v>
      </c>
      <c r="I30" s="131">
        <f t="shared" si="4"/>
        <v>589.04999999999995</v>
      </c>
      <c r="J30" s="131">
        <f t="shared" si="5"/>
        <v>1328.4305969554973</v>
      </c>
      <c r="K30" s="131">
        <f t="shared" si="6"/>
        <v>4261.484375</v>
      </c>
      <c r="L30" s="7">
        <v>0</v>
      </c>
      <c r="M30" s="131">
        <v>0</v>
      </c>
      <c r="N30" s="131">
        <v>0</v>
      </c>
      <c r="O30" s="131">
        <v>0</v>
      </c>
      <c r="P30" s="127"/>
      <c r="Q30" s="127"/>
      <c r="R30" s="134">
        <f t="shared" si="7"/>
        <v>5589.9149719554971</v>
      </c>
      <c r="S30" s="129"/>
      <c r="T30" s="129"/>
    </row>
    <row r="31" spans="1:20" ht="12.75" customHeight="1">
      <c r="A31" s="125" t="s">
        <v>85</v>
      </c>
      <c r="B31" s="13" t="s">
        <v>86</v>
      </c>
      <c r="C31" s="9">
        <v>3118.5</v>
      </c>
      <c r="D31" s="131">
        <f t="shared" si="0"/>
        <v>0</v>
      </c>
      <c r="E31" s="131">
        <f t="shared" si="1"/>
        <v>3118.5</v>
      </c>
      <c r="F31" s="131">
        <f t="shared" si="2"/>
        <v>7.1838617086464347E-3</v>
      </c>
      <c r="G31" s="131">
        <f t="shared" si="3"/>
        <v>275.86028961202311</v>
      </c>
      <c r="H31" s="131">
        <v>3</v>
      </c>
      <c r="I31" s="131">
        <f t="shared" si="4"/>
        <v>353.43</v>
      </c>
      <c r="J31" s="131">
        <f t="shared" si="5"/>
        <v>634.81263336202312</v>
      </c>
      <c r="K31" s="131">
        <f t="shared" si="6"/>
        <v>4261.484375</v>
      </c>
      <c r="L31" s="7">
        <v>0</v>
      </c>
      <c r="M31" s="131">
        <v>0</v>
      </c>
      <c r="N31" s="131">
        <v>0</v>
      </c>
      <c r="O31" s="131">
        <v>0</v>
      </c>
      <c r="P31" s="127"/>
      <c r="Q31" s="127"/>
      <c r="R31" s="134">
        <f t="shared" si="7"/>
        <v>4896.297008362023</v>
      </c>
      <c r="S31" s="129"/>
      <c r="T31" s="129"/>
    </row>
    <row r="32" spans="1:20" ht="12.75" customHeight="1">
      <c r="A32" s="125" t="s">
        <v>87</v>
      </c>
      <c r="B32" s="13" t="s">
        <v>88</v>
      </c>
      <c r="C32" s="9">
        <v>3477.5</v>
      </c>
      <c r="D32" s="131">
        <f t="shared" si="0"/>
        <v>0</v>
      </c>
      <c r="E32" s="131">
        <f t="shared" si="1"/>
        <v>3477.5</v>
      </c>
      <c r="F32" s="131">
        <f t="shared" si="2"/>
        <v>8.0108639063068716E-3</v>
      </c>
      <c r="G32" s="131">
        <f t="shared" si="3"/>
        <v>307.61717400218384</v>
      </c>
      <c r="H32" s="131">
        <v>3</v>
      </c>
      <c r="I32" s="131">
        <f t="shared" si="4"/>
        <v>353.43</v>
      </c>
      <c r="J32" s="131">
        <f t="shared" si="5"/>
        <v>666.56951775218386</v>
      </c>
      <c r="K32" s="131">
        <f t="shared" si="6"/>
        <v>4261.484375</v>
      </c>
      <c r="L32" s="7">
        <v>0</v>
      </c>
      <c r="M32" s="131">
        <v>0</v>
      </c>
      <c r="N32" s="131">
        <v>0</v>
      </c>
      <c r="O32" s="131">
        <v>0</v>
      </c>
      <c r="P32" s="127"/>
      <c r="Q32" s="127"/>
      <c r="R32" s="134">
        <f t="shared" si="7"/>
        <v>4928.0538927521839</v>
      </c>
      <c r="S32" s="129"/>
      <c r="T32" s="129"/>
    </row>
    <row r="33" spans="1:20" ht="12.75" customHeight="1">
      <c r="A33" s="125" t="s">
        <v>89</v>
      </c>
      <c r="B33" s="13" t="s">
        <v>90</v>
      </c>
      <c r="C33" s="9">
        <v>10515</v>
      </c>
      <c r="D33" s="131">
        <f t="shared" si="0"/>
        <v>0</v>
      </c>
      <c r="E33" s="131">
        <f t="shared" si="1"/>
        <v>10515</v>
      </c>
      <c r="F33" s="131">
        <f t="shared" si="2"/>
        <v>2.4222640970472106E-2</v>
      </c>
      <c r="G33" s="131">
        <f t="shared" si="3"/>
        <v>930.14941326612882</v>
      </c>
      <c r="H33" s="131">
        <v>3</v>
      </c>
      <c r="I33" s="131">
        <f t="shared" si="4"/>
        <v>353.43</v>
      </c>
      <c r="J33" s="131">
        <f t="shared" si="5"/>
        <v>1289.1017570161289</v>
      </c>
      <c r="K33" s="131">
        <f t="shared" si="6"/>
        <v>4261.484375</v>
      </c>
      <c r="L33" s="7">
        <v>0</v>
      </c>
      <c r="M33" s="131">
        <v>0</v>
      </c>
      <c r="N33" s="131">
        <v>0</v>
      </c>
      <c r="O33" s="131">
        <v>0</v>
      </c>
      <c r="P33" s="127"/>
      <c r="Q33" s="127"/>
      <c r="R33" s="134">
        <f t="shared" si="7"/>
        <v>5550.5861320161293</v>
      </c>
      <c r="S33" s="129"/>
      <c r="T33" s="129"/>
    </row>
    <row r="34" spans="1:20" ht="12.75" customHeight="1">
      <c r="A34" s="125" t="s">
        <v>91</v>
      </c>
      <c r="B34" s="13" t="s">
        <v>92</v>
      </c>
      <c r="C34" s="9">
        <v>2243.5</v>
      </c>
      <c r="D34" s="131">
        <f t="shared" si="0"/>
        <v>0</v>
      </c>
      <c r="E34" s="131">
        <f t="shared" si="1"/>
        <v>2243.5</v>
      </c>
      <c r="F34" s="131">
        <f t="shared" si="2"/>
        <v>5.1681878285548422E-3</v>
      </c>
      <c r="G34" s="131">
        <f t="shared" si="3"/>
        <v>198.45841261650594</v>
      </c>
      <c r="H34" s="131">
        <v>4</v>
      </c>
      <c r="I34" s="131">
        <f t="shared" si="4"/>
        <v>471.24</v>
      </c>
      <c r="J34" s="131">
        <f t="shared" si="5"/>
        <v>675.22075636650595</v>
      </c>
      <c r="K34" s="131">
        <f t="shared" si="6"/>
        <v>4261.484375</v>
      </c>
      <c r="L34" s="7">
        <v>0</v>
      </c>
      <c r="M34" s="131">
        <v>0</v>
      </c>
      <c r="N34" s="131">
        <v>0</v>
      </c>
      <c r="O34" s="131">
        <v>0</v>
      </c>
      <c r="P34" s="127"/>
      <c r="Q34" s="127"/>
      <c r="R34" s="134">
        <f t="shared" si="7"/>
        <v>4936.7051313665061</v>
      </c>
      <c r="S34" s="129"/>
      <c r="T34" s="129"/>
    </row>
    <row r="35" spans="1:20" ht="12.75" customHeight="1">
      <c r="A35" s="125" t="s">
        <v>93</v>
      </c>
      <c r="B35" s="13" t="s">
        <v>94</v>
      </c>
      <c r="C35" s="9">
        <v>13924.5</v>
      </c>
      <c r="D35" s="131">
        <f t="shared" si="0"/>
        <v>0</v>
      </c>
      <c r="E35" s="131">
        <f t="shared" si="1"/>
        <v>13924.5</v>
      </c>
      <c r="F35" s="131">
        <f t="shared" si="2"/>
        <v>3.2076858220954713E-2</v>
      </c>
      <c r="G35" s="131">
        <f t="shared" si="3"/>
        <v>1231.7513556846609</v>
      </c>
      <c r="H35" s="131">
        <v>4</v>
      </c>
      <c r="I35" s="131">
        <f t="shared" si="4"/>
        <v>471.24</v>
      </c>
      <c r="J35" s="131">
        <f t="shared" si="5"/>
        <v>1708.5136994346608</v>
      </c>
      <c r="K35" s="131">
        <f t="shared" si="6"/>
        <v>4261.484375</v>
      </c>
      <c r="L35" s="7">
        <v>0</v>
      </c>
      <c r="M35" s="131">
        <v>0</v>
      </c>
      <c r="N35" s="131">
        <v>0</v>
      </c>
      <c r="O35" s="131">
        <v>0</v>
      </c>
      <c r="P35" s="127"/>
      <c r="Q35" s="127"/>
      <c r="R35" s="134">
        <f t="shared" si="7"/>
        <v>5969.9980744346612</v>
      </c>
      <c r="S35" s="129"/>
      <c r="T35" s="129"/>
    </row>
    <row r="36" spans="1:20" ht="12.75" customHeight="1">
      <c r="A36" s="125" t="s">
        <v>95</v>
      </c>
      <c r="B36" s="13" t="s">
        <v>96</v>
      </c>
      <c r="C36" s="9">
        <v>1466</v>
      </c>
      <c r="D36" s="131">
        <f t="shared" si="0"/>
        <v>0</v>
      </c>
      <c r="E36" s="131">
        <f t="shared" si="1"/>
        <v>1466</v>
      </c>
      <c r="F36" s="131">
        <f t="shared" si="2"/>
        <v>3.3771176093877419E-3</v>
      </c>
      <c r="G36" s="131">
        <f t="shared" si="3"/>
        <v>129.68131620048928</v>
      </c>
      <c r="H36" s="131">
        <v>4</v>
      </c>
      <c r="I36" s="131">
        <f t="shared" si="4"/>
        <v>471.24</v>
      </c>
      <c r="J36" s="131">
        <f t="shared" si="5"/>
        <v>606.44365995048929</v>
      </c>
      <c r="K36" s="131">
        <f t="shared" si="6"/>
        <v>4261.484375</v>
      </c>
      <c r="L36" s="7">
        <v>0</v>
      </c>
      <c r="M36" s="131">
        <v>0</v>
      </c>
      <c r="N36" s="131">
        <v>0</v>
      </c>
      <c r="O36" s="131">
        <v>0</v>
      </c>
      <c r="P36" s="127"/>
      <c r="Q36" s="127"/>
      <c r="R36" s="134">
        <f t="shared" si="7"/>
        <v>4867.9280349504897</v>
      </c>
      <c r="S36" s="129"/>
      <c r="T36" s="129"/>
    </row>
    <row r="37" spans="1:20" ht="12.75" customHeight="1">
      <c r="A37" s="125" t="s">
        <v>97</v>
      </c>
      <c r="B37" s="13" t="s">
        <v>98</v>
      </c>
      <c r="C37" s="9">
        <v>2245</v>
      </c>
      <c r="D37" s="131">
        <f t="shared" si="0"/>
        <v>0</v>
      </c>
      <c r="E37" s="131">
        <f t="shared" si="1"/>
        <v>2245</v>
      </c>
      <c r="F37" s="131">
        <f t="shared" si="2"/>
        <v>5.1716432694921422E-3</v>
      </c>
      <c r="G37" s="131">
        <f t="shared" si="3"/>
        <v>198.59110154849827</v>
      </c>
      <c r="H37" s="131">
        <v>3</v>
      </c>
      <c r="I37" s="131">
        <f t="shared" si="4"/>
        <v>353.43</v>
      </c>
      <c r="J37" s="131">
        <f t="shared" si="5"/>
        <v>557.54344529849823</v>
      </c>
      <c r="K37" s="131">
        <f t="shared" si="6"/>
        <v>4261.484375</v>
      </c>
      <c r="L37" s="7">
        <v>0</v>
      </c>
      <c r="M37" s="131">
        <v>0</v>
      </c>
      <c r="N37" s="131">
        <v>0</v>
      </c>
      <c r="O37" s="131">
        <v>0</v>
      </c>
      <c r="P37" s="127"/>
      <c r="Q37" s="127"/>
      <c r="R37" s="134">
        <f t="shared" si="7"/>
        <v>4819.0278202984982</v>
      </c>
      <c r="S37" s="129"/>
      <c r="T37" s="129"/>
    </row>
    <row r="38" spans="1:20" ht="12.75" customHeight="1">
      <c r="A38" s="125" t="s">
        <v>99</v>
      </c>
      <c r="B38" s="13" t="s">
        <v>100</v>
      </c>
      <c r="C38" s="9">
        <v>3047.5</v>
      </c>
      <c r="D38" s="131">
        <f t="shared" si="0"/>
        <v>0</v>
      </c>
      <c r="E38" s="131">
        <f t="shared" si="1"/>
        <v>3047.5</v>
      </c>
      <c r="F38" s="131">
        <f t="shared" si="2"/>
        <v>7.0203041709475745E-3</v>
      </c>
      <c r="G38" s="131">
        <f t="shared" si="3"/>
        <v>269.57968016438684</v>
      </c>
      <c r="H38" s="131">
        <v>3</v>
      </c>
      <c r="I38" s="131">
        <f t="shared" si="4"/>
        <v>353.43</v>
      </c>
      <c r="J38" s="131">
        <f t="shared" si="5"/>
        <v>628.53202391438685</v>
      </c>
      <c r="K38" s="131">
        <f t="shared" si="6"/>
        <v>4261.484375</v>
      </c>
      <c r="L38" s="7">
        <v>0</v>
      </c>
      <c r="M38" s="131">
        <v>0</v>
      </c>
      <c r="N38" s="131">
        <v>0</v>
      </c>
      <c r="O38" s="131">
        <v>0</v>
      </c>
      <c r="P38" s="127"/>
      <c r="Q38" s="127"/>
      <c r="R38" s="134">
        <f t="shared" si="7"/>
        <v>4890.0163989143866</v>
      </c>
      <c r="S38" s="129"/>
      <c r="T38" s="129"/>
    </row>
    <row r="39" spans="1:20" ht="12.75" customHeight="1">
      <c r="A39" s="125" t="s">
        <v>101</v>
      </c>
      <c r="B39" s="13" t="s">
        <v>102</v>
      </c>
      <c r="C39" s="9">
        <v>24982.5</v>
      </c>
      <c r="D39" s="131">
        <f t="shared" si="0"/>
        <v>0</v>
      </c>
      <c r="E39" s="131">
        <f t="shared" si="1"/>
        <v>24982.5</v>
      </c>
      <c r="F39" s="131">
        <f t="shared" si="2"/>
        <v>5.7550368810729377E-2</v>
      </c>
      <c r="G39" s="131">
        <f t="shared" si="3"/>
        <v>2209.9341623320079</v>
      </c>
      <c r="H39" s="131">
        <v>4</v>
      </c>
      <c r="I39" s="131">
        <f t="shared" si="4"/>
        <v>471.24</v>
      </c>
      <c r="J39" s="131">
        <f t="shared" si="5"/>
        <v>2686.6965060820075</v>
      </c>
      <c r="K39" s="131">
        <f t="shared" si="6"/>
        <v>4261.484375</v>
      </c>
      <c r="L39" s="7">
        <v>0</v>
      </c>
      <c r="M39" s="131">
        <v>0</v>
      </c>
      <c r="N39" s="131">
        <v>0</v>
      </c>
      <c r="O39" s="131">
        <v>0</v>
      </c>
      <c r="P39" s="127"/>
      <c r="Q39" s="127"/>
      <c r="R39" s="134">
        <f t="shared" si="7"/>
        <v>6948.1808810820075</v>
      </c>
      <c r="S39" s="129"/>
      <c r="T39" s="129"/>
    </row>
    <row r="40" spans="1:20" ht="12.75" customHeight="1">
      <c r="A40" s="125" t="s">
        <v>103</v>
      </c>
      <c r="B40" s="13" t="s">
        <v>104</v>
      </c>
      <c r="C40" s="9">
        <v>4001</v>
      </c>
      <c r="D40" s="131">
        <f t="shared" si="0"/>
        <v>0</v>
      </c>
      <c r="E40" s="131">
        <f t="shared" si="1"/>
        <v>4001</v>
      </c>
      <c r="F40" s="131">
        <f t="shared" si="2"/>
        <v>9.216812793424527E-3</v>
      </c>
      <c r="G40" s="131">
        <f t="shared" si="3"/>
        <v>353.92561126750184</v>
      </c>
      <c r="H40" s="131">
        <v>4</v>
      </c>
      <c r="I40" s="131">
        <f t="shared" si="4"/>
        <v>471.24</v>
      </c>
      <c r="J40" s="131">
        <f t="shared" si="5"/>
        <v>830.68795501750185</v>
      </c>
      <c r="K40" s="131">
        <f t="shared" si="6"/>
        <v>4261.484375</v>
      </c>
      <c r="L40" s="7">
        <v>0</v>
      </c>
      <c r="M40" s="131">
        <v>0</v>
      </c>
      <c r="N40" s="131">
        <v>0</v>
      </c>
      <c r="O40" s="131">
        <v>0</v>
      </c>
      <c r="P40" s="127"/>
      <c r="Q40" s="127"/>
      <c r="R40" s="134">
        <f t="shared" si="7"/>
        <v>5092.1723300175017</v>
      </c>
      <c r="S40" s="129"/>
      <c r="T40" s="129"/>
    </row>
    <row r="41" spans="1:20" ht="12.75" customHeight="1">
      <c r="A41" s="125" t="s">
        <v>105</v>
      </c>
      <c r="B41" s="13" t="s">
        <v>106</v>
      </c>
      <c r="C41" s="9">
        <v>13106.5</v>
      </c>
      <c r="D41" s="131">
        <f t="shared" si="0"/>
        <v>0</v>
      </c>
      <c r="E41" s="131">
        <f t="shared" si="1"/>
        <v>13106.5</v>
      </c>
      <c r="F41" s="131">
        <f t="shared" si="2"/>
        <v>3.019249109648052E-2</v>
      </c>
      <c r="G41" s="131">
        <f t="shared" si="3"/>
        <v>1159.391658104852</v>
      </c>
      <c r="H41" s="131">
        <v>3</v>
      </c>
      <c r="I41" s="131">
        <f t="shared" si="4"/>
        <v>353.43</v>
      </c>
      <c r="J41" s="131">
        <f t="shared" si="5"/>
        <v>1518.344001854852</v>
      </c>
      <c r="K41" s="131">
        <f t="shared" si="6"/>
        <v>4261.484375</v>
      </c>
      <c r="L41" s="7">
        <v>0</v>
      </c>
      <c r="M41" s="131">
        <v>0</v>
      </c>
      <c r="N41" s="131">
        <v>0</v>
      </c>
      <c r="O41" s="131">
        <v>0</v>
      </c>
      <c r="P41" s="127"/>
      <c r="Q41" s="127"/>
      <c r="R41" s="134">
        <f t="shared" si="7"/>
        <v>5779.8283768548517</v>
      </c>
      <c r="S41" s="129"/>
      <c r="T41" s="129"/>
    </row>
    <row r="42" spans="1:20" ht="12.75" customHeight="1">
      <c r="A42" s="125" t="s">
        <v>107</v>
      </c>
      <c r="B42" s="13" t="s">
        <v>108</v>
      </c>
      <c r="C42" s="9">
        <v>8019</v>
      </c>
      <c r="D42" s="131">
        <f t="shared" si="0"/>
        <v>0</v>
      </c>
      <c r="E42" s="131">
        <f t="shared" si="1"/>
        <v>8019</v>
      </c>
      <c r="F42" s="131">
        <f t="shared" si="2"/>
        <v>1.8472787250805117E-2</v>
      </c>
      <c r="G42" s="131">
        <f t="shared" si="3"/>
        <v>709.35503043091649</v>
      </c>
      <c r="H42" s="131">
        <v>3</v>
      </c>
      <c r="I42" s="131">
        <f t="shared" si="4"/>
        <v>353.43</v>
      </c>
      <c r="J42" s="131">
        <f t="shared" si="5"/>
        <v>1068.3073741809164</v>
      </c>
      <c r="K42" s="131">
        <f t="shared" si="6"/>
        <v>4261.484375</v>
      </c>
      <c r="L42" s="7">
        <v>0</v>
      </c>
      <c r="M42" s="131">
        <v>0</v>
      </c>
      <c r="N42" s="131">
        <v>0</v>
      </c>
      <c r="O42" s="131">
        <v>0</v>
      </c>
      <c r="P42" s="127"/>
      <c r="Q42" s="127"/>
      <c r="R42" s="134">
        <f t="shared" si="7"/>
        <v>5329.7917491809167</v>
      </c>
      <c r="S42" s="129"/>
      <c r="T42" s="129"/>
    </row>
    <row r="43" spans="1:20" ht="12.75" customHeight="1">
      <c r="A43" s="125" t="s">
        <v>109</v>
      </c>
      <c r="B43" s="30" t="s">
        <v>110</v>
      </c>
      <c r="C43" s="9">
        <v>3199.5</v>
      </c>
      <c r="D43" s="131">
        <f t="shared" si="0"/>
        <v>0</v>
      </c>
      <c r="E43" s="131">
        <f t="shared" si="1"/>
        <v>3199.5</v>
      </c>
      <c r="F43" s="131">
        <f t="shared" si="2"/>
        <v>7.3704555192606281E-3</v>
      </c>
      <c r="G43" s="131">
        <f t="shared" si="3"/>
        <v>283.02549193960812</v>
      </c>
      <c r="H43" s="131">
        <v>3</v>
      </c>
      <c r="I43" s="131">
        <f t="shared" si="4"/>
        <v>353.43</v>
      </c>
      <c r="J43" s="131">
        <f t="shared" si="5"/>
        <v>641.97783568960813</v>
      </c>
      <c r="K43" s="131">
        <f t="shared" si="6"/>
        <v>4261.484375</v>
      </c>
      <c r="L43" s="7">
        <v>0</v>
      </c>
      <c r="M43" s="131">
        <v>0</v>
      </c>
      <c r="N43" s="131">
        <v>0</v>
      </c>
      <c r="O43" s="131">
        <v>0</v>
      </c>
      <c r="P43" s="127"/>
      <c r="Q43" s="127"/>
      <c r="R43" s="134">
        <f t="shared" si="7"/>
        <v>4903.4622106896077</v>
      </c>
      <c r="S43" s="129"/>
      <c r="T43" s="129"/>
    </row>
    <row r="44" spans="1:20" ht="12.75" customHeight="1">
      <c r="A44" s="125" t="s">
        <v>111</v>
      </c>
      <c r="B44" s="13" t="s">
        <v>112</v>
      </c>
      <c r="C44" s="9">
        <v>3570.5</v>
      </c>
      <c r="D44" s="131">
        <f t="shared" si="0"/>
        <v>0</v>
      </c>
      <c r="E44" s="131">
        <f t="shared" si="1"/>
        <v>3570.5</v>
      </c>
      <c r="F44" s="131">
        <f t="shared" si="2"/>
        <v>8.2251012444194624E-3</v>
      </c>
      <c r="G44" s="131">
        <f t="shared" si="3"/>
        <v>315.84388778570735</v>
      </c>
      <c r="H44" s="131">
        <v>3</v>
      </c>
      <c r="I44" s="131">
        <f t="shared" si="4"/>
        <v>353.43</v>
      </c>
      <c r="J44" s="131">
        <f t="shared" si="5"/>
        <v>674.79623153570742</v>
      </c>
      <c r="K44" s="131">
        <f t="shared" si="6"/>
        <v>4261.484375</v>
      </c>
      <c r="L44" s="7">
        <v>0</v>
      </c>
      <c r="M44" s="131">
        <v>0</v>
      </c>
      <c r="N44" s="131">
        <v>0</v>
      </c>
      <c r="O44" s="131">
        <v>0</v>
      </c>
      <c r="P44" s="127"/>
      <c r="Q44" s="127"/>
      <c r="R44" s="134">
        <f t="shared" si="7"/>
        <v>4936.2806065357072</v>
      </c>
      <c r="S44" s="129"/>
      <c r="T44" s="129"/>
    </row>
    <row r="45" spans="1:20" ht="12.75" customHeight="1">
      <c r="A45" s="125" t="s">
        <v>113</v>
      </c>
      <c r="B45" s="13" t="s">
        <v>114</v>
      </c>
      <c r="C45" s="9">
        <v>9229.5</v>
      </c>
      <c r="D45" s="131">
        <f t="shared" si="0"/>
        <v>0</v>
      </c>
      <c r="E45" s="131">
        <f t="shared" si="1"/>
        <v>9229.5</v>
      </c>
      <c r="F45" s="131">
        <f t="shared" si="2"/>
        <v>2.1261328087206113E-2</v>
      </c>
      <c r="G45" s="131">
        <f t="shared" si="3"/>
        <v>816.4349985487147</v>
      </c>
      <c r="H45" s="131">
        <v>3</v>
      </c>
      <c r="I45" s="131">
        <f t="shared" si="4"/>
        <v>353.43</v>
      </c>
      <c r="J45" s="131">
        <f t="shared" si="5"/>
        <v>1175.3873422987147</v>
      </c>
      <c r="K45" s="131">
        <f t="shared" si="6"/>
        <v>4261.484375</v>
      </c>
      <c r="L45" s="7">
        <v>0</v>
      </c>
      <c r="M45" s="131">
        <v>0</v>
      </c>
      <c r="N45" s="131">
        <v>0</v>
      </c>
      <c r="O45" s="131">
        <v>0</v>
      </c>
      <c r="P45" s="127"/>
      <c r="Q45" s="127"/>
      <c r="R45" s="134">
        <f t="shared" si="7"/>
        <v>5436.8717172987144</v>
      </c>
      <c r="S45" s="129"/>
      <c r="T45" s="129"/>
    </row>
    <row r="46" spans="1:20" ht="12.75" customHeight="1">
      <c r="A46" s="125" t="s">
        <v>115</v>
      </c>
      <c r="B46" s="13" t="s">
        <v>116</v>
      </c>
      <c r="C46" s="9">
        <v>5974.5</v>
      </c>
      <c r="D46" s="131">
        <f t="shared" si="0"/>
        <v>0</v>
      </c>
      <c r="E46" s="131">
        <f t="shared" si="1"/>
        <v>5974.5</v>
      </c>
      <c r="F46" s="131">
        <f t="shared" si="2"/>
        <v>1.3763021253265392E-2</v>
      </c>
      <c r="G46" s="131">
        <f t="shared" si="3"/>
        <v>528.50001612539108</v>
      </c>
      <c r="H46" s="131">
        <v>4</v>
      </c>
      <c r="I46" s="131">
        <f t="shared" si="4"/>
        <v>471.24</v>
      </c>
      <c r="J46" s="131">
        <f t="shared" si="5"/>
        <v>1005.2623598753911</v>
      </c>
      <c r="K46" s="131">
        <f t="shared" si="6"/>
        <v>4261.484375</v>
      </c>
      <c r="L46" s="7">
        <v>0</v>
      </c>
      <c r="M46" s="131">
        <v>0</v>
      </c>
      <c r="N46" s="131">
        <v>0</v>
      </c>
      <c r="O46" s="131">
        <v>0</v>
      </c>
      <c r="P46" s="127"/>
      <c r="Q46" s="127"/>
      <c r="R46" s="134">
        <f t="shared" si="7"/>
        <v>5266.7467348753908</v>
      </c>
      <c r="S46" s="129"/>
      <c r="T46" s="129"/>
    </row>
    <row r="47" spans="1:20" ht="12.75" customHeight="1">
      <c r="A47" s="125" t="s">
        <v>117</v>
      </c>
      <c r="B47" s="13" t="s">
        <v>118</v>
      </c>
      <c r="C47" s="9">
        <v>133.5</v>
      </c>
      <c r="D47" s="131">
        <f t="shared" si="0"/>
        <v>0</v>
      </c>
      <c r="E47" s="131">
        <f t="shared" si="1"/>
        <v>133.5</v>
      </c>
      <c r="F47" s="131">
        <f t="shared" si="2"/>
        <v>3.0753424341968864E-4</v>
      </c>
      <c r="G47" s="131">
        <f t="shared" si="3"/>
        <v>11.809314947316043</v>
      </c>
      <c r="H47" s="131">
        <v>3</v>
      </c>
      <c r="I47" s="131">
        <f t="shared" si="4"/>
        <v>353.43</v>
      </c>
      <c r="J47" s="131">
        <f t="shared" si="5"/>
        <v>370.76165869731608</v>
      </c>
      <c r="K47" s="131">
        <f t="shared" si="6"/>
        <v>4261.484375</v>
      </c>
      <c r="L47" s="7">
        <v>0</v>
      </c>
      <c r="M47" s="131">
        <v>0</v>
      </c>
      <c r="N47" s="131">
        <v>0</v>
      </c>
      <c r="O47" s="131">
        <v>0</v>
      </c>
      <c r="P47" s="127"/>
      <c r="Q47" s="127"/>
      <c r="R47" s="134">
        <f t="shared" si="7"/>
        <v>4632.2460336973163</v>
      </c>
      <c r="S47" s="129"/>
      <c r="T47" s="129"/>
    </row>
    <row r="48" spans="1:20" ht="12.75" customHeight="1">
      <c r="A48" s="125" t="s">
        <v>119</v>
      </c>
      <c r="B48" s="13" t="s">
        <v>120</v>
      </c>
      <c r="C48" s="9">
        <v>5944</v>
      </c>
      <c r="D48" s="131">
        <f t="shared" si="0"/>
        <v>0</v>
      </c>
      <c r="E48" s="131">
        <f t="shared" si="1"/>
        <v>5944</v>
      </c>
      <c r="F48" s="131">
        <f t="shared" si="2"/>
        <v>1.3692760620873627E-2</v>
      </c>
      <c r="G48" s="131">
        <f t="shared" si="3"/>
        <v>525.80200784154727</v>
      </c>
      <c r="H48" s="131">
        <v>3</v>
      </c>
      <c r="I48" s="131">
        <f t="shared" si="4"/>
        <v>353.43</v>
      </c>
      <c r="J48" s="131">
        <f t="shared" si="5"/>
        <v>884.75435159154722</v>
      </c>
      <c r="K48" s="131">
        <f t="shared" si="6"/>
        <v>4261.484375</v>
      </c>
      <c r="L48" s="7">
        <v>0</v>
      </c>
      <c r="M48" s="131">
        <v>0</v>
      </c>
      <c r="N48" s="131">
        <v>0</v>
      </c>
      <c r="O48" s="131">
        <v>0</v>
      </c>
      <c r="P48" s="127"/>
      <c r="Q48" s="127"/>
      <c r="R48" s="134">
        <f t="shared" si="7"/>
        <v>5146.2387265915477</v>
      </c>
      <c r="S48" s="129"/>
      <c r="T48" s="129"/>
    </row>
    <row r="49" spans="1:20" ht="12.75" customHeight="1">
      <c r="A49" s="125" t="s">
        <v>121</v>
      </c>
      <c r="B49" s="13" t="s">
        <v>122</v>
      </c>
      <c r="C49" s="9">
        <v>2614</v>
      </c>
      <c r="D49" s="131">
        <f t="shared" si="0"/>
        <v>0</v>
      </c>
      <c r="E49" s="131">
        <f t="shared" si="1"/>
        <v>2614</v>
      </c>
      <c r="F49" s="131">
        <f t="shared" si="2"/>
        <v>6.0216817400679107E-3</v>
      </c>
      <c r="G49" s="131">
        <f t="shared" si="3"/>
        <v>231.23257881860778</v>
      </c>
      <c r="H49" s="131">
        <v>3</v>
      </c>
      <c r="I49" s="131">
        <f t="shared" si="4"/>
        <v>353.43</v>
      </c>
      <c r="J49" s="131">
        <f t="shared" si="5"/>
        <v>590.18492256860782</v>
      </c>
      <c r="K49" s="131">
        <f t="shared" si="6"/>
        <v>4261.484375</v>
      </c>
      <c r="L49" s="7">
        <v>0</v>
      </c>
      <c r="M49" s="131">
        <v>0</v>
      </c>
      <c r="N49" s="131">
        <v>0</v>
      </c>
      <c r="O49" s="131">
        <v>0</v>
      </c>
      <c r="P49" s="127"/>
      <c r="Q49" s="127"/>
      <c r="R49" s="134">
        <f t="shared" si="7"/>
        <v>4851.6692975686074</v>
      </c>
      <c r="S49" s="129"/>
      <c r="T49" s="129"/>
    </row>
    <row r="50" spans="1:20" ht="12.75" customHeight="1">
      <c r="A50" s="125" t="s">
        <v>123</v>
      </c>
      <c r="B50" s="13" t="s">
        <v>124</v>
      </c>
      <c r="C50" s="9">
        <v>11</v>
      </c>
      <c r="D50" s="131">
        <f t="shared" si="0"/>
        <v>0</v>
      </c>
      <c r="E50" s="131">
        <f t="shared" si="1"/>
        <v>11</v>
      </c>
      <c r="F50" s="131">
        <f t="shared" si="2"/>
        <v>2.5339900206865732E-5</v>
      </c>
      <c r="G50" s="131">
        <f t="shared" si="3"/>
        <v>0.97305216794364413</v>
      </c>
      <c r="H50" s="131">
        <v>4</v>
      </c>
      <c r="I50" s="131">
        <f t="shared" si="4"/>
        <v>471.24</v>
      </c>
      <c r="J50" s="131">
        <f t="shared" si="5"/>
        <v>477.73539591794366</v>
      </c>
      <c r="K50" s="131">
        <f t="shared" si="6"/>
        <v>4261.484375</v>
      </c>
      <c r="L50" s="7">
        <v>0</v>
      </c>
      <c r="M50" s="131">
        <v>0</v>
      </c>
      <c r="N50" s="131">
        <v>0</v>
      </c>
      <c r="O50" s="131">
        <v>0</v>
      </c>
      <c r="P50" s="127"/>
      <c r="Q50" s="127"/>
      <c r="R50" s="134">
        <f t="shared" si="7"/>
        <v>4739.2197709179436</v>
      </c>
      <c r="S50" s="129"/>
      <c r="T50" s="129"/>
    </row>
    <row r="51" spans="1:20" ht="12.75" customHeight="1">
      <c r="A51" s="125" t="s">
        <v>125</v>
      </c>
      <c r="B51" s="13" t="s">
        <v>126</v>
      </c>
      <c r="C51" s="9">
        <v>8192.5</v>
      </c>
      <c r="D51" s="131">
        <f t="shared" si="0"/>
        <v>0</v>
      </c>
      <c r="E51" s="131">
        <f t="shared" si="1"/>
        <v>8192.5</v>
      </c>
      <c r="F51" s="131">
        <f t="shared" si="2"/>
        <v>1.8872466585886136E-2</v>
      </c>
      <c r="G51" s="131">
        <f t="shared" si="3"/>
        <v>724.70271689802757</v>
      </c>
      <c r="H51" s="131">
        <v>4</v>
      </c>
      <c r="I51" s="131">
        <f t="shared" si="4"/>
        <v>471.24</v>
      </c>
      <c r="J51" s="131">
        <f t="shared" si="5"/>
        <v>1201.4650606480277</v>
      </c>
      <c r="K51" s="131">
        <f t="shared" si="6"/>
        <v>4261.484375</v>
      </c>
      <c r="L51" s="7">
        <v>0</v>
      </c>
      <c r="M51" s="131">
        <v>0</v>
      </c>
      <c r="N51" s="131">
        <v>0</v>
      </c>
      <c r="O51" s="131">
        <v>0</v>
      </c>
      <c r="P51" s="127"/>
      <c r="Q51" s="127"/>
      <c r="R51" s="134">
        <f t="shared" si="7"/>
        <v>5462.9494356480282</v>
      </c>
      <c r="S51" s="129"/>
      <c r="T51" s="129"/>
    </row>
    <row r="52" spans="1:20" ht="12.75" customHeight="1">
      <c r="A52" s="125" t="s">
        <v>127</v>
      </c>
      <c r="B52" s="13" t="s">
        <v>128</v>
      </c>
      <c r="C52" s="9">
        <v>15358</v>
      </c>
      <c r="D52" s="131">
        <f t="shared" si="0"/>
        <v>0</v>
      </c>
      <c r="E52" s="131">
        <f t="shared" si="1"/>
        <v>15358</v>
      </c>
      <c r="F52" s="131">
        <f t="shared" si="2"/>
        <v>3.5379107943367627E-2</v>
      </c>
      <c r="G52" s="131">
        <f t="shared" si="3"/>
        <v>1358.5577450253168</v>
      </c>
      <c r="H52" s="131">
        <v>4</v>
      </c>
      <c r="I52" s="131">
        <f t="shared" si="4"/>
        <v>471.24</v>
      </c>
      <c r="J52" s="131">
        <f t="shared" si="5"/>
        <v>1835.3200887753167</v>
      </c>
      <c r="K52" s="131">
        <f t="shared" si="6"/>
        <v>4261.484375</v>
      </c>
      <c r="L52" s="7">
        <v>0</v>
      </c>
      <c r="M52" s="131">
        <v>0</v>
      </c>
      <c r="N52" s="131">
        <v>0</v>
      </c>
      <c r="O52" s="131">
        <v>0</v>
      </c>
      <c r="P52" s="127"/>
      <c r="Q52" s="127"/>
      <c r="R52" s="134">
        <f t="shared" si="7"/>
        <v>6096.8044637753164</v>
      </c>
      <c r="S52" s="129"/>
      <c r="T52" s="129"/>
    </row>
    <row r="53" spans="1:20" ht="12.75" customHeight="1">
      <c r="A53" s="125" t="s">
        <v>129</v>
      </c>
      <c r="B53" s="13" t="s">
        <v>130</v>
      </c>
      <c r="C53" s="9">
        <v>2475</v>
      </c>
      <c r="D53" s="131">
        <f t="shared" si="0"/>
        <v>0</v>
      </c>
      <c r="E53" s="131">
        <f t="shared" si="1"/>
        <v>2475</v>
      </c>
      <c r="F53" s="131">
        <f t="shared" si="2"/>
        <v>5.7014775465447894E-3</v>
      </c>
      <c r="G53" s="131">
        <f t="shared" si="3"/>
        <v>218.93673778731991</v>
      </c>
      <c r="H53" s="131">
        <v>3</v>
      </c>
      <c r="I53" s="131">
        <f t="shared" si="4"/>
        <v>353.43</v>
      </c>
      <c r="J53" s="131">
        <f t="shared" si="5"/>
        <v>577.88908153731995</v>
      </c>
      <c r="K53" s="131">
        <f t="shared" si="6"/>
        <v>4261.484375</v>
      </c>
      <c r="L53" s="7">
        <v>0</v>
      </c>
      <c r="M53" s="131">
        <v>0</v>
      </c>
      <c r="N53" s="131">
        <v>0</v>
      </c>
      <c r="O53" s="131">
        <v>0</v>
      </c>
      <c r="P53" s="127"/>
      <c r="Q53" s="127"/>
      <c r="R53" s="134">
        <f t="shared" si="7"/>
        <v>4839.3734565373197</v>
      </c>
      <c r="S53" s="129"/>
      <c r="T53" s="129"/>
    </row>
    <row r="54" spans="1:20" ht="12.75" customHeight="1">
      <c r="A54" s="125" t="s">
        <v>131</v>
      </c>
      <c r="B54" s="13" t="s">
        <v>132</v>
      </c>
      <c r="C54" s="9">
        <v>14224.5</v>
      </c>
      <c r="D54" s="131">
        <f t="shared" si="0"/>
        <v>0</v>
      </c>
      <c r="E54" s="131">
        <f t="shared" si="1"/>
        <v>14224.5</v>
      </c>
      <c r="F54" s="131">
        <f t="shared" si="2"/>
        <v>3.276794640841469E-2</v>
      </c>
      <c r="G54" s="131">
        <f t="shared" si="3"/>
        <v>1258.289142083124</v>
      </c>
      <c r="H54" s="131">
        <v>3</v>
      </c>
      <c r="I54" s="131">
        <f t="shared" si="4"/>
        <v>353.43</v>
      </c>
      <c r="J54" s="131">
        <f t="shared" si="5"/>
        <v>1617.241485833124</v>
      </c>
      <c r="K54" s="131">
        <f t="shared" si="6"/>
        <v>4261.484375</v>
      </c>
      <c r="L54" s="7">
        <v>0</v>
      </c>
      <c r="M54" s="131">
        <v>0</v>
      </c>
      <c r="N54" s="131">
        <v>0</v>
      </c>
      <c r="O54" s="131">
        <v>0</v>
      </c>
      <c r="P54" s="127"/>
      <c r="Q54" s="127"/>
      <c r="R54" s="134">
        <f t="shared" si="7"/>
        <v>5878.725860833124</v>
      </c>
      <c r="S54" s="129"/>
      <c r="T54" s="129"/>
    </row>
    <row r="55" spans="1:20" ht="12.75" customHeight="1">
      <c r="A55" s="125" t="s">
        <v>133</v>
      </c>
      <c r="B55" s="13" t="s">
        <v>134</v>
      </c>
      <c r="C55" s="9">
        <v>15451</v>
      </c>
      <c r="D55" s="131">
        <f t="shared" si="0"/>
        <v>0</v>
      </c>
      <c r="E55" s="131">
        <f t="shared" si="1"/>
        <v>15451</v>
      </c>
      <c r="F55" s="131">
        <f t="shared" si="2"/>
        <v>3.559334528148022E-2</v>
      </c>
      <c r="G55" s="131">
        <f t="shared" si="3"/>
        <v>1366.7844588088403</v>
      </c>
      <c r="H55" s="131">
        <v>4</v>
      </c>
      <c r="I55" s="131">
        <f t="shared" si="4"/>
        <v>471.24</v>
      </c>
      <c r="J55" s="131">
        <f t="shared" si="5"/>
        <v>1843.5468025588402</v>
      </c>
      <c r="K55" s="131">
        <f t="shared" si="6"/>
        <v>4261.484375</v>
      </c>
      <c r="L55" s="7">
        <v>0</v>
      </c>
      <c r="M55" s="131">
        <v>0</v>
      </c>
      <c r="N55" s="131">
        <v>0</v>
      </c>
      <c r="O55" s="131">
        <v>0</v>
      </c>
      <c r="P55" s="127"/>
      <c r="Q55" s="127"/>
      <c r="R55" s="134">
        <f t="shared" si="7"/>
        <v>6105.0311775588398</v>
      </c>
      <c r="S55" s="129"/>
      <c r="T55" s="129"/>
    </row>
    <row r="56" spans="1:20" ht="12.75" customHeight="1">
      <c r="A56" s="125" t="s">
        <v>135</v>
      </c>
      <c r="B56" s="13" t="s">
        <v>136</v>
      </c>
      <c r="C56" s="9">
        <v>7828.5</v>
      </c>
      <c r="D56" s="131">
        <f t="shared" si="0"/>
        <v>0</v>
      </c>
      <c r="E56" s="131">
        <f t="shared" si="1"/>
        <v>7828.5</v>
      </c>
      <c r="F56" s="131">
        <f t="shared" si="2"/>
        <v>1.8033946251768036E-2</v>
      </c>
      <c r="G56" s="131">
        <f t="shared" si="3"/>
        <v>692.50353606789258</v>
      </c>
      <c r="H56" s="131">
        <v>4</v>
      </c>
      <c r="I56" s="131">
        <f t="shared" si="4"/>
        <v>471.24</v>
      </c>
      <c r="J56" s="131">
        <f t="shared" si="5"/>
        <v>1169.2658798178927</v>
      </c>
      <c r="K56" s="131">
        <f t="shared" si="6"/>
        <v>4261.484375</v>
      </c>
      <c r="L56" s="7">
        <v>0</v>
      </c>
      <c r="M56" s="131">
        <v>0</v>
      </c>
      <c r="N56" s="131">
        <v>0</v>
      </c>
      <c r="O56" s="131">
        <v>0</v>
      </c>
      <c r="P56" s="127"/>
      <c r="Q56" s="127"/>
      <c r="R56" s="134">
        <f t="shared" si="7"/>
        <v>5430.7502548178927</v>
      </c>
      <c r="S56" s="129"/>
      <c r="T56" s="129"/>
    </row>
    <row r="57" spans="1:20" ht="12.75" customHeight="1">
      <c r="A57" s="125" t="s">
        <v>137</v>
      </c>
      <c r="B57" s="13" t="s">
        <v>138</v>
      </c>
      <c r="C57" s="9">
        <v>9360</v>
      </c>
      <c r="D57" s="131">
        <f t="shared" si="0"/>
        <v>0</v>
      </c>
      <c r="E57" s="131">
        <f t="shared" si="1"/>
        <v>9360</v>
      </c>
      <c r="F57" s="131">
        <f t="shared" si="2"/>
        <v>2.1561951448751202E-2</v>
      </c>
      <c r="G57" s="131">
        <f t="shared" si="3"/>
        <v>827.97893563204616</v>
      </c>
      <c r="H57" s="131">
        <v>4</v>
      </c>
      <c r="I57" s="131">
        <f t="shared" si="4"/>
        <v>471.24</v>
      </c>
      <c r="J57" s="131">
        <f t="shared" si="5"/>
        <v>1304.7412793820463</v>
      </c>
      <c r="K57" s="131">
        <f t="shared" si="6"/>
        <v>4261.484375</v>
      </c>
      <c r="L57" s="7">
        <v>0</v>
      </c>
      <c r="M57" s="131">
        <v>0</v>
      </c>
      <c r="N57" s="131">
        <v>0</v>
      </c>
      <c r="O57" s="131">
        <v>0</v>
      </c>
      <c r="P57" s="127"/>
      <c r="Q57" s="127"/>
      <c r="R57" s="134">
        <f t="shared" si="7"/>
        <v>5566.2256543820458</v>
      </c>
      <c r="S57" s="129"/>
      <c r="T57" s="129"/>
    </row>
    <row r="58" spans="1:20" ht="12.75" customHeight="1">
      <c r="A58" s="125" t="s">
        <v>139</v>
      </c>
      <c r="B58" s="13" t="s">
        <v>140</v>
      </c>
      <c r="C58" s="9">
        <v>2561</v>
      </c>
      <c r="D58" s="131">
        <f t="shared" si="0"/>
        <v>0</v>
      </c>
      <c r="E58" s="131">
        <f t="shared" si="1"/>
        <v>2561</v>
      </c>
      <c r="F58" s="131">
        <f t="shared" si="2"/>
        <v>5.8995894936166486E-3</v>
      </c>
      <c r="G58" s="131">
        <f t="shared" si="3"/>
        <v>226.54423655487932</v>
      </c>
      <c r="H58" s="131">
        <v>3</v>
      </c>
      <c r="I58" s="131">
        <f t="shared" si="4"/>
        <v>353.43</v>
      </c>
      <c r="J58" s="131">
        <f t="shared" si="5"/>
        <v>585.49658030487933</v>
      </c>
      <c r="K58" s="131">
        <f t="shared" si="6"/>
        <v>4261.484375</v>
      </c>
      <c r="L58" s="7">
        <v>0</v>
      </c>
      <c r="M58" s="131">
        <v>0</v>
      </c>
      <c r="N58" s="131">
        <v>0</v>
      </c>
      <c r="O58" s="131">
        <v>0</v>
      </c>
      <c r="P58" s="127"/>
      <c r="Q58" s="127"/>
      <c r="R58" s="134">
        <f t="shared" si="7"/>
        <v>4846.980955304879</v>
      </c>
      <c r="S58" s="129"/>
      <c r="T58" s="129"/>
    </row>
    <row r="59" spans="1:20" ht="12.75" customHeight="1">
      <c r="A59" s="125" t="s">
        <v>141</v>
      </c>
      <c r="B59" s="13" t="s">
        <v>142</v>
      </c>
      <c r="C59" s="9">
        <v>18375.5</v>
      </c>
      <c r="D59" s="131">
        <f t="shared" si="0"/>
        <v>0</v>
      </c>
      <c r="E59" s="131">
        <f t="shared" si="1"/>
        <v>18375.5</v>
      </c>
      <c r="F59" s="131">
        <f t="shared" si="2"/>
        <v>4.2330303295569201E-2</v>
      </c>
      <c r="G59" s="131">
        <f t="shared" si="3"/>
        <v>1625.4836465498572</v>
      </c>
      <c r="H59" s="131">
        <v>3</v>
      </c>
      <c r="I59" s="131">
        <f t="shared" si="4"/>
        <v>353.43</v>
      </c>
      <c r="J59" s="131">
        <f t="shared" si="5"/>
        <v>1984.4359902998572</v>
      </c>
      <c r="K59" s="131">
        <f t="shared" si="6"/>
        <v>4261.484375</v>
      </c>
      <c r="L59" s="7">
        <v>0</v>
      </c>
      <c r="M59" s="131">
        <v>0</v>
      </c>
      <c r="N59" s="131">
        <v>0</v>
      </c>
      <c r="O59" s="131">
        <v>0</v>
      </c>
      <c r="P59" s="127"/>
      <c r="Q59" s="127"/>
      <c r="R59" s="134">
        <f t="shared" si="7"/>
        <v>6245.9203652998567</v>
      </c>
      <c r="S59" s="129"/>
      <c r="T59" s="129"/>
    </row>
    <row r="60" spans="1:20" ht="12.75" customHeight="1">
      <c r="A60" s="125" t="s">
        <v>143</v>
      </c>
      <c r="B60" s="13" t="s">
        <v>144</v>
      </c>
      <c r="C60" s="9">
        <v>1040</v>
      </c>
      <c r="D60" s="131">
        <f t="shared" si="0"/>
        <v>0</v>
      </c>
      <c r="E60" s="131">
        <f t="shared" si="1"/>
        <v>1040</v>
      </c>
      <c r="F60" s="131">
        <f t="shared" si="2"/>
        <v>2.3957723831945781E-3</v>
      </c>
      <c r="G60" s="131">
        <f t="shared" si="3"/>
        <v>91.997659514671795</v>
      </c>
      <c r="H60" s="131">
        <v>3</v>
      </c>
      <c r="I60" s="131">
        <f t="shared" si="4"/>
        <v>353.43</v>
      </c>
      <c r="J60" s="131">
        <f t="shared" si="5"/>
        <v>450.95000326467181</v>
      </c>
      <c r="K60" s="131">
        <f t="shared" si="6"/>
        <v>4261.484375</v>
      </c>
      <c r="L60" s="7">
        <v>0</v>
      </c>
      <c r="M60" s="131">
        <v>0</v>
      </c>
      <c r="N60" s="131">
        <v>0</v>
      </c>
      <c r="O60" s="131">
        <v>0</v>
      </c>
      <c r="P60" s="127"/>
      <c r="Q60" s="127"/>
      <c r="R60" s="134">
        <f t="shared" si="7"/>
        <v>4712.434378264672</v>
      </c>
      <c r="S60" s="129"/>
      <c r="T60" s="129"/>
    </row>
    <row r="61" spans="1:20" ht="12.75" customHeight="1">
      <c r="A61" s="125" t="s">
        <v>145</v>
      </c>
      <c r="B61" s="13" t="s">
        <v>146</v>
      </c>
      <c r="C61" s="9">
        <v>3360</v>
      </c>
      <c r="D61" s="131">
        <f t="shared" si="0"/>
        <v>0</v>
      </c>
      <c r="E61" s="131">
        <f t="shared" si="1"/>
        <v>3360</v>
      </c>
      <c r="F61" s="131">
        <f t="shared" si="2"/>
        <v>7.7401876995517142E-3</v>
      </c>
      <c r="G61" s="131">
        <f t="shared" si="3"/>
        <v>297.22320766278585</v>
      </c>
      <c r="H61" s="131">
        <v>3</v>
      </c>
      <c r="I61" s="131">
        <f t="shared" si="4"/>
        <v>353.43</v>
      </c>
      <c r="J61" s="131">
        <f t="shared" si="5"/>
        <v>656.17555141278581</v>
      </c>
      <c r="K61" s="131">
        <f t="shared" si="6"/>
        <v>4261.484375</v>
      </c>
      <c r="L61" s="7">
        <v>0</v>
      </c>
      <c r="M61" s="131">
        <v>0</v>
      </c>
      <c r="N61" s="131">
        <v>0</v>
      </c>
      <c r="O61" s="131">
        <v>0</v>
      </c>
      <c r="P61" s="127"/>
      <c r="Q61" s="127"/>
      <c r="R61" s="134">
        <f t="shared" si="7"/>
        <v>4917.6599264127854</v>
      </c>
      <c r="S61" s="129"/>
      <c r="T61" s="129"/>
    </row>
    <row r="62" spans="1:20" ht="12.75" customHeight="1">
      <c r="A62" s="125" t="s">
        <v>147</v>
      </c>
      <c r="B62" s="13" t="s">
        <v>148</v>
      </c>
      <c r="C62" s="9">
        <v>529.5</v>
      </c>
      <c r="D62" s="131">
        <f t="shared" si="0"/>
        <v>0</v>
      </c>
      <c r="E62" s="131">
        <f t="shared" si="1"/>
        <v>529.5</v>
      </c>
      <c r="F62" s="131">
        <f t="shared" si="2"/>
        <v>1.219770650866855E-3</v>
      </c>
      <c r="G62" s="131">
        <f t="shared" si="3"/>
        <v>46.839192993287234</v>
      </c>
      <c r="H62" s="131">
        <v>4</v>
      </c>
      <c r="I62" s="131">
        <f t="shared" si="4"/>
        <v>471.24</v>
      </c>
      <c r="J62" s="131">
        <f t="shared" si="5"/>
        <v>523.60153674328728</v>
      </c>
      <c r="K62" s="131">
        <f t="shared" si="6"/>
        <v>4261.484375</v>
      </c>
      <c r="L62" s="7">
        <v>0</v>
      </c>
      <c r="M62" s="131">
        <v>0</v>
      </c>
      <c r="N62" s="131">
        <v>0</v>
      </c>
      <c r="O62" s="131">
        <v>0</v>
      </c>
      <c r="P62" s="127"/>
      <c r="Q62" s="127"/>
      <c r="R62" s="134">
        <f t="shared" si="7"/>
        <v>4785.0859117432874</v>
      </c>
      <c r="S62" s="129"/>
      <c r="T62" s="129"/>
    </row>
    <row r="63" spans="1:20" ht="12.75" customHeight="1">
      <c r="A63" s="125" t="s">
        <v>149</v>
      </c>
      <c r="B63" s="13" t="s">
        <v>36</v>
      </c>
      <c r="C63" s="9">
        <v>3193.5</v>
      </c>
      <c r="D63" s="131">
        <f t="shared" si="0"/>
        <v>0</v>
      </c>
      <c r="E63" s="131">
        <f t="shared" si="1"/>
        <v>3193.5</v>
      </c>
      <c r="F63" s="131">
        <f t="shared" si="2"/>
        <v>7.3566337555114282E-3</v>
      </c>
      <c r="G63" s="131">
        <f t="shared" si="3"/>
        <v>282.49473621163884</v>
      </c>
      <c r="H63" s="131">
        <v>3</v>
      </c>
      <c r="I63" s="131">
        <f t="shared" si="4"/>
        <v>353.43</v>
      </c>
      <c r="J63" s="131">
        <f t="shared" si="5"/>
        <v>641.44707996163879</v>
      </c>
      <c r="K63" s="131">
        <f t="shared" si="6"/>
        <v>4261.484375</v>
      </c>
      <c r="L63" s="7">
        <v>750</v>
      </c>
      <c r="M63" s="131">
        <v>0</v>
      </c>
      <c r="N63" s="131">
        <v>0</v>
      </c>
      <c r="O63" s="131">
        <v>0</v>
      </c>
      <c r="P63" s="127"/>
      <c r="Q63" s="127"/>
      <c r="R63" s="134">
        <f t="shared" si="7"/>
        <v>5652.9314549616392</v>
      </c>
      <c r="S63" s="129"/>
      <c r="T63" s="129"/>
    </row>
    <row r="64" spans="1:20" ht="12.75" customHeight="1">
      <c r="A64" s="125" t="s">
        <v>150</v>
      </c>
      <c r="B64" s="13" t="s">
        <v>151</v>
      </c>
      <c r="C64" s="9">
        <v>3601</v>
      </c>
      <c r="D64" s="131">
        <f t="shared" si="0"/>
        <v>0</v>
      </c>
      <c r="E64" s="131">
        <f t="shared" si="1"/>
        <v>3601</v>
      </c>
      <c r="F64" s="131">
        <f t="shared" si="2"/>
        <v>8.2953618768112272E-3</v>
      </c>
      <c r="G64" s="131">
        <f t="shared" si="3"/>
        <v>318.54189606955111</v>
      </c>
      <c r="H64" s="131">
        <v>3</v>
      </c>
      <c r="I64" s="131">
        <f t="shared" si="4"/>
        <v>353.43</v>
      </c>
      <c r="J64" s="131">
        <f t="shared" si="5"/>
        <v>677.49423981955113</v>
      </c>
      <c r="K64" s="131">
        <f t="shared" si="6"/>
        <v>4261.484375</v>
      </c>
      <c r="L64" s="7">
        <v>0</v>
      </c>
      <c r="M64" s="131">
        <v>0</v>
      </c>
      <c r="N64" s="131">
        <v>0</v>
      </c>
      <c r="O64" s="131">
        <v>0</v>
      </c>
      <c r="P64" s="127"/>
      <c r="Q64" s="127"/>
      <c r="R64" s="134">
        <f t="shared" si="7"/>
        <v>4938.9786148195508</v>
      </c>
      <c r="S64" s="129"/>
      <c r="T64" s="129"/>
    </row>
    <row r="65" spans="1:20" ht="12.75" customHeight="1">
      <c r="A65" s="125" t="s">
        <v>152</v>
      </c>
      <c r="B65" s="13" t="s">
        <v>153</v>
      </c>
      <c r="C65" s="9">
        <v>2093.5</v>
      </c>
      <c r="D65" s="131">
        <f t="shared" si="0"/>
        <v>0</v>
      </c>
      <c r="E65" s="131">
        <f t="shared" si="1"/>
        <v>2093.5</v>
      </c>
      <c r="F65" s="131">
        <f t="shared" si="2"/>
        <v>4.8226437348248552E-3</v>
      </c>
      <c r="G65" s="131">
        <f t="shared" si="3"/>
        <v>185.18951941727443</v>
      </c>
      <c r="H65" s="131">
        <v>3</v>
      </c>
      <c r="I65" s="131">
        <f t="shared" si="4"/>
        <v>353.43</v>
      </c>
      <c r="J65" s="131">
        <f t="shared" si="5"/>
        <v>544.14186316727444</v>
      </c>
      <c r="K65" s="131">
        <f t="shared" si="6"/>
        <v>4261.484375</v>
      </c>
      <c r="L65" s="7">
        <v>0</v>
      </c>
      <c r="M65" s="131">
        <v>0</v>
      </c>
      <c r="N65" s="131">
        <v>0</v>
      </c>
      <c r="O65" s="131">
        <v>0</v>
      </c>
      <c r="P65" s="127"/>
      <c r="Q65" s="127"/>
      <c r="R65" s="134">
        <f t="shared" si="7"/>
        <v>4805.6262381672741</v>
      </c>
      <c r="S65" s="129"/>
      <c r="T65" s="129"/>
    </row>
    <row r="66" spans="1:20" ht="12.75" customHeight="1">
      <c r="A66" s="125" t="s">
        <v>154</v>
      </c>
      <c r="B66" s="13" t="s">
        <v>155</v>
      </c>
      <c r="C66" s="9">
        <v>11870</v>
      </c>
      <c r="D66" s="131">
        <f t="shared" si="0"/>
        <v>0</v>
      </c>
      <c r="E66" s="131">
        <f t="shared" si="1"/>
        <v>11870</v>
      </c>
      <c r="F66" s="131">
        <f t="shared" si="2"/>
        <v>2.7344055950499657E-2</v>
      </c>
      <c r="G66" s="131">
        <f t="shared" si="3"/>
        <v>1050.0117484991868</v>
      </c>
      <c r="H66" s="131">
        <v>4</v>
      </c>
      <c r="I66" s="131">
        <f t="shared" si="4"/>
        <v>471.24</v>
      </c>
      <c r="J66" s="131">
        <f t="shared" si="5"/>
        <v>1526.7740922491867</v>
      </c>
      <c r="K66" s="131">
        <f t="shared" si="6"/>
        <v>4261.484375</v>
      </c>
      <c r="L66" s="7">
        <v>0</v>
      </c>
      <c r="M66" s="131">
        <v>0</v>
      </c>
      <c r="N66" s="131">
        <v>0</v>
      </c>
      <c r="O66" s="131">
        <v>0</v>
      </c>
      <c r="P66" s="127"/>
      <c r="Q66" s="127"/>
      <c r="R66" s="134">
        <f t="shared" si="7"/>
        <v>5788.2584672491867</v>
      </c>
      <c r="S66" s="129"/>
      <c r="T66" s="129"/>
    </row>
    <row r="67" spans="1:20" ht="12.75" customHeight="1">
      <c r="A67" s="125" t="s">
        <v>156</v>
      </c>
      <c r="B67" s="13" t="s">
        <v>157</v>
      </c>
      <c r="C67" s="9">
        <v>4972.5</v>
      </c>
      <c r="D67" s="131">
        <f t="shared" si="0"/>
        <v>0</v>
      </c>
      <c r="E67" s="131">
        <f t="shared" si="1"/>
        <v>4972.5</v>
      </c>
      <c r="F67" s="131">
        <f t="shared" si="2"/>
        <v>1.1454786707149077E-2</v>
      </c>
      <c r="G67" s="131">
        <f t="shared" si="3"/>
        <v>439.86380955452455</v>
      </c>
      <c r="H67" s="131">
        <v>4</v>
      </c>
      <c r="I67" s="131">
        <f t="shared" si="4"/>
        <v>471.24</v>
      </c>
      <c r="J67" s="131">
        <f t="shared" si="5"/>
        <v>916.62615330452456</v>
      </c>
      <c r="K67" s="131">
        <f t="shared" si="6"/>
        <v>4261.484375</v>
      </c>
      <c r="L67" s="7">
        <v>0</v>
      </c>
      <c r="M67" s="131">
        <v>0</v>
      </c>
      <c r="N67" s="131">
        <v>0</v>
      </c>
      <c r="O67" s="131">
        <v>0</v>
      </c>
      <c r="P67" s="127"/>
      <c r="Q67" s="127"/>
      <c r="R67" s="134">
        <f t="shared" si="7"/>
        <v>5178.1105283045245</v>
      </c>
      <c r="S67" s="129"/>
      <c r="T67" s="129"/>
    </row>
    <row r="68" spans="1:20" ht="12.75" customHeight="1">
      <c r="A68" s="125" t="s">
        <v>158</v>
      </c>
      <c r="B68" s="13" t="s">
        <v>159</v>
      </c>
      <c r="C68" s="9">
        <v>7704.5</v>
      </c>
      <c r="D68" s="131">
        <f t="shared" si="0"/>
        <v>0</v>
      </c>
      <c r="E68" s="131">
        <f t="shared" si="1"/>
        <v>7704.5</v>
      </c>
      <c r="F68" s="131">
        <f t="shared" si="2"/>
        <v>1.774829646761791E-2</v>
      </c>
      <c r="G68" s="131">
        <f t="shared" si="3"/>
        <v>681.53458435652772</v>
      </c>
      <c r="H68" s="131">
        <v>4</v>
      </c>
      <c r="I68" s="131">
        <f t="shared" si="4"/>
        <v>471.24</v>
      </c>
      <c r="J68" s="131">
        <f t="shared" si="5"/>
        <v>1158.2969281065277</v>
      </c>
      <c r="K68" s="131">
        <f t="shared" si="6"/>
        <v>4261.484375</v>
      </c>
      <c r="L68" s="7">
        <v>0</v>
      </c>
      <c r="M68" s="131">
        <v>0</v>
      </c>
      <c r="N68" s="131">
        <v>0</v>
      </c>
      <c r="O68" s="131">
        <v>0</v>
      </c>
      <c r="P68" s="127"/>
      <c r="Q68" s="127"/>
      <c r="R68" s="134">
        <f t="shared" si="7"/>
        <v>5419.781303106528</v>
      </c>
      <c r="S68" s="129"/>
      <c r="T68" s="129"/>
    </row>
    <row r="69" spans="1:20" ht="12.75" customHeight="1">
      <c r="A69" s="125" t="s">
        <v>160</v>
      </c>
      <c r="B69" s="13" t="s">
        <v>161</v>
      </c>
      <c r="C69" s="9">
        <v>6903.5</v>
      </c>
      <c r="D69" s="131">
        <f t="shared" si="0"/>
        <v>0</v>
      </c>
      <c r="E69" s="131">
        <f t="shared" si="1"/>
        <v>6903.5</v>
      </c>
      <c r="F69" s="131">
        <f t="shared" si="2"/>
        <v>1.590309100709978E-2</v>
      </c>
      <c r="G69" s="131">
        <f t="shared" si="3"/>
        <v>610.67869467263154</v>
      </c>
      <c r="H69" s="131">
        <v>3</v>
      </c>
      <c r="I69" s="131">
        <f t="shared" si="4"/>
        <v>353.43</v>
      </c>
      <c r="J69" s="131">
        <f t="shared" si="5"/>
        <v>969.63103842263149</v>
      </c>
      <c r="K69" s="131">
        <f t="shared" si="6"/>
        <v>4261.484375</v>
      </c>
      <c r="L69" s="7">
        <v>0</v>
      </c>
      <c r="M69" s="131">
        <v>0</v>
      </c>
      <c r="N69" s="131">
        <v>0</v>
      </c>
      <c r="O69" s="131">
        <v>0</v>
      </c>
      <c r="P69" s="127"/>
      <c r="Q69" s="127"/>
      <c r="R69" s="134">
        <f t="shared" si="7"/>
        <v>5231.1154134226317</v>
      </c>
      <c r="S69" s="129"/>
      <c r="T69" s="129"/>
    </row>
    <row r="70" spans="1:20" ht="12.75" customHeight="1">
      <c r="A70" s="139"/>
      <c r="B70" s="130" t="s">
        <v>162</v>
      </c>
      <c r="C70" s="131">
        <f>SUM(C3:C69)</f>
        <v>434098</v>
      </c>
      <c r="D70" s="131">
        <f t="shared" ref="D70:E70" si="8">SUM(D3:D69)</f>
        <v>0</v>
      </c>
      <c r="E70" s="131">
        <f t="shared" si="8"/>
        <v>434098</v>
      </c>
      <c r="F70" s="131">
        <f t="shared" si="2"/>
        <v>1</v>
      </c>
      <c r="G70" s="131">
        <f t="shared" ref="G70:O70" si="9">SUM(G3:G69)</f>
        <v>38400</v>
      </c>
      <c r="H70" s="131">
        <f t="shared" si="9"/>
        <v>223</v>
      </c>
      <c r="I70" s="131">
        <f t="shared" si="9"/>
        <v>26271.630000000023</v>
      </c>
      <c r="J70" s="131">
        <f t="shared" si="9"/>
        <v>64671.63</v>
      </c>
      <c r="K70" s="131">
        <f t="shared" si="9"/>
        <v>272735</v>
      </c>
      <c r="L70" s="131">
        <f t="shared" si="9"/>
        <v>3000</v>
      </c>
      <c r="M70" s="131">
        <f t="shared" si="9"/>
        <v>0</v>
      </c>
      <c r="N70" s="131">
        <f t="shared" si="9"/>
        <v>0</v>
      </c>
      <c r="O70" s="131">
        <f t="shared" si="9"/>
        <v>0</v>
      </c>
      <c r="P70" s="127"/>
      <c r="Q70" s="127"/>
      <c r="R70" s="131">
        <f>SUM(R3:R69)</f>
        <v>343422.62999999989</v>
      </c>
      <c r="S70" s="129"/>
      <c r="T70" s="129"/>
    </row>
  </sheetData>
  <mergeCells count="1">
    <mergeCell ref="B1:T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7.6640625" customWidth="1"/>
    <col min="2" max="2" width="64.33203125" customWidth="1"/>
  </cols>
  <sheetData>
    <row r="1" spans="1:11">
      <c r="A1" s="36" t="s">
        <v>1</v>
      </c>
      <c r="B1" s="37"/>
      <c r="C1" s="37" t="s">
        <v>163</v>
      </c>
      <c r="D1" s="85" t="s">
        <v>164</v>
      </c>
      <c r="E1" s="37" t="s">
        <v>163</v>
      </c>
      <c r="F1" s="86" t="s">
        <v>164</v>
      </c>
      <c r="G1" s="37" t="s">
        <v>163</v>
      </c>
      <c r="H1" s="70" t="s">
        <v>164</v>
      </c>
      <c r="I1" s="37" t="s">
        <v>163</v>
      </c>
      <c r="J1" s="39" t="s">
        <v>164</v>
      </c>
      <c r="K1" s="40" t="s">
        <v>165</v>
      </c>
    </row>
    <row r="2" spans="1:11" ht="15" customHeight="1">
      <c r="A2" s="41" t="s">
        <v>24</v>
      </c>
      <c r="B2" s="13" t="s">
        <v>25</v>
      </c>
      <c r="C2" s="40">
        <v>4755</v>
      </c>
      <c r="D2" s="86">
        <v>46108</v>
      </c>
      <c r="F2" s="86"/>
      <c r="H2" s="71"/>
      <c r="K2" s="40">
        <f t="shared" ref="K2:K65" si="0">SUM(C2,E2,G2,I2)</f>
        <v>4755</v>
      </c>
    </row>
    <row r="3" spans="1:11" ht="15" customHeight="1">
      <c r="A3" s="41" t="s">
        <v>26</v>
      </c>
      <c r="B3" s="13" t="s">
        <v>27</v>
      </c>
      <c r="D3" s="86"/>
      <c r="F3" s="86"/>
      <c r="H3" s="72"/>
      <c r="K3" s="40">
        <f t="shared" si="0"/>
        <v>0</v>
      </c>
    </row>
    <row r="4" spans="1:11" ht="15" customHeight="1">
      <c r="A4" s="41" t="s">
        <v>29</v>
      </c>
      <c r="B4" s="13" t="s">
        <v>30</v>
      </c>
      <c r="C4" s="46">
        <v>6000</v>
      </c>
      <c r="D4" s="86">
        <v>46082</v>
      </c>
      <c r="E4" s="46"/>
      <c r="F4" s="86"/>
      <c r="H4" s="71"/>
      <c r="K4" s="46">
        <f t="shared" si="0"/>
        <v>6000</v>
      </c>
    </row>
    <row r="5" spans="1:11" ht="15" customHeight="1">
      <c r="A5" s="41" t="s">
        <v>32</v>
      </c>
      <c r="B5" s="13" t="s">
        <v>33</v>
      </c>
      <c r="C5" s="40">
        <v>4925</v>
      </c>
      <c r="D5" s="86">
        <v>46102</v>
      </c>
      <c r="F5" s="86"/>
      <c r="H5" s="72"/>
      <c r="K5" s="40">
        <f t="shared" si="0"/>
        <v>4925</v>
      </c>
    </row>
    <row r="6" spans="1:11" ht="15" customHeight="1">
      <c r="A6" s="41" t="s">
        <v>35</v>
      </c>
      <c r="B6" s="13" t="s">
        <v>36</v>
      </c>
      <c r="C6" s="40">
        <v>4699</v>
      </c>
      <c r="D6" s="86">
        <v>46102</v>
      </c>
      <c r="F6" s="86"/>
      <c r="H6" s="71"/>
      <c r="K6" s="40">
        <f t="shared" si="0"/>
        <v>4699</v>
      </c>
    </row>
    <row r="7" spans="1:11" ht="15" customHeight="1">
      <c r="A7" s="41" t="s">
        <v>37</v>
      </c>
      <c r="B7" s="13" t="s">
        <v>38</v>
      </c>
      <c r="D7" s="86"/>
      <c r="F7" s="86"/>
      <c r="H7" s="72"/>
      <c r="K7" s="40">
        <f t="shared" si="0"/>
        <v>0</v>
      </c>
    </row>
    <row r="8" spans="1:11" ht="15" customHeight="1">
      <c r="A8" s="41" t="s">
        <v>40</v>
      </c>
      <c r="B8" s="13" t="s">
        <v>41</v>
      </c>
      <c r="C8" s="42">
        <v>5504</v>
      </c>
      <c r="D8" s="86">
        <v>46082</v>
      </c>
      <c r="E8" s="42">
        <v>5213</v>
      </c>
      <c r="F8" s="86">
        <v>46112</v>
      </c>
      <c r="H8" s="71"/>
      <c r="K8" s="40">
        <f t="shared" si="0"/>
        <v>10717</v>
      </c>
    </row>
    <row r="9" spans="1:11" ht="15" customHeight="1">
      <c r="A9" s="41" t="s">
        <v>43</v>
      </c>
      <c r="B9" s="13" t="s">
        <v>44</v>
      </c>
      <c r="C9" s="40">
        <v>6095</v>
      </c>
      <c r="D9" s="86">
        <v>46102</v>
      </c>
      <c r="F9" s="86"/>
      <c r="H9" s="71"/>
      <c r="K9" s="40">
        <f t="shared" si="0"/>
        <v>6095</v>
      </c>
    </row>
    <row r="10" spans="1:11" ht="15" customHeight="1">
      <c r="A10" s="41" t="s">
        <v>46</v>
      </c>
      <c r="B10" s="13" t="s">
        <v>47</v>
      </c>
      <c r="C10" s="40">
        <v>4824</v>
      </c>
      <c r="D10" s="86">
        <v>46112</v>
      </c>
      <c r="F10" s="86"/>
      <c r="H10" s="71"/>
      <c r="K10" s="40">
        <f t="shared" si="0"/>
        <v>4824</v>
      </c>
    </row>
    <row r="11" spans="1:11" ht="15" customHeight="1">
      <c r="A11" s="41" t="s">
        <v>49</v>
      </c>
      <c r="B11" s="13" t="s">
        <v>50</v>
      </c>
      <c r="C11" s="46">
        <v>5614</v>
      </c>
      <c r="D11" s="87">
        <v>46082</v>
      </c>
      <c r="F11" s="86"/>
      <c r="H11" s="72"/>
      <c r="K11" s="46">
        <f t="shared" si="0"/>
        <v>5614</v>
      </c>
    </row>
    <row r="12" spans="1:11" ht="15" customHeight="1">
      <c r="A12" s="41" t="s">
        <v>52</v>
      </c>
      <c r="B12" s="13" t="s">
        <v>166</v>
      </c>
      <c r="C12" s="40">
        <v>4569</v>
      </c>
      <c r="D12" s="86">
        <v>46103</v>
      </c>
      <c r="F12" s="86"/>
      <c r="H12" s="71"/>
      <c r="K12" s="40">
        <f t="shared" si="0"/>
        <v>4569</v>
      </c>
    </row>
    <row r="13" spans="1:11" ht="15" customHeight="1">
      <c r="A13" s="41" t="s">
        <v>55</v>
      </c>
      <c r="B13" s="13" t="s">
        <v>56</v>
      </c>
      <c r="C13" s="40">
        <v>4449</v>
      </c>
      <c r="D13" s="86">
        <v>46102</v>
      </c>
      <c r="F13" s="86"/>
      <c r="H13" s="71"/>
      <c r="K13" s="40">
        <f t="shared" si="0"/>
        <v>4449</v>
      </c>
    </row>
    <row r="14" spans="1:11" ht="15" customHeight="1">
      <c r="A14" s="41" t="s">
        <v>58</v>
      </c>
      <c r="B14" s="13" t="s">
        <v>296</v>
      </c>
      <c r="C14" s="42">
        <v>4991</v>
      </c>
      <c r="D14" s="86">
        <v>46089</v>
      </c>
      <c r="E14" s="42">
        <v>4751</v>
      </c>
      <c r="F14" s="86">
        <v>46106</v>
      </c>
      <c r="G14" s="42"/>
      <c r="H14" s="71"/>
      <c r="K14" s="40">
        <f t="shared" si="0"/>
        <v>9742</v>
      </c>
    </row>
    <row r="15" spans="1:11" ht="15" customHeight="1">
      <c r="A15" s="41" t="s">
        <v>61</v>
      </c>
      <c r="B15" s="13" t="s">
        <v>62</v>
      </c>
      <c r="D15" s="86"/>
      <c r="F15" s="86"/>
      <c r="H15" s="72"/>
      <c r="K15" s="40">
        <f t="shared" si="0"/>
        <v>0</v>
      </c>
    </row>
    <row r="16" spans="1:11" ht="15" customHeight="1">
      <c r="A16" s="41" t="s">
        <v>63</v>
      </c>
      <c r="B16" s="13" t="s">
        <v>297</v>
      </c>
      <c r="C16" s="42">
        <v>5520</v>
      </c>
      <c r="D16" s="86">
        <v>46107</v>
      </c>
      <c r="F16" s="86"/>
      <c r="H16" s="71"/>
      <c r="K16" s="40">
        <f t="shared" si="0"/>
        <v>5520</v>
      </c>
    </row>
    <row r="17" spans="1:11" ht="15" customHeight="1">
      <c r="A17" s="41" t="s">
        <v>65</v>
      </c>
      <c r="B17" s="13" t="s">
        <v>66</v>
      </c>
      <c r="C17" s="40">
        <v>6057</v>
      </c>
      <c r="D17" s="86">
        <v>46083</v>
      </c>
      <c r="F17" s="86"/>
      <c r="H17" s="72"/>
      <c r="K17" s="40">
        <f t="shared" si="0"/>
        <v>6057</v>
      </c>
    </row>
    <row r="18" spans="1:11" ht="15" customHeight="1">
      <c r="A18" s="41" t="s">
        <v>67</v>
      </c>
      <c r="B18" s="13" t="s">
        <v>68</v>
      </c>
      <c r="C18" s="46">
        <v>5468</v>
      </c>
      <c r="D18" s="87">
        <v>46110</v>
      </c>
      <c r="E18" s="46">
        <v>7406</v>
      </c>
      <c r="F18" s="86">
        <v>46112</v>
      </c>
      <c r="H18" s="72"/>
      <c r="K18" s="46">
        <f t="shared" si="0"/>
        <v>12874</v>
      </c>
    </row>
    <row r="19" spans="1:11" ht="15" customHeight="1">
      <c r="A19" s="41" t="s">
        <v>69</v>
      </c>
      <c r="B19" s="13" t="s">
        <v>70</v>
      </c>
      <c r="C19" s="40">
        <v>5984.58</v>
      </c>
      <c r="D19" s="86">
        <v>46108</v>
      </c>
      <c r="F19" s="86"/>
      <c r="H19" s="71"/>
      <c r="K19" s="40">
        <f t="shared" si="0"/>
        <v>5984.58</v>
      </c>
    </row>
    <row r="20" spans="1:11" ht="15" customHeight="1">
      <c r="A20" s="41" t="s">
        <v>71</v>
      </c>
      <c r="B20" s="13" t="s">
        <v>72</v>
      </c>
      <c r="C20" s="40">
        <v>5355</v>
      </c>
      <c r="D20" s="86">
        <v>46111</v>
      </c>
      <c r="F20" s="86"/>
      <c r="H20" s="71"/>
      <c r="K20" s="40">
        <f t="shared" si="0"/>
        <v>5355</v>
      </c>
    </row>
    <row r="21" spans="1:11" ht="15" customHeight="1">
      <c r="A21" s="41" t="s">
        <v>73</v>
      </c>
      <c r="B21" s="13" t="s">
        <v>74</v>
      </c>
      <c r="C21" s="40">
        <v>5479</v>
      </c>
      <c r="D21" s="86">
        <v>46107</v>
      </c>
      <c r="F21" s="86"/>
      <c r="H21" s="71"/>
      <c r="K21" s="40">
        <f t="shared" si="0"/>
        <v>5479</v>
      </c>
    </row>
    <row r="22" spans="1:11" ht="16">
      <c r="A22" s="41" t="s">
        <v>75</v>
      </c>
      <c r="B22" s="13" t="s">
        <v>76</v>
      </c>
      <c r="D22" s="86"/>
      <c r="F22" s="86"/>
      <c r="H22" s="72"/>
      <c r="K22" s="40">
        <f t="shared" si="0"/>
        <v>0</v>
      </c>
    </row>
    <row r="23" spans="1:11" ht="16">
      <c r="A23" s="41" t="s">
        <v>77</v>
      </c>
      <c r="B23" s="13" t="s">
        <v>78</v>
      </c>
      <c r="C23" s="40">
        <v>5394</v>
      </c>
      <c r="D23" s="86">
        <v>46083</v>
      </c>
      <c r="F23" s="86"/>
      <c r="H23" s="72"/>
      <c r="K23" s="40">
        <f t="shared" si="0"/>
        <v>5394</v>
      </c>
    </row>
    <row r="24" spans="1:11" ht="16">
      <c r="A24" s="41" t="s">
        <v>79</v>
      </c>
      <c r="B24" s="13" t="s">
        <v>80</v>
      </c>
      <c r="D24" s="86"/>
      <c r="F24" s="86"/>
      <c r="H24" s="71"/>
      <c r="K24" s="40">
        <f t="shared" si="0"/>
        <v>0</v>
      </c>
    </row>
    <row r="25" spans="1:11" ht="16">
      <c r="A25" s="41" t="s">
        <v>81</v>
      </c>
      <c r="B25" s="13" t="s">
        <v>82</v>
      </c>
      <c r="C25" s="40">
        <v>5744</v>
      </c>
      <c r="D25" s="86">
        <v>46106</v>
      </c>
      <c r="F25" s="86"/>
      <c r="H25" s="72"/>
      <c r="K25" s="40">
        <f t="shared" si="0"/>
        <v>5744</v>
      </c>
    </row>
    <row r="26" spans="1:11" ht="16">
      <c r="A26" s="41" t="s">
        <v>83</v>
      </c>
      <c r="B26" s="13" t="s">
        <v>191</v>
      </c>
      <c r="C26" s="40">
        <v>5591</v>
      </c>
      <c r="D26" s="86">
        <v>46088</v>
      </c>
      <c r="E26" s="40">
        <v>5124</v>
      </c>
      <c r="F26" s="86">
        <v>46110</v>
      </c>
      <c r="H26" s="71"/>
      <c r="K26" s="40">
        <f t="shared" si="0"/>
        <v>10715</v>
      </c>
    </row>
    <row r="27" spans="1:11" ht="16">
      <c r="A27" s="41" t="s">
        <v>85</v>
      </c>
      <c r="B27" s="13" t="s">
        <v>275</v>
      </c>
      <c r="C27" s="40">
        <v>4724</v>
      </c>
      <c r="D27" s="86">
        <v>46110</v>
      </c>
      <c r="F27" s="86"/>
      <c r="H27" s="72"/>
      <c r="K27" s="40">
        <f t="shared" si="0"/>
        <v>4724</v>
      </c>
    </row>
    <row r="28" spans="1:11" ht="16">
      <c r="A28" s="41" t="s">
        <v>87</v>
      </c>
      <c r="B28" s="13" t="s">
        <v>88</v>
      </c>
      <c r="D28" s="86"/>
      <c r="F28" s="86"/>
      <c r="H28" s="71"/>
      <c r="K28" s="40">
        <f t="shared" si="0"/>
        <v>0</v>
      </c>
    </row>
    <row r="29" spans="1:11" ht="16">
      <c r="A29" s="41" t="s">
        <v>89</v>
      </c>
      <c r="B29" s="13" t="s">
        <v>90</v>
      </c>
      <c r="C29" s="73"/>
      <c r="D29" s="86"/>
      <c r="F29" s="86"/>
      <c r="H29" s="71"/>
      <c r="K29" s="46">
        <f t="shared" si="0"/>
        <v>0</v>
      </c>
    </row>
    <row r="30" spans="1:11" ht="16">
      <c r="A30" s="41" t="s">
        <v>91</v>
      </c>
      <c r="B30" s="13" t="s">
        <v>92</v>
      </c>
      <c r="D30" s="86"/>
      <c r="F30" s="86"/>
      <c r="H30" s="72"/>
      <c r="K30" s="40">
        <f t="shared" si="0"/>
        <v>0</v>
      </c>
    </row>
    <row r="31" spans="1:11" ht="16">
      <c r="A31" s="41" t="s">
        <v>93</v>
      </c>
      <c r="B31" s="13" t="s">
        <v>94</v>
      </c>
      <c r="C31" s="40">
        <v>5193</v>
      </c>
      <c r="D31" s="86">
        <v>46110</v>
      </c>
      <c r="F31" s="86"/>
      <c r="H31" s="71"/>
      <c r="K31" s="40">
        <f t="shared" si="0"/>
        <v>5193</v>
      </c>
    </row>
    <row r="32" spans="1:11" ht="16">
      <c r="A32" s="41" t="s">
        <v>95</v>
      </c>
      <c r="B32" s="13" t="s">
        <v>96</v>
      </c>
      <c r="D32" s="86"/>
      <c r="F32" s="86"/>
      <c r="H32" s="71"/>
      <c r="K32" s="40">
        <f t="shared" si="0"/>
        <v>0</v>
      </c>
    </row>
    <row r="33" spans="1:11" ht="16">
      <c r="A33" s="41" t="s">
        <v>97</v>
      </c>
      <c r="B33" s="13" t="s">
        <v>98</v>
      </c>
      <c r="C33" s="40">
        <v>5166</v>
      </c>
      <c r="D33" s="86">
        <v>46103</v>
      </c>
      <c r="F33" s="86"/>
      <c r="H33" s="71"/>
      <c r="K33" s="40">
        <f t="shared" si="0"/>
        <v>5166</v>
      </c>
    </row>
    <row r="34" spans="1:11" ht="16">
      <c r="A34" s="41" t="s">
        <v>99</v>
      </c>
      <c r="B34" s="13" t="s">
        <v>100</v>
      </c>
      <c r="C34" s="40">
        <v>4573</v>
      </c>
      <c r="D34" s="86">
        <v>46103</v>
      </c>
      <c r="F34" s="86"/>
      <c r="H34" s="71"/>
      <c r="K34" s="40">
        <f t="shared" si="0"/>
        <v>4573</v>
      </c>
    </row>
    <row r="35" spans="1:11" ht="16">
      <c r="A35" s="41" t="s">
        <v>101</v>
      </c>
      <c r="B35" s="13" t="s">
        <v>298</v>
      </c>
      <c r="C35" s="46">
        <v>5814</v>
      </c>
      <c r="D35" s="87">
        <v>46082</v>
      </c>
      <c r="F35" s="86"/>
      <c r="H35" s="72"/>
      <c r="K35" s="46">
        <f t="shared" si="0"/>
        <v>5814</v>
      </c>
    </row>
    <row r="36" spans="1:11" ht="16">
      <c r="A36" s="41" t="s">
        <v>103</v>
      </c>
      <c r="B36" s="13" t="s">
        <v>104</v>
      </c>
      <c r="D36" s="86"/>
      <c r="F36" s="86"/>
      <c r="H36" s="72"/>
      <c r="K36" s="40">
        <f t="shared" si="0"/>
        <v>0</v>
      </c>
    </row>
    <row r="37" spans="1:11" ht="16">
      <c r="A37" s="41" t="s">
        <v>105</v>
      </c>
      <c r="B37" s="13" t="s">
        <v>299</v>
      </c>
      <c r="C37" s="40">
        <v>5361</v>
      </c>
      <c r="D37" s="86">
        <v>46102</v>
      </c>
      <c r="F37" s="86"/>
      <c r="H37" s="71"/>
      <c r="K37" s="40">
        <f t="shared" si="0"/>
        <v>5361</v>
      </c>
    </row>
    <row r="38" spans="1:11" ht="16">
      <c r="A38" s="41" t="s">
        <v>107</v>
      </c>
      <c r="B38" s="13" t="s">
        <v>108</v>
      </c>
      <c r="C38" s="40">
        <v>4619</v>
      </c>
      <c r="D38" s="86">
        <v>46110</v>
      </c>
      <c r="F38" s="86"/>
      <c r="H38" s="71"/>
      <c r="K38" s="40">
        <f t="shared" si="0"/>
        <v>4619</v>
      </c>
    </row>
    <row r="39" spans="1:11" ht="16">
      <c r="A39" s="41" t="s">
        <v>109</v>
      </c>
      <c r="B39" s="30" t="s">
        <v>110</v>
      </c>
      <c r="D39" s="86"/>
      <c r="F39" s="86"/>
      <c r="H39" s="71"/>
      <c r="K39" s="40">
        <f t="shared" si="0"/>
        <v>0</v>
      </c>
    </row>
    <row r="40" spans="1:11" ht="16">
      <c r="A40" s="41" t="s">
        <v>111</v>
      </c>
      <c r="B40" s="13" t="s">
        <v>112</v>
      </c>
      <c r="C40" s="40">
        <v>4875</v>
      </c>
      <c r="D40" s="86">
        <v>46111</v>
      </c>
      <c r="F40" s="86"/>
      <c r="H40" s="71"/>
      <c r="K40" s="40">
        <f t="shared" si="0"/>
        <v>4875</v>
      </c>
    </row>
    <row r="41" spans="1:11" ht="16">
      <c r="A41" s="41" t="s">
        <v>113</v>
      </c>
      <c r="B41" s="13" t="s">
        <v>114</v>
      </c>
      <c r="C41" s="40">
        <v>5559</v>
      </c>
      <c r="D41" s="86">
        <v>46112</v>
      </c>
      <c r="E41" s="40">
        <v>5743</v>
      </c>
      <c r="F41" s="86">
        <v>46112</v>
      </c>
      <c r="H41" s="71"/>
      <c r="K41" s="40">
        <f t="shared" si="0"/>
        <v>11302</v>
      </c>
    </row>
    <row r="42" spans="1:11" ht="16">
      <c r="A42" s="41" t="s">
        <v>115</v>
      </c>
      <c r="B42" s="13" t="s">
        <v>116</v>
      </c>
      <c r="C42" s="40">
        <v>5500</v>
      </c>
      <c r="D42" s="45">
        <v>46107</v>
      </c>
      <c r="F42" s="86"/>
      <c r="H42" s="71"/>
      <c r="K42" s="40">
        <f t="shared" si="0"/>
        <v>5500</v>
      </c>
    </row>
    <row r="43" spans="1:11" ht="16">
      <c r="A43" s="41" t="s">
        <v>117</v>
      </c>
      <c r="B43" s="13" t="s">
        <v>118</v>
      </c>
      <c r="D43" s="86"/>
      <c r="F43" s="86"/>
      <c r="H43" s="71"/>
      <c r="K43" s="40">
        <f t="shared" si="0"/>
        <v>0</v>
      </c>
    </row>
    <row r="44" spans="1:11" ht="16">
      <c r="A44" s="41" t="s">
        <v>119</v>
      </c>
      <c r="B44" s="13" t="s">
        <v>120</v>
      </c>
      <c r="C44" s="40">
        <v>5056</v>
      </c>
      <c r="D44" s="86">
        <v>46110</v>
      </c>
      <c r="F44" s="86"/>
      <c r="H44" s="71"/>
      <c r="K44" s="40">
        <f t="shared" si="0"/>
        <v>5056</v>
      </c>
    </row>
    <row r="45" spans="1:11" ht="16">
      <c r="A45" s="41" t="s">
        <v>121</v>
      </c>
      <c r="B45" s="13" t="s">
        <v>122</v>
      </c>
      <c r="D45" s="86"/>
      <c r="F45" s="86"/>
      <c r="H45" s="71"/>
      <c r="K45" s="40">
        <f t="shared" si="0"/>
        <v>0</v>
      </c>
    </row>
    <row r="46" spans="1:11" ht="16">
      <c r="A46" s="41" t="s">
        <v>123</v>
      </c>
      <c r="B46" s="13" t="s">
        <v>124</v>
      </c>
      <c r="C46" s="42">
        <v>4877</v>
      </c>
      <c r="D46" s="86">
        <v>46089</v>
      </c>
      <c r="E46" s="42">
        <v>4567</v>
      </c>
      <c r="F46" s="86">
        <v>46106</v>
      </c>
      <c r="G46" s="42"/>
      <c r="H46" s="71"/>
      <c r="K46" s="40">
        <f t="shared" si="0"/>
        <v>9444</v>
      </c>
    </row>
    <row r="47" spans="1:11" ht="16">
      <c r="A47" s="41" t="s">
        <v>125</v>
      </c>
      <c r="B47" s="13" t="s">
        <v>126</v>
      </c>
      <c r="D47" s="86"/>
      <c r="F47" s="86"/>
      <c r="H47" s="72"/>
      <c r="K47" s="40">
        <f t="shared" si="0"/>
        <v>0</v>
      </c>
    </row>
    <row r="48" spans="1:11" ht="16">
      <c r="A48" s="41" t="s">
        <v>127</v>
      </c>
      <c r="B48" s="13" t="s">
        <v>128</v>
      </c>
      <c r="C48" s="73">
        <v>5919</v>
      </c>
      <c r="D48" s="86">
        <v>46093</v>
      </c>
      <c r="F48" s="86"/>
      <c r="H48" s="71"/>
      <c r="K48" s="46">
        <f t="shared" si="0"/>
        <v>5919</v>
      </c>
    </row>
    <row r="49" spans="1:11" ht="16">
      <c r="A49" s="41" t="s">
        <v>129</v>
      </c>
      <c r="B49" s="13" t="s">
        <v>130</v>
      </c>
      <c r="C49" s="40">
        <v>4792</v>
      </c>
      <c r="D49" s="86">
        <v>46107</v>
      </c>
      <c r="F49" s="86"/>
      <c r="H49" s="72"/>
      <c r="K49" s="40">
        <f t="shared" si="0"/>
        <v>4792</v>
      </c>
    </row>
    <row r="50" spans="1:11" ht="16">
      <c r="A50" s="41" t="s">
        <v>131</v>
      </c>
      <c r="B50" s="13" t="s">
        <v>132</v>
      </c>
      <c r="C50" s="40">
        <v>5933</v>
      </c>
      <c r="D50" s="86">
        <v>46106</v>
      </c>
      <c r="F50" s="86"/>
      <c r="H50" s="71"/>
      <c r="K50" s="40">
        <f t="shared" si="0"/>
        <v>5933</v>
      </c>
    </row>
    <row r="51" spans="1:11" ht="16">
      <c r="A51" s="41" t="s">
        <v>133</v>
      </c>
      <c r="B51" s="13" t="s">
        <v>134</v>
      </c>
      <c r="D51" s="86"/>
      <c r="F51" s="86"/>
      <c r="H51" s="72"/>
      <c r="K51" s="40">
        <f t="shared" si="0"/>
        <v>0</v>
      </c>
    </row>
    <row r="52" spans="1:11" ht="16">
      <c r="A52" s="41" t="s">
        <v>135</v>
      </c>
      <c r="B52" s="13" t="s">
        <v>136</v>
      </c>
      <c r="C52" s="40">
        <v>5276</v>
      </c>
      <c r="D52" s="86">
        <v>46102</v>
      </c>
      <c r="F52" s="86"/>
      <c r="H52" s="71"/>
      <c r="K52" s="40">
        <f t="shared" si="0"/>
        <v>5276</v>
      </c>
    </row>
    <row r="53" spans="1:11" ht="16">
      <c r="A53" s="41" t="s">
        <v>137</v>
      </c>
      <c r="B53" s="13" t="s">
        <v>138</v>
      </c>
      <c r="D53" s="86"/>
      <c r="F53" s="86"/>
      <c r="H53" s="71"/>
      <c r="K53" s="40">
        <f t="shared" si="0"/>
        <v>0</v>
      </c>
    </row>
    <row r="54" spans="1:11" ht="16">
      <c r="A54" s="41" t="s">
        <v>139</v>
      </c>
      <c r="B54" s="13" t="s">
        <v>140</v>
      </c>
      <c r="C54" s="40">
        <v>4511</v>
      </c>
      <c r="D54" s="86">
        <v>46103</v>
      </c>
      <c r="F54" s="86"/>
      <c r="H54" s="71"/>
      <c r="K54" s="40">
        <f t="shared" si="0"/>
        <v>4511</v>
      </c>
    </row>
    <row r="55" spans="1:11" ht="16">
      <c r="A55" s="41" t="s">
        <v>141</v>
      </c>
      <c r="B55" s="13" t="s">
        <v>142</v>
      </c>
      <c r="D55" s="86"/>
      <c r="F55" s="86"/>
      <c r="H55" s="72"/>
      <c r="K55" s="40">
        <f t="shared" si="0"/>
        <v>0</v>
      </c>
    </row>
    <row r="56" spans="1:11" ht="16">
      <c r="A56" s="41" t="s">
        <v>143</v>
      </c>
      <c r="B56" s="13" t="s">
        <v>144</v>
      </c>
      <c r="C56" s="40">
        <v>4499</v>
      </c>
      <c r="D56" s="86">
        <v>46102</v>
      </c>
      <c r="F56" s="86"/>
      <c r="H56" s="71"/>
      <c r="K56" s="40">
        <f t="shared" si="0"/>
        <v>4499</v>
      </c>
    </row>
    <row r="57" spans="1:11" ht="16">
      <c r="A57" s="41" t="s">
        <v>145</v>
      </c>
      <c r="B57" s="13" t="s">
        <v>146</v>
      </c>
      <c r="C57" s="40">
        <v>5305</v>
      </c>
      <c r="D57" s="86">
        <v>46082</v>
      </c>
      <c r="E57" s="40">
        <v>4776</v>
      </c>
      <c r="F57" s="86">
        <v>46110</v>
      </c>
      <c r="H57" s="72"/>
      <c r="K57" s="40">
        <f t="shared" si="0"/>
        <v>10081</v>
      </c>
    </row>
    <row r="58" spans="1:11" ht="16">
      <c r="A58" s="41" t="s">
        <v>147</v>
      </c>
      <c r="B58" s="13" t="s">
        <v>148</v>
      </c>
      <c r="C58" s="40">
        <v>4658</v>
      </c>
      <c r="D58" s="86">
        <v>46106</v>
      </c>
      <c r="F58" s="86"/>
      <c r="H58" s="72"/>
      <c r="K58" s="40">
        <f t="shared" si="0"/>
        <v>4658</v>
      </c>
    </row>
    <row r="59" spans="1:11" ht="16">
      <c r="A59" s="41" t="s">
        <v>149</v>
      </c>
      <c r="B59" s="13" t="s">
        <v>36</v>
      </c>
      <c r="C59" s="40">
        <v>5574</v>
      </c>
      <c r="D59" s="45">
        <v>46102</v>
      </c>
      <c r="E59" s="40">
        <v>6780</v>
      </c>
      <c r="F59" s="86">
        <v>46102</v>
      </c>
      <c r="H59" s="71"/>
      <c r="K59" s="40">
        <f t="shared" si="0"/>
        <v>12354</v>
      </c>
    </row>
    <row r="60" spans="1:11" ht="16">
      <c r="A60" s="41" t="s">
        <v>150</v>
      </c>
      <c r="B60" s="13" t="s">
        <v>300</v>
      </c>
      <c r="C60" s="40">
        <v>5163</v>
      </c>
      <c r="D60" s="86">
        <v>46083</v>
      </c>
      <c r="F60" s="86"/>
      <c r="H60" s="71"/>
      <c r="K60" s="40">
        <f t="shared" si="0"/>
        <v>5163</v>
      </c>
    </row>
    <row r="61" spans="1:11" ht="16">
      <c r="A61" s="41" t="s">
        <v>152</v>
      </c>
      <c r="B61" s="13" t="s">
        <v>153</v>
      </c>
      <c r="C61" s="40">
        <v>4604</v>
      </c>
      <c r="D61" s="86">
        <v>46103</v>
      </c>
      <c r="F61" s="86"/>
      <c r="H61" s="71"/>
      <c r="K61" s="40">
        <f t="shared" si="0"/>
        <v>4604</v>
      </c>
    </row>
    <row r="62" spans="1:11" ht="16">
      <c r="A62" s="41" t="s">
        <v>154</v>
      </c>
      <c r="B62" s="13" t="s">
        <v>155</v>
      </c>
      <c r="D62" s="47"/>
      <c r="F62" s="86"/>
      <c r="H62" s="71"/>
      <c r="K62" s="40">
        <f t="shared" si="0"/>
        <v>0</v>
      </c>
    </row>
    <row r="63" spans="1:11" ht="16">
      <c r="A63" s="41" t="s">
        <v>156</v>
      </c>
      <c r="B63" s="13" t="s">
        <v>157</v>
      </c>
      <c r="C63" s="40">
        <v>3631</v>
      </c>
      <c r="D63" s="47">
        <v>46083</v>
      </c>
      <c r="F63" s="86"/>
      <c r="H63" s="72"/>
      <c r="K63" s="40">
        <f t="shared" si="0"/>
        <v>3631</v>
      </c>
    </row>
    <row r="64" spans="1:11" ht="16">
      <c r="A64" s="41" t="s">
        <v>158</v>
      </c>
      <c r="B64" s="13" t="s">
        <v>159</v>
      </c>
      <c r="C64" s="40">
        <v>5832</v>
      </c>
      <c r="D64" s="86">
        <v>46083</v>
      </c>
      <c r="F64" s="86"/>
      <c r="H64" s="71"/>
      <c r="K64" s="40">
        <f t="shared" si="0"/>
        <v>5832</v>
      </c>
    </row>
    <row r="65" spans="1:27" ht="16">
      <c r="A65" s="41" t="s">
        <v>160</v>
      </c>
      <c r="B65" s="13" t="s">
        <v>161</v>
      </c>
      <c r="C65" s="40">
        <v>5366</v>
      </c>
      <c r="D65" s="86">
        <v>46107</v>
      </c>
      <c r="F65" s="86"/>
      <c r="H65" s="71"/>
      <c r="K65" s="40">
        <f t="shared" si="0"/>
        <v>5366</v>
      </c>
    </row>
    <row r="66" spans="1:27">
      <c r="A66" s="50" t="s">
        <v>162</v>
      </c>
      <c r="B66" s="51"/>
      <c r="C66" s="51"/>
      <c r="D66" s="88"/>
      <c r="E66" s="51"/>
      <c r="F66" s="51"/>
      <c r="G66" s="51"/>
      <c r="H66" s="76"/>
      <c r="I66" s="51"/>
      <c r="J66" s="51"/>
      <c r="K66" s="51">
        <f>SUM(K2:K65)</f>
        <v>283757.58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>
      <c r="D67" s="87"/>
      <c r="F67" s="86"/>
      <c r="H67" s="72"/>
    </row>
    <row r="68" spans="1:27">
      <c r="D68" s="87"/>
      <c r="F68" s="86"/>
      <c r="H68" s="72"/>
    </row>
    <row r="69" spans="1:27">
      <c r="D69" s="87"/>
      <c r="F69" s="86"/>
      <c r="H69" s="72"/>
    </row>
    <row r="70" spans="1:27">
      <c r="A70" s="36"/>
      <c r="D70" s="87"/>
      <c r="F70" s="86"/>
      <c r="H70" s="72"/>
    </row>
    <row r="71" spans="1:27">
      <c r="A71" s="36"/>
      <c r="D71" s="87"/>
      <c r="F71" s="86"/>
      <c r="H71" s="72"/>
    </row>
    <row r="72" spans="1:27">
      <c r="A72" s="41"/>
      <c r="D72" s="87"/>
      <c r="F72" s="86"/>
      <c r="H72" s="72"/>
    </row>
    <row r="73" spans="1:27">
      <c r="A73" s="41"/>
      <c r="D73" s="87"/>
      <c r="F73" s="86"/>
      <c r="H73" s="72"/>
    </row>
    <row r="74" spans="1:27">
      <c r="A74" s="41"/>
      <c r="D74" s="87"/>
      <c r="F74" s="86"/>
      <c r="H74" s="72"/>
    </row>
    <row r="75" spans="1:27">
      <c r="A75" s="41"/>
      <c r="D75" s="87"/>
      <c r="F75" s="86"/>
      <c r="H75" s="72"/>
    </row>
    <row r="76" spans="1:27">
      <c r="A76" s="41"/>
      <c r="D76" s="87"/>
      <c r="F76" s="86"/>
      <c r="H76" s="72"/>
    </row>
    <row r="77" spans="1:27">
      <c r="A77" s="41"/>
      <c r="D77" s="87"/>
      <c r="F77" s="86"/>
      <c r="H77" s="72"/>
    </row>
    <row r="78" spans="1:27">
      <c r="A78" s="41"/>
      <c r="D78" s="87"/>
      <c r="F78" s="86"/>
      <c r="H78" s="72"/>
    </row>
    <row r="79" spans="1:27">
      <c r="A79" s="41"/>
      <c r="D79" s="87"/>
      <c r="F79" s="86"/>
      <c r="H79" s="72"/>
    </row>
    <row r="80" spans="1:27">
      <c r="A80" s="41"/>
      <c r="D80" s="87"/>
      <c r="F80" s="86"/>
      <c r="H80" s="72"/>
    </row>
    <row r="81" spans="1:8">
      <c r="A81" s="41"/>
      <c r="D81" s="87"/>
      <c r="F81" s="86"/>
      <c r="H81" s="72"/>
    </row>
    <row r="82" spans="1:8">
      <c r="A82" s="41"/>
      <c r="D82" s="87"/>
      <c r="F82" s="86"/>
      <c r="H82" s="72"/>
    </row>
    <row r="83" spans="1:8">
      <c r="A83" s="41"/>
      <c r="D83" s="87"/>
      <c r="F83" s="86"/>
      <c r="H83" s="72"/>
    </row>
    <row r="84" spans="1:8">
      <c r="A84" s="41"/>
      <c r="D84" s="87"/>
      <c r="F84" s="86"/>
      <c r="H84" s="72"/>
    </row>
    <row r="85" spans="1:8">
      <c r="A85" s="41"/>
      <c r="D85" s="87"/>
      <c r="F85" s="86"/>
      <c r="H85" s="72"/>
    </row>
    <row r="86" spans="1:8">
      <c r="A86" s="41"/>
      <c r="D86" s="87"/>
      <c r="F86" s="86"/>
      <c r="H86" s="72"/>
    </row>
    <row r="87" spans="1:8">
      <c r="A87" s="41"/>
      <c r="D87" s="87"/>
      <c r="F87" s="86"/>
      <c r="H87" s="72"/>
    </row>
    <row r="88" spans="1:8">
      <c r="A88" s="41"/>
      <c r="D88" s="87"/>
      <c r="F88" s="86"/>
      <c r="H88" s="72"/>
    </row>
    <row r="89" spans="1:8">
      <c r="A89" s="41"/>
      <c r="D89" s="87"/>
      <c r="F89" s="86"/>
      <c r="H89" s="72"/>
    </row>
    <row r="90" spans="1:8">
      <c r="A90" s="41"/>
      <c r="D90" s="87"/>
      <c r="F90" s="86"/>
      <c r="H90" s="72"/>
    </row>
    <row r="91" spans="1:8">
      <c r="A91" s="41"/>
      <c r="D91" s="87"/>
      <c r="F91" s="86"/>
      <c r="H91" s="72"/>
    </row>
    <row r="92" spans="1:8">
      <c r="A92" s="41"/>
      <c r="D92" s="87"/>
      <c r="F92" s="86"/>
      <c r="H92" s="72"/>
    </row>
    <row r="93" spans="1:8">
      <c r="A93" s="41"/>
      <c r="D93" s="87"/>
      <c r="F93" s="86"/>
      <c r="H93" s="72"/>
    </row>
    <row r="94" spans="1:8">
      <c r="A94" s="41"/>
      <c r="D94" s="87"/>
      <c r="F94" s="86"/>
      <c r="H94" s="72"/>
    </row>
    <row r="95" spans="1:8">
      <c r="A95" s="41"/>
      <c r="D95" s="87"/>
      <c r="F95" s="86"/>
      <c r="H95" s="72"/>
    </row>
    <row r="96" spans="1:8">
      <c r="A96" s="41"/>
      <c r="D96" s="87"/>
      <c r="F96" s="86"/>
      <c r="H96" s="72"/>
    </row>
    <row r="97" spans="1:8">
      <c r="A97" s="41"/>
      <c r="D97" s="87"/>
      <c r="F97" s="86"/>
      <c r="H97" s="72"/>
    </row>
    <row r="98" spans="1:8">
      <c r="A98" s="41"/>
      <c r="D98" s="87"/>
      <c r="F98" s="86"/>
      <c r="H98" s="72"/>
    </row>
    <row r="99" spans="1:8">
      <c r="A99" s="41"/>
      <c r="D99" s="87"/>
      <c r="F99" s="86"/>
      <c r="H99" s="72"/>
    </row>
    <row r="100" spans="1:8">
      <c r="A100" s="41"/>
      <c r="D100" s="87"/>
      <c r="F100" s="86"/>
      <c r="H100" s="72"/>
    </row>
    <row r="101" spans="1:8">
      <c r="A101" s="41"/>
      <c r="D101" s="87"/>
      <c r="F101" s="86"/>
      <c r="H101" s="72"/>
    </row>
    <row r="102" spans="1:8">
      <c r="A102" s="41"/>
      <c r="D102" s="87"/>
      <c r="F102" s="86"/>
      <c r="H102" s="72"/>
    </row>
    <row r="103" spans="1:8">
      <c r="A103" s="41"/>
      <c r="D103" s="87"/>
      <c r="F103" s="86"/>
      <c r="H103" s="72"/>
    </row>
    <row r="104" spans="1:8">
      <c r="A104" s="41"/>
      <c r="D104" s="87"/>
      <c r="F104" s="86"/>
      <c r="H104" s="72"/>
    </row>
    <row r="105" spans="1:8">
      <c r="A105" s="41"/>
      <c r="D105" s="87"/>
      <c r="F105" s="86"/>
      <c r="H105" s="72"/>
    </row>
    <row r="106" spans="1:8">
      <c r="A106" s="41"/>
      <c r="D106" s="87"/>
      <c r="F106" s="86"/>
      <c r="H106" s="72"/>
    </row>
    <row r="107" spans="1:8">
      <c r="A107" s="41"/>
      <c r="D107" s="87"/>
      <c r="F107" s="86"/>
      <c r="H107" s="72"/>
    </row>
    <row r="108" spans="1:8">
      <c r="A108" s="41"/>
      <c r="D108" s="87"/>
      <c r="F108" s="86"/>
      <c r="H108" s="72"/>
    </row>
    <row r="109" spans="1:8">
      <c r="A109" s="41"/>
      <c r="D109" s="87"/>
      <c r="F109" s="86"/>
      <c r="H109" s="72"/>
    </row>
    <row r="110" spans="1:8">
      <c r="A110" s="41"/>
      <c r="D110" s="87"/>
      <c r="F110" s="86"/>
      <c r="H110" s="72"/>
    </row>
    <row r="111" spans="1:8">
      <c r="A111" s="41"/>
      <c r="D111" s="87"/>
      <c r="F111" s="86"/>
      <c r="H111" s="72"/>
    </row>
    <row r="112" spans="1:8">
      <c r="A112" s="41"/>
      <c r="D112" s="87"/>
      <c r="F112" s="86"/>
      <c r="H112" s="72"/>
    </row>
    <row r="113" spans="1:8">
      <c r="A113" s="41"/>
      <c r="D113" s="87"/>
      <c r="F113" s="86"/>
      <c r="H113" s="72"/>
    </row>
    <row r="114" spans="1:8">
      <c r="A114" s="41"/>
      <c r="D114" s="87"/>
      <c r="F114" s="86"/>
      <c r="H114" s="72"/>
    </row>
    <row r="115" spans="1:8">
      <c r="A115" s="41"/>
      <c r="D115" s="87"/>
      <c r="F115" s="86"/>
      <c r="H115" s="72"/>
    </row>
    <row r="116" spans="1:8">
      <c r="A116" s="41"/>
      <c r="D116" s="87"/>
      <c r="F116" s="86"/>
      <c r="H116" s="72"/>
    </row>
    <row r="117" spans="1:8">
      <c r="A117" s="41"/>
      <c r="D117" s="87"/>
      <c r="F117" s="86"/>
      <c r="H117" s="72"/>
    </row>
    <row r="118" spans="1:8">
      <c r="A118" s="41"/>
      <c r="D118" s="87"/>
      <c r="F118" s="86"/>
      <c r="H118" s="72"/>
    </row>
    <row r="119" spans="1:8">
      <c r="A119" s="41"/>
      <c r="D119" s="87"/>
      <c r="F119" s="86"/>
      <c r="H119" s="72"/>
    </row>
    <row r="120" spans="1:8">
      <c r="A120" s="41"/>
      <c r="D120" s="87"/>
      <c r="F120" s="86"/>
      <c r="H120" s="72"/>
    </row>
    <row r="121" spans="1:8">
      <c r="A121" s="41"/>
      <c r="D121" s="87"/>
      <c r="F121" s="86"/>
      <c r="H121" s="72"/>
    </row>
    <row r="122" spans="1:8">
      <c r="A122" s="41"/>
      <c r="D122" s="87"/>
      <c r="F122" s="86"/>
      <c r="H122" s="72"/>
    </row>
    <row r="123" spans="1:8">
      <c r="A123" s="41"/>
      <c r="D123" s="87"/>
      <c r="F123" s="86"/>
      <c r="H123" s="72"/>
    </row>
    <row r="124" spans="1:8">
      <c r="A124" s="41"/>
      <c r="D124" s="87"/>
      <c r="F124" s="86"/>
      <c r="H124" s="72"/>
    </row>
    <row r="125" spans="1:8">
      <c r="A125" s="41"/>
      <c r="D125" s="87"/>
      <c r="F125" s="86"/>
      <c r="H125" s="72"/>
    </row>
    <row r="126" spans="1:8">
      <c r="A126" s="41"/>
      <c r="D126" s="87"/>
      <c r="F126" s="86"/>
      <c r="H126" s="72"/>
    </row>
    <row r="127" spans="1:8">
      <c r="A127" s="41"/>
      <c r="D127" s="87"/>
      <c r="F127" s="86"/>
      <c r="H127" s="72"/>
    </row>
    <row r="128" spans="1:8">
      <c r="A128" s="41"/>
      <c r="D128" s="87"/>
      <c r="F128" s="86"/>
      <c r="H128" s="72"/>
    </row>
    <row r="129" spans="1:8">
      <c r="A129" s="41"/>
      <c r="D129" s="87"/>
      <c r="F129" s="86"/>
      <c r="H129" s="72"/>
    </row>
    <row r="130" spans="1:8">
      <c r="A130" s="41"/>
      <c r="D130" s="87"/>
      <c r="F130" s="86"/>
      <c r="H130" s="72"/>
    </row>
    <row r="131" spans="1:8">
      <c r="A131" s="41"/>
      <c r="D131" s="87"/>
      <c r="F131" s="86"/>
      <c r="H131" s="72"/>
    </row>
    <row r="132" spans="1:8">
      <c r="A132" s="41"/>
      <c r="D132" s="87"/>
      <c r="F132" s="86"/>
      <c r="H132" s="72"/>
    </row>
    <row r="133" spans="1:8">
      <c r="A133" s="41"/>
      <c r="D133" s="87"/>
      <c r="F133" s="86"/>
      <c r="H133" s="72"/>
    </row>
    <row r="134" spans="1:8">
      <c r="A134" s="41"/>
      <c r="D134" s="87"/>
      <c r="F134" s="86"/>
      <c r="H134" s="72"/>
    </row>
    <row r="135" spans="1:8">
      <c r="A135" s="41"/>
      <c r="D135" s="87"/>
      <c r="F135" s="86"/>
      <c r="H135" s="72"/>
    </row>
    <row r="136" spans="1:8">
      <c r="A136" s="41"/>
      <c r="D136" s="87"/>
      <c r="F136" s="86"/>
      <c r="H136" s="72"/>
    </row>
    <row r="137" spans="1:8">
      <c r="A137" s="41"/>
      <c r="D137" s="87"/>
      <c r="F137" s="86"/>
      <c r="H137" s="72"/>
    </row>
    <row r="138" spans="1:8">
      <c r="A138" s="41"/>
      <c r="D138" s="87"/>
      <c r="F138" s="86"/>
      <c r="H138" s="72"/>
    </row>
    <row r="139" spans="1:8">
      <c r="A139" s="52"/>
      <c r="D139" s="87"/>
      <c r="F139" s="86"/>
      <c r="H139" s="72"/>
    </row>
    <row r="140" spans="1:8">
      <c r="D140" s="87"/>
      <c r="F140" s="86"/>
      <c r="H140" s="72"/>
    </row>
    <row r="141" spans="1:8">
      <c r="D141" s="87"/>
      <c r="F141" s="86"/>
      <c r="H141" s="72"/>
    </row>
    <row r="142" spans="1:8">
      <c r="D142" s="87"/>
      <c r="F142" s="86"/>
      <c r="H142" s="72"/>
    </row>
    <row r="143" spans="1:8">
      <c r="A143" s="36"/>
      <c r="D143" s="87"/>
      <c r="F143" s="86"/>
      <c r="H143" s="72"/>
    </row>
    <row r="144" spans="1:8">
      <c r="A144" s="36"/>
      <c r="D144" s="87"/>
      <c r="F144" s="86"/>
      <c r="H144" s="72"/>
    </row>
    <row r="145" spans="1:8">
      <c r="A145" s="41"/>
      <c r="D145" s="87"/>
      <c r="F145" s="86"/>
      <c r="H145" s="72"/>
    </row>
    <row r="146" spans="1:8">
      <c r="A146" s="41"/>
      <c r="D146" s="87"/>
      <c r="F146" s="86"/>
      <c r="H146" s="72"/>
    </row>
    <row r="147" spans="1:8">
      <c r="A147" s="41"/>
      <c r="D147" s="87"/>
      <c r="F147" s="86"/>
      <c r="H147" s="72"/>
    </row>
    <row r="148" spans="1:8">
      <c r="A148" s="41"/>
      <c r="D148" s="87"/>
      <c r="F148" s="86"/>
      <c r="H148" s="72"/>
    </row>
    <row r="149" spans="1:8">
      <c r="A149" s="41"/>
      <c r="D149" s="87"/>
      <c r="F149" s="86"/>
      <c r="H149" s="72"/>
    </row>
    <row r="150" spans="1:8">
      <c r="A150" s="41"/>
      <c r="D150" s="87"/>
      <c r="F150" s="86"/>
      <c r="H150" s="72"/>
    </row>
    <row r="151" spans="1:8">
      <c r="A151" s="41"/>
      <c r="D151" s="87"/>
      <c r="F151" s="86"/>
      <c r="H151" s="72"/>
    </row>
    <row r="152" spans="1:8">
      <c r="A152" s="41"/>
      <c r="D152" s="87"/>
      <c r="F152" s="86"/>
      <c r="H152" s="72"/>
    </row>
    <row r="153" spans="1:8">
      <c r="A153" s="41"/>
      <c r="D153" s="87"/>
      <c r="F153" s="86"/>
      <c r="H153" s="72"/>
    </row>
    <row r="154" spans="1:8">
      <c r="A154" s="41"/>
      <c r="D154" s="87"/>
      <c r="F154" s="86"/>
      <c r="H154" s="72"/>
    </row>
    <row r="155" spans="1:8">
      <c r="A155" s="41"/>
      <c r="D155" s="87"/>
      <c r="F155" s="86"/>
      <c r="H155" s="72"/>
    </row>
    <row r="156" spans="1:8">
      <c r="A156" s="41"/>
      <c r="D156" s="87"/>
      <c r="F156" s="86"/>
      <c r="H156" s="72"/>
    </row>
    <row r="157" spans="1:8">
      <c r="A157" s="41"/>
      <c r="D157" s="87"/>
      <c r="F157" s="86"/>
      <c r="H157" s="72"/>
    </row>
    <row r="158" spans="1:8">
      <c r="A158" s="41"/>
      <c r="D158" s="87"/>
      <c r="F158" s="86"/>
      <c r="H158" s="72"/>
    </row>
    <row r="159" spans="1:8">
      <c r="A159" s="41"/>
      <c r="D159" s="87"/>
      <c r="F159" s="86"/>
      <c r="H159" s="72"/>
    </row>
    <row r="160" spans="1:8">
      <c r="A160" s="41"/>
      <c r="D160" s="87"/>
      <c r="F160" s="86"/>
      <c r="H160" s="72"/>
    </row>
    <row r="161" spans="1:8">
      <c r="A161" s="41"/>
      <c r="D161" s="87"/>
      <c r="F161" s="86"/>
      <c r="H161" s="72"/>
    </row>
    <row r="162" spans="1:8">
      <c r="A162" s="41"/>
      <c r="D162" s="87"/>
      <c r="F162" s="86"/>
      <c r="H162" s="72"/>
    </row>
    <row r="163" spans="1:8">
      <c r="A163" s="41"/>
      <c r="D163" s="87"/>
      <c r="F163" s="86"/>
      <c r="H163" s="72"/>
    </row>
    <row r="164" spans="1:8">
      <c r="A164" s="41"/>
      <c r="D164" s="87"/>
      <c r="F164" s="86"/>
      <c r="H164" s="72"/>
    </row>
    <row r="165" spans="1:8">
      <c r="A165" s="41"/>
      <c r="D165" s="87"/>
      <c r="F165" s="86"/>
      <c r="H165" s="72"/>
    </row>
    <row r="166" spans="1:8">
      <c r="A166" s="41"/>
      <c r="D166" s="87"/>
      <c r="F166" s="86"/>
      <c r="H166" s="72"/>
    </row>
    <row r="167" spans="1:8">
      <c r="A167" s="41"/>
      <c r="D167" s="87"/>
      <c r="F167" s="86"/>
      <c r="H167" s="72"/>
    </row>
    <row r="168" spans="1:8">
      <c r="A168" s="41"/>
      <c r="D168" s="87"/>
      <c r="F168" s="86"/>
      <c r="H168" s="72"/>
    </row>
    <row r="169" spans="1:8">
      <c r="A169" s="41"/>
      <c r="D169" s="87"/>
      <c r="F169" s="86"/>
      <c r="H169" s="72"/>
    </row>
    <row r="170" spans="1:8">
      <c r="A170" s="41"/>
      <c r="D170" s="87"/>
      <c r="F170" s="86"/>
      <c r="H170" s="72"/>
    </row>
    <row r="171" spans="1:8">
      <c r="A171" s="41"/>
      <c r="D171" s="87"/>
      <c r="F171" s="86"/>
      <c r="H171" s="72"/>
    </row>
    <row r="172" spans="1:8">
      <c r="A172" s="41"/>
      <c r="D172" s="87"/>
      <c r="F172" s="86"/>
      <c r="H172" s="72"/>
    </row>
    <row r="173" spans="1:8">
      <c r="A173" s="41"/>
      <c r="D173" s="87"/>
      <c r="F173" s="86"/>
      <c r="H173" s="72"/>
    </row>
    <row r="174" spans="1:8">
      <c r="A174" s="41"/>
      <c r="D174" s="87"/>
      <c r="F174" s="86"/>
      <c r="H174" s="72"/>
    </row>
    <row r="175" spans="1:8">
      <c r="A175" s="41"/>
      <c r="D175" s="87"/>
      <c r="F175" s="86"/>
      <c r="H175" s="72"/>
    </row>
    <row r="176" spans="1:8">
      <c r="A176" s="41"/>
      <c r="D176" s="87"/>
      <c r="F176" s="86"/>
      <c r="H176" s="72"/>
    </row>
    <row r="177" spans="1:8">
      <c r="A177" s="41"/>
      <c r="D177" s="87"/>
      <c r="F177" s="86"/>
      <c r="H177" s="72"/>
    </row>
    <row r="178" spans="1:8">
      <c r="A178" s="41"/>
      <c r="D178" s="87"/>
      <c r="F178" s="86"/>
      <c r="H178" s="72"/>
    </row>
    <row r="179" spans="1:8">
      <c r="A179" s="41"/>
      <c r="D179" s="87"/>
      <c r="F179" s="86"/>
      <c r="H179" s="72"/>
    </row>
    <row r="180" spans="1:8">
      <c r="A180" s="41"/>
      <c r="D180" s="87"/>
      <c r="F180" s="86"/>
      <c r="H180" s="72"/>
    </row>
    <row r="181" spans="1:8">
      <c r="A181" s="41"/>
      <c r="D181" s="87"/>
      <c r="F181" s="86"/>
      <c r="H181" s="72"/>
    </row>
    <row r="182" spans="1:8">
      <c r="A182" s="41"/>
      <c r="D182" s="87"/>
      <c r="F182" s="86"/>
      <c r="H182" s="72"/>
    </row>
    <row r="183" spans="1:8">
      <c r="A183" s="41"/>
      <c r="D183" s="87"/>
      <c r="F183" s="86"/>
      <c r="H183" s="72"/>
    </row>
    <row r="184" spans="1:8">
      <c r="A184" s="41"/>
      <c r="D184" s="87"/>
      <c r="F184" s="86"/>
      <c r="H184" s="72"/>
    </row>
    <row r="185" spans="1:8">
      <c r="A185" s="41"/>
      <c r="D185" s="87"/>
      <c r="F185" s="86"/>
      <c r="H185" s="72"/>
    </row>
    <row r="186" spans="1:8">
      <c r="A186" s="41"/>
      <c r="D186" s="87"/>
      <c r="F186" s="86"/>
      <c r="H186" s="72"/>
    </row>
    <row r="187" spans="1:8">
      <c r="A187" s="41"/>
      <c r="D187" s="87"/>
      <c r="F187" s="86"/>
      <c r="H187" s="72"/>
    </row>
    <row r="188" spans="1:8">
      <c r="A188" s="41"/>
      <c r="D188" s="87"/>
      <c r="F188" s="86"/>
      <c r="H188" s="72"/>
    </row>
    <row r="189" spans="1:8">
      <c r="A189" s="41"/>
      <c r="D189" s="87"/>
      <c r="F189" s="86"/>
      <c r="H189" s="72"/>
    </row>
    <row r="190" spans="1:8">
      <c r="A190" s="41"/>
      <c r="D190" s="87"/>
      <c r="F190" s="86"/>
      <c r="H190" s="72"/>
    </row>
    <row r="191" spans="1:8">
      <c r="A191" s="41"/>
      <c r="D191" s="87"/>
      <c r="F191" s="86"/>
      <c r="H191" s="72"/>
    </row>
    <row r="192" spans="1:8">
      <c r="A192" s="41"/>
      <c r="D192" s="87"/>
      <c r="F192" s="86"/>
      <c r="H192" s="72"/>
    </row>
    <row r="193" spans="1:8">
      <c r="A193" s="41"/>
      <c r="D193" s="87"/>
      <c r="F193" s="86"/>
      <c r="H193" s="72"/>
    </row>
    <row r="194" spans="1:8">
      <c r="A194" s="41"/>
      <c r="D194" s="87"/>
      <c r="F194" s="86"/>
      <c r="H194" s="72"/>
    </row>
    <row r="195" spans="1:8">
      <c r="A195" s="41"/>
      <c r="D195" s="87"/>
      <c r="F195" s="86"/>
      <c r="H195" s="72"/>
    </row>
    <row r="196" spans="1:8">
      <c r="A196" s="41"/>
      <c r="D196" s="87"/>
      <c r="F196" s="86"/>
      <c r="H196" s="72"/>
    </row>
    <row r="197" spans="1:8">
      <c r="A197" s="41"/>
      <c r="D197" s="87"/>
      <c r="F197" s="86"/>
      <c r="H197" s="72"/>
    </row>
    <row r="198" spans="1:8">
      <c r="A198" s="41"/>
      <c r="D198" s="87"/>
      <c r="F198" s="86"/>
      <c r="H198" s="72"/>
    </row>
    <row r="199" spans="1:8">
      <c r="A199" s="41"/>
      <c r="D199" s="87"/>
      <c r="F199" s="86"/>
      <c r="H199" s="72"/>
    </row>
    <row r="200" spans="1:8">
      <c r="A200" s="41"/>
      <c r="D200" s="87"/>
      <c r="F200" s="86"/>
      <c r="H200" s="72"/>
    </row>
    <row r="201" spans="1:8">
      <c r="A201" s="41"/>
      <c r="D201" s="87"/>
      <c r="F201" s="86"/>
      <c r="H201" s="72"/>
    </row>
    <row r="202" spans="1:8">
      <c r="A202" s="41"/>
      <c r="D202" s="87"/>
      <c r="F202" s="86"/>
      <c r="H202" s="72"/>
    </row>
    <row r="203" spans="1:8">
      <c r="A203" s="41"/>
      <c r="D203" s="87"/>
      <c r="F203" s="86"/>
      <c r="H203" s="72"/>
    </row>
    <row r="204" spans="1:8">
      <c r="A204" s="41"/>
      <c r="D204" s="87"/>
      <c r="F204" s="86"/>
      <c r="H204" s="72"/>
    </row>
    <row r="205" spans="1:8">
      <c r="A205" s="41"/>
      <c r="D205" s="87"/>
      <c r="F205" s="86"/>
      <c r="H205" s="72"/>
    </row>
    <row r="206" spans="1:8">
      <c r="A206" s="41"/>
      <c r="D206" s="87"/>
      <c r="F206" s="86"/>
      <c r="H206" s="72"/>
    </row>
    <row r="207" spans="1:8">
      <c r="A207" s="41"/>
      <c r="D207" s="87"/>
      <c r="F207" s="86"/>
      <c r="H207" s="72"/>
    </row>
    <row r="208" spans="1:8">
      <c r="A208" s="41"/>
      <c r="D208" s="87"/>
      <c r="F208" s="86"/>
      <c r="H208" s="72"/>
    </row>
    <row r="209" spans="1:8">
      <c r="A209" s="41"/>
      <c r="D209" s="87"/>
      <c r="F209" s="86"/>
      <c r="H209" s="72"/>
    </row>
    <row r="210" spans="1:8">
      <c r="A210" s="41"/>
      <c r="D210" s="87"/>
      <c r="F210" s="86"/>
      <c r="H210" s="72"/>
    </row>
    <row r="211" spans="1:8">
      <c r="A211" s="41"/>
      <c r="D211" s="87"/>
      <c r="F211" s="86"/>
      <c r="H211" s="72"/>
    </row>
    <row r="212" spans="1:8">
      <c r="A212" s="52"/>
      <c r="D212" s="87"/>
      <c r="F212" s="86"/>
      <c r="H212" s="72"/>
    </row>
    <row r="213" spans="1:8">
      <c r="D213" s="87"/>
      <c r="F213" s="86"/>
      <c r="H213" s="72"/>
    </row>
    <row r="214" spans="1:8">
      <c r="D214" s="87"/>
      <c r="F214" s="86"/>
      <c r="H214" s="72"/>
    </row>
    <row r="215" spans="1:8">
      <c r="D215" s="87"/>
      <c r="F215" s="86"/>
      <c r="H215" s="72"/>
    </row>
    <row r="216" spans="1:8">
      <c r="A216" s="36"/>
      <c r="D216" s="87"/>
      <c r="F216" s="86"/>
      <c r="H216" s="72"/>
    </row>
    <row r="217" spans="1:8">
      <c r="A217" s="36"/>
      <c r="D217" s="87"/>
      <c r="F217" s="86"/>
      <c r="H217" s="72"/>
    </row>
    <row r="218" spans="1:8">
      <c r="A218" s="41"/>
      <c r="D218" s="87"/>
      <c r="F218" s="86"/>
      <c r="H218" s="72"/>
    </row>
    <row r="219" spans="1:8">
      <c r="A219" s="41"/>
      <c r="D219" s="87"/>
      <c r="F219" s="86"/>
      <c r="H219" s="72"/>
    </row>
    <row r="220" spans="1:8">
      <c r="A220" s="41"/>
      <c r="D220" s="87"/>
      <c r="F220" s="86"/>
      <c r="H220" s="72"/>
    </row>
    <row r="221" spans="1:8">
      <c r="A221" s="41"/>
      <c r="D221" s="87"/>
      <c r="F221" s="86"/>
      <c r="H221" s="72"/>
    </row>
    <row r="222" spans="1:8">
      <c r="A222" s="41"/>
      <c r="D222" s="87"/>
      <c r="F222" s="86"/>
      <c r="H222" s="72"/>
    </row>
    <row r="223" spans="1:8">
      <c r="A223" s="41"/>
      <c r="D223" s="87"/>
      <c r="F223" s="86"/>
      <c r="H223" s="72"/>
    </row>
    <row r="224" spans="1:8">
      <c r="A224" s="41"/>
      <c r="D224" s="87"/>
      <c r="F224" s="86"/>
      <c r="H224" s="72"/>
    </row>
    <row r="225" spans="1:8">
      <c r="A225" s="41"/>
      <c r="D225" s="87"/>
      <c r="F225" s="86"/>
      <c r="H225" s="72"/>
    </row>
    <row r="226" spans="1:8">
      <c r="A226" s="41"/>
      <c r="D226" s="87"/>
      <c r="F226" s="86"/>
      <c r="H226" s="72"/>
    </row>
    <row r="227" spans="1:8">
      <c r="A227" s="41"/>
      <c r="D227" s="87"/>
      <c r="F227" s="86"/>
      <c r="H227" s="72"/>
    </row>
    <row r="228" spans="1:8">
      <c r="A228" s="41"/>
      <c r="D228" s="87"/>
      <c r="F228" s="86"/>
      <c r="H228" s="72"/>
    </row>
    <row r="229" spans="1:8">
      <c r="A229" s="41"/>
      <c r="D229" s="87"/>
      <c r="F229" s="86"/>
      <c r="H229" s="72"/>
    </row>
    <row r="230" spans="1:8">
      <c r="A230" s="41"/>
      <c r="D230" s="87"/>
      <c r="F230" s="86"/>
      <c r="H230" s="72"/>
    </row>
    <row r="231" spans="1:8">
      <c r="A231" s="41"/>
      <c r="D231" s="87"/>
      <c r="F231" s="86"/>
      <c r="H231" s="72"/>
    </row>
    <row r="232" spans="1:8">
      <c r="A232" s="41"/>
      <c r="D232" s="87"/>
      <c r="F232" s="86"/>
      <c r="H232" s="72"/>
    </row>
    <row r="233" spans="1:8">
      <c r="A233" s="41"/>
      <c r="D233" s="87"/>
      <c r="F233" s="86"/>
      <c r="H233" s="72"/>
    </row>
    <row r="234" spans="1:8">
      <c r="A234" s="41"/>
      <c r="D234" s="87"/>
      <c r="F234" s="86"/>
      <c r="H234" s="72"/>
    </row>
    <row r="235" spans="1:8">
      <c r="A235" s="41"/>
      <c r="D235" s="87"/>
      <c r="F235" s="86"/>
      <c r="H235" s="72"/>
    </row>
    <row r="236" spans="1:8">
      <c r="A236" s="41"/>
      <c r="D236" s="87"/>
      <c r="F236" s="86"/>
      <c r="H236" s="72"/>
    </row>
    <row r="237" spans="1:8">
      <c r="A237" s="41"/>
      <c r="D237" s="87"/>
      <c r="F237" s="86"/>
      <c r="H237" s="72"/>
    </row>
    <row r="238" spans="1:8">
      <c r="A238" s="41"/>
      <c r="D238" s="87"/>
      <c r="F238" s="86"/>
      <c r="H238" s="72"/>
    </row>
    <row r="239" spans="1:8">
      <c r="A239" s="41"/>
      <c r="D239" s="87"/>
      <c r="F239" s="86"/>
      <c r="H239" s="72"/>
    </row>
    <row r="240" spans="1:8">
      <c r="A240" s="41"/>
      <c r="D240" s="87"/>
      <c r="F240" s="86"/>
      <c r="H240" s="72"/>
    </row>
    <row r="241" spans="1:8">
      <c r="A241" s="41"/>
      <c r="D241" s="87"/>
      <c r="F241" s="86"/>
      <c r="H241" s="72"/>
    </row>
    <row r="242" spans="1:8">
      <c r="A242" s="41"/>
      <c r="D242" s="87"/>
      <c r="F242" s="86"/>
      <c r="H242" s="72"/>
    </row>
    <row r="243" spans="1:8">
      <c r="A243" s="41"/>
      <c r="D243" s="87"/>
      <c r="F243" s="86"/>
      <c r="H243" s="72"/>
    </row>
    <row r="244" spans="1:8">
      <c r="A244" s="41"/>
      <c r="D244" s="87"/>
      <c r="F244" s="86"/>
      <c r="H244" s="72"/>
    </row>
    <row r="245" spans="1:8">
      <c r="A245" s="41"/>
      <c r="D245" s="87"/>
      <c r="F245" s="86"/>
      <c r="H245" s="72"/>
    </row>
    <row r="246" spans="1:8">
      <c r="A246" s="41"/>
      <c r="D246" s="87"/>
      <c r="F246" s="86"/>
      <c r="H246" s="72"/>
    </row>
    <row r="247" spans="1:8">
      <c r="A247" s="41"/>
      <c r="D247" s="87"/>
      <c r="F247" s="86"/>
      <c r="H247" s="72"/>
    </row>
    <row r="248" spans="1:8">
      <c r="A248" s="41"/>
      <c r="D248" s="87"/>
      <c r="F248" s="86"/>
      <c r="H248" s="72"/>
    </row>
    <row r="249" spans="1:8">
      <c r="A249" s="41"/>
      <c r="D249" s="87"/>
      <c r="F249" s="86"/>
      <c r="H249" s="72"/>
    </row>
    <row r="250" spans="1:8">
      <c r="A250" s="41"/>
      <c r="D250" s="87"/>
      <c r="F250" s="86"/>
      <c r="H250" s="72"/>
    </row>
    <row r="251" spans="1:8">
      <c r="A251" s="41"/>
      <c r="D251" s="87"/>
      <c r="F251" s="86"/>
      <c r="H251" s="72"/>
    </row>
    <row r="252" spans="1:8">
      <c r="A252" s="41"/>
      <c r="D252" s="87"/>
      <c r="F252" s="86"/>
      <c r="H252" s="72"/>
    </row>
    <row r="253" spans="1:8">
      <c r="A253" s="41"/>
      <c r="D253" s="87"/>
      <c r="F253" s="86"/>
      <c r="H253" s="72"/>
    </row>
    <row r="254" spans="1:8">
      <c r="A254" s="41"/>
      <c r="D254" s="87"/>
      <c r="F254" s="86"/>
      <c r="H254" s="72"/>
    </row>
    <row r="255" spans="1:8">
      <c r="A255" s="41"/>
      <c r="D255" s="87"/>
      <c r="F255" s="86"/>
      <c r="H255" s="72"/>
    </row>
    <row r="256" spans="1:8">
      <c r="A256" s="41"/>
      <c r="D256" s="87"/>
      <c r="F256" s="86"/>
      <c r="H256" s="72"/>
    </row>
    <row r="257" spans="1:8">
      <c r="A257" s="41"/>
      <c r="D257" s="87"/>
      <c r="F257" s="86"/>
      <c r="H257" s="72"/>
    </row>
    <row r="258" spans="1:8">
      <c r="A258" s="41"/>
      <c r="D258" s="87"/>
      <c r="F258" s="86"/>
      <c r="H258" s="72"/>
    </row>
    <row r="259" spans="1:8">
      <c r="A259" s="41"/>
      <c r="D259" s="87"/>
      <c r="F259" s="86"/>
      <c r="H259" s="72"/>
    </row>
    <row r="260" spans="1:8">
      <c r="A260" s="41"/>
      <c r="D260" s="87"/>
      <c r="F260" s="86"/>
      <c r="H260" s="72"/>
    </row>
    <row r="261" spans="1:8">
      <c r="A261" s="41"/>
      <c r="D261" s="87"/>
      <c r="F261" s="86"/>
      <c r="H261" s="72"/>
    </row>
    <row r="262" spans="1:8">
      <c r="A262" s="41"/>
      <c r="D262" s="87"/>
      <c r="F262" s="86"/>
      <c r="H262" s="72"/>
    </row>
    <row r="263" spans="1:8">
      <c r="A263" s="41"/>
      <c r="D263" s="87"/>
      <c r="F263" s="86"/>
      <c r="H263" s="72"/>
    </row>
    <row r="264" spans="1:8">
      <c r="A264" s="41"/>
      <c r="D264" s="87"/>
      <c r="F264" s="86"/>
      <c r="H264" s="72"/>
    </row>
    <row r="265" spans="1:8">
      <c r="A265" s="41"/>
      <c r="D265" s="87"/>
      <c r="F265" s="86"/>
      <c r="H265" s="72"/>
    </row>
    <row r="266" spans="1:8">
      <c r="A266" s="41"/>
      <c r="D266" s="87"/>
      <c r="F266" s="86"/>
      <c r="H266" s="72"/>
    </row>
    <row r="267" spans="1:8">
      <c r="A267" s="41"/>
      <c r="D267" s="87"/>
      <c r="F267" s="86"/>
      <c r="H267" s="72"/>
    </row>
    <row r="268" spans="1:8">
      <c r="A268" s="41"/>
      <c r="D268" s="87"/>
      <c r="F268" s="86"/>
      <c r="H268" s="72"/>
    </row>
    <row r="269" spans="1:8">
      <c r="A269" s="41"/>
      <c r="D269" s="87"/>
      <c r="F269" s="86"/>
      <c r="H269" s="72"/>
    </row>
    <row r="270" spans="1:8">
      <c r="A270" s="41"/>
      <c r="D270" s="87"/>
      <c r="F270" s="86"/>
      <c r="H270" s="72"/>
    </row>
    <row r="271" spans="1:8">
      <c r="A271" s="41"/>
      <c r="D271" s="87"/>
      <c r="F271" s="86"/>
      <c r="H271" s="72"/>
    </row>
    <row r="272" spans="1:8">
      <c r="A272" s="41"/>
      <c r="D272" s="87"/>
      <c r="F272" s="86"/>
      <c r="H272" s="72"/>
    </row>
    <row r="273" spans="1:8">
      <c r="A273" s="41"/>
      <c r="D273" s="87"/>
      <c r="F273" s="86"/>
      <c r="H273" s="72"/>
    </row>
    <row r="274" spans="1:8">
      <c r="A274" s="41"/>
      <c r="D274" s="87"/>
      <c r="F274" s="86"/>
      <c r="H274" s="72"/>
    </row>
    <row r="275" spans="1:8">
      <c r="A275" s="41"/>
      <c r="D275" s="87"/>
      <c r="F275" s="86"/>
      <c r="H275" s="72"/>
    </row>
    <row r="276" spans="1:8">
      <c r="A276" s="41"/>
      <c r="D276" s="87"/>
      <c r="F276" s="86"/>
      <c r="H276" s="72"/>
    </row>
    <row r="277" spans="1:8">
      <c r="A277" s="41"/>
      <c r="D277" s="87"/>
      <c r="F277" s="86"/>
      <c r="H277" s="72"/>
    </row>
    <row r="278" spans="1:8">
      <c r="A278" s="41"/>
      <c r="D278" s="87"/>
      <c r="F278" s="86"/>
      <c r="H278" s="72"/>
    </row>
    <row r="279" spans="1:8">
      <c r="A279" s="41"/>
      <c r="D279" s="87"/>
      <c r="F279" s="86"/>
      <c r="H279" s="72"/>
    </row>
    <row r="280" spans="1:8">
      <c r="A280" s="41"/>
      <c r="D280" s="87"/>
      <c r="F280" s="86"/>
      <c r="H280" s="72"/>
    </row>
    <row r="281" spans="1:8">
      <c r="A281" s="41"/>
      <c r="D281" s="87"/>
      <c r="F281" s="86"/>
      <c r="H281" s="72"/>
    </row>
    <row r="282" spans="1:8">
      <c r="A282" s="41"/>
      <c r="D282" s="87"/>
      <c r="F282" s="86"/>
      <c r="H282" s="72"/>
    </row>
    <row r="283" spans="1:8">
      <c r="A283" s="41"/>
      <c r="D283" s="87"/>
      <c r="F283" s="86"/>
      <c r="H283" s="72"/>
    </row>
    <row r="284" spans="1:8">
      <c r="A284" s="41"/>
      <c r="D284" s="87"/>
      <c r="F284" s="86"/>
      <c r="H284" s="72"/>
    </row>
    <row r="285" spans="1:8">
      <c r="A285" s="52"/>
      <c r="D285" s="87"/>
      <c r="F285" s="86"/>
      <c r="H285" s="72"/>
    </row>
    <row r="286" spans="1:8">
      <c r="D286" s="87"/>
      <c r="F286" s="86"/>
      <c r="H286" s="72"/>
    </row>
    <row r="287" spans="1:8">
      <c r="D287" s="87"/>
      <c r="F287" s="86"/>
      <c r="H287" s="72"/>
    </row>
    <row r="288" spans="1:8">
      <c r="D288" s="87"/>
      <c r="F288" s="86"/>
      <c r="H288" s="72"/>
    </row>
    <row r="289" spans="1:8">
      <c r="A289" s="36"/>
      <c r="D289" s="87"/>
      <c r="F289" s="86"/>
      <c r="H289" s="72"/>
    </row>
    <row r="290" spans="1:8">
      <c r="A290" s="36"/>
      <c r="D290" s="87"/>
      <c r="F290" s="86"/>
      <c r="H290" s="72"/>
    </row>
    <row r="291" spans="1:8">
      <c r="A291" s="41"/>
      <c r="D291" s="87"/>
      <c r="F291" s="86"/>
      <c r="H291" s="72"/>
    </row>
    <row r="292" spans="1:8">
      <c r="A292" s="41"/>
      <c r="D292" s="87"/>
      <c r="F292" s="86"/>
      <c r="H292" s="72"/>
    </row>
    <row r="293" spans="1:8">
      <c r="A293" s="41"/>
      <c r="D293" s="87"/>
      <c r="F293" s="86"/>
      <c r="H293" s="72"/>
    </row>
    <row r="294" spans="1:8">
      <c r="A294" s="41"/>
      <c r="D294" s="87"/>
      <c r="F294" s="86"/>
      <c r="H294" s="72"/>
    </row>
    <row r="295" spans="1:8">
      <c r="A295" s="41"/>
      <c r="D295" s="87"/>
      <c r="F295" s="86"/>
      <c r="H295" s="72"/>
    </row>
    <row r="296" spans="1:8">
      <c r="A296" s="41"/>
      <c r="D296" s="87"/>
      <c r="F296" s="86"/>
      <c r="H296" s="72"/>
    </row>
    <row r="297" spans="1:8">
      <c r="A297" s="41"/>
      <c r="D297" s="87"/>
      <c r="F297" s="86"/>
      <c r="H297" s="72"/>
    </row>
    <row r="298" spans="1:8">
      <c r="A298" s="41"/>
      <c r="D298" s="87"/>
      <c r="F298" s="86"/>
      <c r="H298" s="72"/>
    </row>
    <row r="299" spans="1:8">
      <c r="A299" s="41"/>
      <c r="D299" s="87"/>
      <c r="F299" s="86"/>
      <c r="H299" s="72"/>
    </row>
    <row r="300" spans="1:8">
      <c r="A300" s="41"/>
      <c r="D300" s="87"/>
      <c r="F300" s="86"/>
      <c r="H300" s="72"/>
    </row>
    <row r="301" spans="1:8">
      <c r="A301" s="41"/>
      <c r="D301" s="87"/>
      <c r="F301" s="86"/>
      <c r="H301" s="72"/>
    </row>
    <row r="302" spans="1:8">
      <c r="A302" s="41"/>
      <c r="D302" s="87"/>
      <c r="F302" s="86"/>
      <c r="H302" s="72"/>
    </row>
    <row r="303" spans="1:8">
      <c r="A303" s="41"/>
      <c r="D303" s="87"/>
      <c r="F303" s="86"/>
      <c r="H303" s="72"/>
    </row>
    <row r="304" spans="1:8">
      <c r="A304" s="41"/>
      <c r="D304" s="87"/>
      <c r="F304" s="86"/>
      <c r="H304" s="72"/>
    </row>
    <row r="305" spans="1:8">
      <c r="A305" s="41"/>
      <c r="D305" s="87"/>
      <c r="F305" s="86"/>
      <c r="H305" s="72"/>
    </row>
    <row r="306" spans="1:8">
      <c r="A306" s="41"/>
      <c r="D306" s="87"/>
      <c r="F306" s="86"/>
      <c r="H306" s="72"/>
    </row>
    <row r="307" spans="1:8">
      <c r="A307" s="41"/>
      <c r="D307" s="87"/>
      <c r="F307" s="86"/>
      <c r="H307" s="72"/>
    </row>
    <row r="308" spans="1:8">
      <c r="A308" s="41"/>
      <c r="D308" s="87"/>
      <c r="F308" s="86"/>
      <c r="H308" s="72"/>
    </row>
    <row r="309" spans="1:8">
      <c r="A309" s="41"/>
      <c r="D309" s="87"/>
      <c r="F309" s="86"/>
      <c r="H309" s="72"/>
    </row>
    <row r="310" spans="1:8">
      <c r="A310" s="41"/>
      <c r="D310" s="87"/>
      <c r="F310" s="86"/>
      <c r="H310" s="72"/>
    </row>
    <row r="311" spans="1:8">
      <c r="A311" s="41"/>
      <c r="D311" s="87"/>
      <c r="F311" s="86"/>
      <c r="H311" s="72"/>
    </row>
    <row r="312" spans="1:8">
      <c r="A312" s="41"/>
      <c r="D312" s="87"/>
      <c r="F312" s="86"/>
      <c r="H312" s="72"/>
    </row>
    <row r="313" spans="1:8">
      <c r="A313" s="41"/>
      <c r="D313" s="87"/>
      <c r="F313" s="86"/>
      <c r="H313" s="72"/>
    </row>
    <row r="314" spans="1:8">
      <c r="A314" s="41"/>
      <c r="D314" s="87"/>
      <c r="F314" s="86"/>
      <c r="H314" s="72"/>
    </row>
    <row r="315" spans="1:8">
      <c r="A315" s="41"/>
      <c r="D315" s="87"/>
      <c r="F315" s="86"/>
      <c r="H315" s="72"/>
    </row>
    <row r="316" spans="1:8">
      <c r="A316" s="41"/>
      <c r="D316" s="87"/>
      <c r="F316" s="86"/>
      <c r="H316" s="72"/>
    </row>
    <row r="317" spans="1:8">
      <c r="A317" s="41"/>
      <c r="D317" s="87"/>
      <c r="F317" s="86"/>
      <c r="H317" s="72"/>
    </row>
    <row r="318" spans="1:8">
      <c r="A318" s="41"/>
      <c r="D318" s="87"/>
      <c r="F318" s="86"/>
      <c r="H318" s="72"/>
    </row>
    <row r="319" spans="1:8">
      <c r="A319" s="41"/>
      <c r="D319" s="87"/>
      <c r="F319" s="86"/>
      <c r="H319" s="72"/>
    </row>
    <row r="320" spans="1:8">
      <c r="A320" s="41"/>
      <c r="D320" s="87"/>
      <c r="F320" s="86"/>
      <c r="H320" s="72"/>
    </row>
    <row r="321" spans="1:8">
      <c r="A321" s="41"/>
      <c r="D321" s="87"/>
      <c r="F321" s="86"/>
      <c r="H321" s="72"/>
    </row>
    <row r="322" spans="1:8">
      <c r="A322" s="41"/>
      <c r="D322" s="87"/>
      <c r="F322" s="86"/>
      <c r="H322" s="72"/>
    </row>
    <row r="323" spans="1:8">
      <c r="A323" s="41"/>
      <c r="D323" s="87"/>
      <c r="F323" s="86"/>
      <c r="H323" s="72"/>
    </row>
    <row r="324" spans="1:8">
      <c r="A324" s="41"/>
      <c r="D324" s="87"/>
      <c r="F324" s="86"/>
      <c r="H324" s="72"/>
    </row>
    <row r="325" spans="1:8">
      <c r="A325" s="41"/>
      <c r="D325" s="87"/>
      <c r="F325" s="86"/>
      <c r="H325" s="72"/>
    </row>
    <row r="326" spans="1:8">
      <c r="A326" s="41"/>
      <c r="D326" s="87"/>
      <c r="F326" s="86"/>
      <c r="H326" s="72"/>
    </row>
    <row r="327" spans="1:8">
      <c r="A327" s="41"/>
      <c r="D327" s="87"/>
      <c r="F327" s="86"/>
      <c r="H327" s="72"/>
    </row>
    <row r="328" spans="1:8">
      <c r="A328" s="41"/>
      <c r="D328" s="87"/>
      <c r="F328" s="86"/>
      <c r="H328" s="72"/>
    </row>
    <row r="329" spans="1:8">
      <c r="A329" s="41"/>
      <c r="D329" s="87"/>
      <c r="F329" s="86"/>
      <c r="H329" s="72"/>
    </row>
    <row r="330" spans="1:8">
      <c r="A330" s="41"/>
      <c r="D330" s="87"/>
      <c r="F330" s="86"/>
      <c r="H330" s="72"/>
    </row>
    <row r="331" spans="1:8">
      <c r="A331" s="41"/>
      <c r="D331" s="87"/>
      <c r="F331" s="86"/>
      <c r="H331" s="72"/>
    </row>
    <row r="332" spans="1:8">
      <c r="A332" s="41"/>
      <c r="D332" s="87"/>
      <c r="F332" s="86"/>
      <c r="H332" s="72"/>
    </row>
    <row r="333" spans="1:8">
      <c r="A333" s="41"/>
      <c r="D333" s="87"/>
      <c r="F333" s="86"/>
      <c r="H333" s="72"/>
    </row>
    <row r="334" spans="1:8">
      <c r="A334" s="41"/>
      <c r="D334" s="87"/>
      <c r="F334" s="86"/>
      <c r="H334" s="72"/>
    </row>
    <row r="335" spans="1:8">
      <c r="A335" s="41"/>
      <c r="D335" s="87"/>
      <c r="F335" s="86"/>
      <c r="H335" s="72"/>
    </row>
    <row r="336" spans="1:8">
      <c r="A336" s="41"/>
      <c r="D336" s="87"/>
      <c r="F336" s="86"/>
      <c r="H336" s="72"/>
    </row>
    <row r="337" spans="1:8">
      <c r="A337" s="41"/>
      <c r="D337" s="87"/>
      <c r="F337" s="86"/>
      <c r="H337" s="72"/>
    </row>
    <row r="338" spans="1:8">
      <c r="A338" s="41"/>
      <c r="D338" s="87"/>
      <c r="F338" s="86"/>
      <c r="H338" s="72"/>
    </row>
    <row r="339" spans="1:8">
      <c r="A339" s="41"/>
      <c r="D339" s="87"/>
      <c r="F339" s="86"/>
      <c r="H339" s="72"/>
    </row>
    <row r="340" spans="1:8">
      <c r="A340" s="41"/>
      <c r="D340" s="87"/>
      <c r="F340" s="86"/>
      <c r="H340" s="72"/>
    </row>
    <row r="341" spans="1:8">
      <c r="A341" s="41"/>
      <c r="D341" s="87"/>
      <c r="F341" s="86"/>
      <c r="H341" s="72"/>
    </row>
    <row r="342" spans="1:8">
      <c r="A342" s="41"/>
      <c r="D342" s="87"/>
      <c r="F342" s="86"/>
      <c r="H342" s="72"/>
    </row>
    <row r="343" spans="1:8">
      <c r="A343" s="41"/>
      <c r="D343" s="87"/>
      <c r="F343" s="86"/>
      <c r="H343" s="72"/>
    </row>
    <row r="344" spans="1:8">
      <c r="A344" s="41"/>
      <c r="D344" s="87"/>
      <c r="F344" s="86"/>
      <c r="H344" s="72"/>
    </row>
    <row r="345" spans="1:8">
      <c r="A345" s="41"/>
      <c r="D345" s="87"/>
      <c r="F345" s="86"/>
      <c r="H345" s="72"/>
    </row>
    <row r="346" spans="1:8">
      <c r="A346" s="41"/>
      <c r="D346" s="87"/>
      <c r="F346" s="86"/>
      <c r="H346" s="72"/>
    </row>
    <row r="347" spans="1:8">
      <c r="A347" s="41"/>
      <c r="D347" s="87"/>
      <c r="F347" s="86"/>
      <c r="H347" s="72"/>
    </row>
    <row r="348" spans="1:8">
      <c r="A348" s="41"/>
      <c r="D348" s="87"/>
      <c r="F348" s="86"/>
      <c r="H348" s="72"/>
    </row>
    <row r="349" spans="1:8">
      <c r="A349" s="41"/>
      <c r="D349" s="87"/>
      <c r="F349" s="86"/>
      <c r="H349" s="72"/>
    </row>
    <row r="350" spans="1:8">
      <c r="A350" s="41"/>
      <c r="D350" s="87"/>
      <c r="F350" s="86"/>
      <c r="H350" s="72"/>
    </row>
    <row r="351" spans="1:8">
      <c r="A351" s="41"/>
      <c r="D351" s="87"/>
      <c r="F351" s="86"/>
      <c r="H351" s="72"/>
    </row>
    <row r="352" spans="1:8">
      <c r="A352" s="41"/>
      <c r="D352" s="87"/>
      <c r="F352" s="86"/>
      <c r="H352" s="72"/>
    </row>
    <row r="353" spans="1:8">
      <c r="A353" s="41"/>
      <c r="D353" s="87"/>
      <c r="F353" s="86"/>
      <c r="H353" s="72"/>
    </row>
    <row r="354" spans="1:8">
      <c r="A354" s="41"/>
      <c r="D354" s="87"/>
      <c r="F354" s="86"/>
      <c r="H354" s="72"/>
    </row>
    <row r="355" spans="1:8">
      <c r="A355" s="41"/>
      <c r="D355" s="87"/>
      <c r="F355" s="86"/>
      <c r="H355" s="72"/>
    </row>
    <row r="356" spans="1:8">
      <c r="A356" s="41"/>
      <c r="D356" s="87"/>
      <c r="F356" s="86"/>
      <c r="H356" s="72"/>
    </row>
    <row r="357" spans="1:8">
      <c r="A357" s="41"/>
      <c r="D357" s="87"/>
      <c r="F357" s="86"/>
      <c r="H357" s="72"/>
    </row>
    <row r="358" spans="1:8">
      <c r="A358" s="52"/>
      <c r="D358" s="87"/>
      <c r="F358" s="86"/>
      <c r="H358" s="72"/>
    </row>
    <row r="359" spans="1:8">
      <c r="D359" s="87"/>
      <c r="F359" s="86"/>
      <c r="H359" s="72"/>
    </row>
    <row r="360" spans="1:8">
      <c r="D360" s="87"/>
      <c r="F360" s="86"/>
      <c r="H360" s="72"/>
    </row>
    <row r="361" spans="1:8">
      <c r="D361" s="87"/>
      <c r="F361" s="86"/>
      <c r="H361" s="72"/>
    </row>
    <row r="362" spans="1:8">
      <c r="A362" s="36"/>
      <c r="D362" s="87"/>
      <c r="F362" s="86"/>
      <c r="H362" s="72"/>
    </row>
    <row r="363" spans="1:8">
      <c r="A363" s="36"/>
      <c r="D363" s="87"/>
      <c r="F363" s="86"/>
      <c r="H363" s="72"/>
    </row>
    <row r="364" spans="1:8">
      <c r="A364" s="41"/>
      <c r="D364" s="87"/>
      <c r="F364" s="86"/>
      <c r="H364" s="72"/>
    </row>
    <row r="365" spans="1:8">
      <c r="A365" s="41"/>
      <c r="D365" s="87"/>
      <c r="F365" s="86"/>
      <c r="H365" s="72"/>
    </row>
    <row r="366" spans="1:8">
      <c r="A366" s="41"/>
      <c r="D366" s="87"/>
      <c r="F366" s="86"/>
      <c r="H366" s="72"/>
    </row>
    <row r="367" spans="1:8">
      <c r="A367" s="41"/>
      <c r="D367" s="87"/>
      <c r="F367" s="86"/>
      <c r="H367" s="72"/>
    </row>
    <row r="368" spans="1:8">
      <c r="A368" s="41"/>
      <c r="D368" s="87"/>
      <c r="F368" s="86"/>
      <c r="H368" s="72"/>
    </row>
    <row r="369" spans="1:8">
      <c r="A369" s="41"/>
      <c r="D369" s="87"/>
      <c r="F369" s="86"/>
      <c r="H369" s="72"/>
    </row>
    <row r="370" spans="1:8">
      <c r="A370" s="41"/>
      <c r="D370" s="87"/>
      <c r="F370" s="86"/>
      <c r="H370" s="72"/>
    </row>
    <row r="371" spans="1:8">
      <c r="A371" s="41"/>
      <c r="D371" s="87"/>
      <c r="F371" s="86"/>
      <c r="H371" s="72"/>
    </row>
    <row r="372" spans="1:8">
      <c r="A372" s="41"/>
      <c r="D372" s="87"/>
      <c r="F372" s="86"/>
      <c r="H372" s="72"/>
    </row>
    <row r="373" spans="1:8">
      <c r="A373" s="41"/>
      <c r="D373" s="87"/>
      <c r="F373" s="86"/>
      <c r="H373" s="72"/>
    </row>
    <row r="374" spans="1:8">
      <c r="A374" s="41"/>
      <c r="D374" s="87"/>
      <c r="F374" s="86"/>
      <c r="H374" s="72"/>
    </row>
    <row r="375" spans="1:8">
      <c r="A375" s="41"/>
      <c r="D375" s="87"/>
      <c r="F375" s="86"/>
      <c r="H375" s="72"/>
    </row>
    <row r="376" spans="1:8">
      <c r="A376" s="41"/>
      <c r="D376" s="87"/>
      <c r="F376" s="86"/>
      <c r="H376" s="72"/>
    </row>
    <row r="377" spans="1:8">
      <c r="A377" s="41"/>
      <c r="D377" s="87"/>
      <c r="F377" s="86"/>
      <c r="H377" s="72"/>
    </row>
    <row r="378" spans="1:8">
      <c r="A378" s="41"/>
      <c r="D378" s="87"/>
      <c r="F378" s="86"/>
      <c r="H378" s="72"/>
    </row>
    <row r="379" spans="1:8">
      <c r="A379" s="41"/>
      <c r="D379" s="87"/>
      <c r="F379" s="86"/>
      <c r="H379" s="72"/>
    </row>
    <row r="380" spans="1:8">
      <c r="A380" s="41"/>
      <c r="D380" s="87"/>
      <c r="F380" s="86"/>
      <c r="H380" s="72"/>
    </row>
    <row r="381" spans="1:8">
      <c r="A381" s="41"/>
      <c r="D381" s="87"/>
      <c r="F381" s="86"/>
      <c r="H381" s="72"/>
    </row>
    <row r="382" spans="1:8">
      <c r="A382" s="41"/>
      <c r="D382" s="87"/>
      <c r="F382" s="86"/>
      <c r="H382" s="72"/>
    </row>
    <row r="383" spans="1:8">
      <c r="A383" s="41"/>
      <c r="D383" s="87"/>
      <c r="F383" s="86"/>
      <c r="H383" s="72"/>
    </row>
    <row r="384" spans="1:8">
      <c r="A384" s="41"/>
      <c r="D384" s="87"/>
      <c r="F384" s="86"/>
      <c r="H384" s="72"/>
    </row>
    <row r="385" spans="1:8">
      <c r="A385" s="41"/>
      <c r="D385" s="87"/>
      <c r="F385" s="86"/>
      <c r="H385" s="72"/>
    </row>
    <row r="386" spans="1:8">
      <c r="A386" s="41"/>
      <c r="D386" s="87"/>
      <c r="F386" s="86"/>
      <c r="H386" s="72"/>
    </row>
    <row r="387" spans="1:8">
      <c r="A387" s="41"/>
      <c r="D387" s="87"/>
      <c r="F387" s="86"/>
      <c r="H387" s="72"/>
    </row>
    <row r="388" spans="1:8">
      <c r="A388" s="41"/>
      <c r="D388" s="87"/>
      <c r="F388" s="86"/>
      <c r="H388" s="72"/>
    </row>
    <row r="389" spans="1:8">
      <c r="A389" s="41"/>
      <c r="D389" s="87"/>
      <c r="F389" s="86"/>
      <c r="H389" s="72"/>
    </row>
    <row r="390" spans="1:8">
      <c r="A390" s="41"/>
      <c r="D390" s="87"/>
      <c r="F390" s="86"/>
      <c r="H390" s="72"/>
    </row>
    <row r="391" spans="1:8">
      <c r="A391" s="41"/>
      <c r="D391" s="87"/>
      <c r="F391" s="86"/>
      <c r="H391" s="72"/>
    </row>
    <row r="392" spans="1:8">
      <c r="A392" s="41"/>
      <c r="D392" s="87"/>
      <c r="F392" s="86"/>
      <c r="H392" s="72"/>
    </row>
    <row r="393" spans="1:8">
      <c r="A393" s="41"/>
      <c r="D393" s="87"/>
      <c r="F393" s="86"/>
      <c r="H393" s="72"/>
    </row>
    <row r="394" spans="1:8">
      <c r="A394" s="41"/>
      <c r="D394" s="87"/>
      <c r="F394" s="86"/>
      <c r="H394" s="72"/>
    </row>
    <row r="395" spans="1:8">
      <c r="A395" s="41"/>
      <c r="D395" s="87"/>
      <c r="F395" s="86"/>
      <c r="H395" s="72"/>
    </row>
    <row r="396" spans="1:8">
      <c r="A396" s="41"/>
      <c r="D396" s="87"/>
      <c r="F396" s="86"/>
      <c r="H396" s="72"/>
    </row>
    <row r="397" spans="1:8">
      <c r="A397" s="41"/>
      <c r="D397" s="87"/>
      <c r="F397" s="86"/>
      <c r="H397" s="72"/>
    </row>
    <row r="398" spans="1:8">
      <c r="A398" s="41"/>
      <c r="D398" s="87"/>
      <c r="F398" s="86"/>
      <c r="H398" s="72"/>
    </row>
    <row r="399" spans="1:8">
      <c r="A399" s="41"/>
      <c r="D399" s="87"/>
      <c r="F399" s="86"/>
      <c r="H399" s="72"/>
    </row>
    <row r="400" spans="1:8">
      <c r="A400" s="41"/>
      <c r="D400" s="87"/>
      <c r="F400" s="86"/>
      <c r="H400" s="72"/>
    </row>
    <row r="401" spans="1:8">
      <c r="A401" s="41"/>
      <c r="D401" s="87"/>
      <c r="F401" s="86"/>
      <c r="H401" s="72"/>
    </row>
    <row r="402" spans="1:8">
      <c r="A402" s="41"/>
      <c r="D402" s="87"/>
      <c r="F402" s="86"/>
      <c r="H402" s="72"/>
    </row>
    <row r="403" spans="1:8">
      <c r="A403" s="41"/>
      <c r="D403" s="87"/>
      <c r="F403" s="86"/>
      <c r="H403" s="72"/>
    </row>
    <row r="404" spans="1:8">
      <c r="A404" s="41"/>
      <c r="D404" s="87"/>
      <c r="F404" s="86"/>
      <c r="H404" s="72"/>
    </row>
    <row r="405" spans="1:8">
      <c r="A405" s="41"/>
      <c r="D405" s="87"/>
      <c r="F405" s="86"/>
      <c r="H405" s="72"/>
    </row>
    <row r="406" spans="1:8">
      <c r="A406" s="41"/>
      <c r="D406" s="87"/>
      <c r="F406" s="86"/>
      <c r="H406" s="72"/>
    </row>
    <row r="407" spans="1:8">
      <c r="A407" s="41"/>
      <c r="D407" s="87"/>
      <c r="F407" s="86"/>
      <c r="H407" s="72"/>
    </row>
    <row r="408" spans="1:8">
      <c r="A408" s="41"/>
      <c r="D408" s="87"/>
      <c r="F408" s="86"/>
      <c r="H408" s="72"/>
    </row>
    <row r="409" spans="1:8">
      <c r="A409" s="41"/>
      <c r="D409" s="87"/>
      <c r="F409" s="86"/>
      <c r="H409" s="72"/>
    </row>
    <row r="410" spans="1:8">
      <c r="A410" s="41"/>
      <c r="D410" s="87"/>
      <c r="F410" s="86"/>
      <c r="H410" s="72"/>
    </row>
    <row r="411" spans="1:8">
      <c r="A411" s="41"/>
      <c r="D411" s="87"/>
      <c r="F411" s="86"/>
      <c r="H411" s="72"/>
    </row>
    <row r="412" spans="1:8">
      <c r="A412" s="41"/>
      <c r="D412" s="87"/>
      <c r="F412" s="86"/>
      <c r="H412" s="72"/>
    </row>
    <row r="413" spans="1:8">
      <c r="A413" s="41"/>
      <c r="D413" s="87"/>
      <c r="F413" s="86"/>
      <c r="H413" s="72"/>
    </row>
    <row r="414" spans="1:8">
      <c r="A414" s="41"/>
      <c r="D414" s="87"/>
      <c r="F414" s="86"/>
      <c r="H414" s="72"/>
    </row>
    <row r="415" spans="1:8">
      <c r="A415" s="41"/>
      <c r="D415" s="87"/>
      <c r="F415" s="86"/>
      <c r="H415" s="72"/>
    </row>
    <row r="416" spans="1:8">
      <c r="A416" s="41"/>
      <c r="D416" s="87"/>
      <c r="F416" s="86"/>
      <c r="H416" s="72"/>
    </row>
    <row r="417" spans="1:8">
      <c r="A417" s="41"/>
      <c r="D417" s="87"/>
      <c r="F417" s="86"/>
      <c r="H417" s="72"/>
    </row>
    <row r="418" spans="1:8">
      <c r="A418" s="41"/>
      <c r="D418" s="87"/>
      <c r="F418" s="86"/>
      <c r="H418" s="72"/>
    </row>
    <row r="419" spans="1:8">
      <c r="A419" s="41"/>
      <c r="D419" s="87"/>
      <c r="F419" s="86"/>
      <c r="H419" s="72"/>
    </row>
    <row r="420" spans="1:8">
      <c r="A420" s="41"/>
      <c r="D420" s="87"/>
      <c r="F420" s="86"/>
      <c r="H420" s="72"/>
    </row>
    <row r="421" spans="1:8">
      <c r="A421" s="41"/>
      <c r="D421" s="87"/>
      <c r="F421" s="86"/>
      <c r="H421" s="72"/>
    </row>
    <row r="422" spans="1:8">
      <c r="A422" s="41"/>
      <c r="D422" s="87"/>
      <c r="F422" s="86"/>
      <c r="H422" s="72"/>
    </row>
    <row r="423" spans="1:8">
      <c r="A423" s="41"/>
      <c r="D423" s="87"/>
      <c r="F423" s="86"/>
      <c r="H423" s="72"/>
    </row>
    <row r="424" spans="1:8">
      <c r="A424" s="41"/>
      <c r="D424" s="87"/>
      <c r="F424" s="86"/>
      <c r="H424" s="72"/>
    </row>
    <row r="425" spans="1:8">
      <c r="A425" s="41"/>
      <c r="D425" s="87"/>
      <c r="F425" s="86"/>
      <c r="H425" s="72"/>
    </row>
    <row r="426" spans="1:8">
      <c r="A426" s="41"/>
      <c r="D426" s="87"/>
      <c r="F426" s="86"/>
      <c r="H426" s="72"/>
    </row>
    <row r="427" spans="1:8">
      <c r="A427" s="41"/>
      <c r="D427" s="87"/>
      <c r="F427" s="86"/>
      <c r="H427" s="72"/>
    </row>
    <row r="428" spans="1:8">
      <c r="A428" s="41"/>
      <c r="D428" s="87"/>
      <c r="F428" s="86"/>
      <c r="H428" s="72"/>
    </row>
    <row r="429" spans="1:8">
      <c r="A429" s="41"/>
      <c r="D429" s="87"/>
      <c r="F429" s="86"/>
      <c r="H429" s="72"/>
    </row>
    <row r="430" spans="1:8">
      <c r="A430" s="41"/>
      <c r="D430" s="87"/>
      <c r="F430" s="86"/>
      <c r="H430" s="72"/>
    </row>
    <row r="431" spans="1:8">
      <c r="A431" s="52"/>
      <c r="D431" s="87"/>
      <c r="F431" s="86"/>
      <c r="H431" s="72"/>
    </row>
    <row r="432" spans="1:8">
      <c r="D432" s="87"/>
      <c r="F432" s="86"/>
      <c r="H432" s="72"/>
    </row>
    <row r="433" spans="1:8">
      <c r="D433" s="87"/>
      <c r="F433" s="86"/>
      <c r="H433" s="72"/>
    </row>
    <row r="434" spans="1:8">
      <c r="D434" s="87"/>
      <c r="F434" s="86"/>
      <c r="H434" s="72"/>
    </row>
    <row r="435" spans="1:8">
      <c r="A435" s="36"/>
      <c r="D435" s="87"/>
      <c r="F435" s="86"/>
      <c r="H435" s="72"/>
    </row>
    <row r="436" spans="1:8">
      <c r="A436" s="36"/>
      <c r="D436" s="87"/>
      <c r="F436" s="86"/>
      <c r="H436" s="72"/>
    </row>
    <row r="437" spans="1:8">
      <c r="A437" s="41"/>
      <c r="D437" s="87"/>
      <c r="F437" s="86"/>
      <c r="H437" s="72"/>
    </row>
    <row r="438" spans="1:8">
      <c r="A438" s="41"/>
      <c r="D438" s="87"/>
      <c r="F438" s="86"/>
      <c r="H438" s="72"/>
    </row>
    <row r="439" spans="1:8">
      <c r="A439" s="41"/>
      <c r="D439" s="87"/>
      <c r="F439" s="86"/>
      <c r="H439" s="72"/>
    </row>
    <row r="440" spans="1:8">
      <c r="A440" s="41"/>
      <c r="D440" s="87"/>
      <c r="F440" s="86"/>
      <c r="H440" s="72"/>
    </row>
    <row r="441" spans="1:8">
      <c r="A441" s="41"/>
      <c r="D441" s="87"/>
      <c r="F441" s="86"/>
      <c r="H441" s="72"/>
    </row>
    <row r="442" spans="1:8">
      <c r="A442" s="41"/>
      <c r="D442" s="87"/>
      <c r="F442" s="86"/>
      <c r="H442" s="72"/>
    </row>
    <row r="443" spans="1:8">
      <c r="A443" s="41"/>
      <c r="D443" s="87"/>
      <c r="F443" s="86"/>
      <c r="H443" s="72"/>
    </row>
    <row r="444" spans="1:8">
      <c r="A444" s="41"/>
      <c r="D444" s="87"/>
      <c r="F444" s="86"/>
      <c r="H444" s="72"/>
    </row>
    <row r="445" spans="1:8">
      <c r="A445" s="41"/>
      <c r="D445" s="87"/>
      <c r="F445" s="86"/>
      <c r="H445" s="72"/>
    </row>
    <row r="446" spans="1:8">
      <c r="A446" s="41"/>
      <c r="D446" s="87"/>
      <c r="F446" s="86"/>
      <c r="H446" s="72"/>
    </row>
    <row r="447" spans="1:8">
      <c r="A447" s="41"/>
      <c r="D447" s="87"/>
      <c r="F447" s="86"/>
      <c r="H447" s="72"/>
    </row>
    <row r="448" spans="1:8">
      <c r="A448" s="41"/>
      <c r="D448" s="87"/>
      <c r="F448" s="86"/>
      <c r="H448" s="72"/>
    </row>
    <row r="449" spans="1:8">
      <c r="A449" s="41"/>
      <c r="D449" s="87"/>
      <c r="F449" s="86"/>
      <c r="H449" s="72"/>
    </row>
    <row r="450" spans="1:8">
      <c r="A450" s="41"/>
      <c r="D450" s="87"/>
      <c r="F450" s="86"/>
      <c r="H450" s="72"/>
    </row>
    <row r="451" spans="1:8">
      <c r="A451" s="41"/>
      <c r="D451" s="87"/>
      <c r="F451" s="86"/>
      <c r="H451" s="72"/>
    </row>
    <row r="452" spans="1:8">
      <c r="A452" s="41"/>
      <c r="D452" s="87"/>
      <c r="F452" s="86"/>
      <c r="H452" s="72"/>
    </row>
    <row r="453" spans="1:8">
      <c r="A453" s="41"/>
      <c r="D453" s="87"/>
      <c r="F453" s="86"/>
      <c r="H453" s="72"/>
    </row>
    <row r="454" spans="1:8">
      <c r="A454" s="41"/>
      <c r="D454" s="87"/>
      <c r="F454" s="86"/>
      <c r="H454" s="72"/>
    </row>
    <row r="455" spans="1:8">
      <c r="A455" s="41"/>
      <c r="D455" s="87"/>
      <c r="F455" s="86"/>
      <c r="H455" s="72"/>
    </row>
    <row r="456" spans="1:8">
      <c r="A456" s="41"/>
      <c r="D456" s="87"/>
      <c r="F456" s="86"/>
      <c r="H456" s="72"/>
    </row>
    <row r="457" spans="1:8">
      <c r="A457" s="41"/>
      <c r="D457" s="87"/>
      <c r="F457" s="86"/>
      <c r="H457" s="72"/>
    </row>
    <row r="458" spans="1:8">
      <c r="A458" s="41"/>
      <c r="D458" s="87"/>
      <c r="F458" s="86"/>
      <c r="H458" s="72"/>
    </row>
    <row r="459" spans="1:8">
      <c r="A459" s="41"/>
      <c r="D459" s="87"/>
      <c r="F459" s="86"/>
      <c r="H459" s="72"/>
    </row>
    <row r="460" spans="1:8">
      <c r="A460" s="41"/>
      <c r="D460" s="87"/>
      <c r="F460" s="86"/>
      <c r="H460" s="72"/>
    </row>
    <row r="461" spans="1:8">
      <c r="A461" s="41"/>
      <c r="D461" s="87"/>
      <c r="F461" s="86"/>
      <c r="H461" s="72"/>
    </row>
    <row r="462" spans="1:8">
      <c r="A462" s="41"/>
      <c r="D462" s="87"/>
      <c r="F462" s="86"/>
      <c r="H462" s="72"/>
    </row>
    <row r="463" spans="1:8">
      <c r="A463" s="41"/>
      <c r="D463" s="87"/>
      <c r="F463" s="86"/>
      <c r="H463" s="72"/>
    </row>
    <row r="464" spans="1:8">
      <c r="A464" s="41"/>
      <c r="D464" s="87"/>
      <c r="F464" s="86"/>
      <c r="H464" s="72"/>
    </row>
    <row r="465" spans="1:8">
      <c r="A465" s="41"/>
      <c r="D465" s="87"/>
      <c r="F465" s="86"/>
      <c r="H465" s="72"/>
    </row>
    <row r="466" spans="1:8">
      <c r="A466" s="41"/>
      <c r="D466" s="87"/>
      <c r="F466" s="86"/>
      <c r="H466" s="72"/>
    </row>
    <row r="467" spans="1:8">
      <c r="A467" s="41"/>
      <c r="D467" s="87"/>
      <c r="F467" s="86"/>
      <c r="H467" s="72"/>
    </row>
    <row r="468" spans="1:8">
      <c r="A468" s="41"/>
      <c r="D468" s="87"/>
      <c r="F468" s="86"/>
      <c r="H468" s="72"/>
    </row>
    <row r="469" spans="1:8">
      <c r="A469" s="41"/>
      <c r="D469" s="87"/>
      <c r="F469" s="86"/>
      <c r="H469" s="72"/>
    </row>
    <row r="470" spans="1:8">
      <c r="A470" s="41"/>
      <c r="D470" s="87"/>
      <c r="F470" s="86"/>
      <c r="H470" s="72"/>
    </row>
    <row r="471" spans="1:8">
      <c r="A471" s="41"/>
      <c r="D471" s="87"/>
      <c r="F471" s="86"/>
      <c r="H471" s="72"/>
    </row>
    <row r="472" spans="1:8">
      <c r="A472" s="41"/>
      <c r="D472" s="87"/>
      <c r="F472" s="86"/>
      <c r="H472" s="72"/>
    </row>
    <row r="473" spans="1:8">
      <c r="A473" s="41"/>
      <c r="D473" s="87"/>
      <c r="F473" s="86"/>
      <c r="H473" s="72"/>
    </row>
    <row r="474" spans="1:8">
      <c r="A474" s="41"/>
      <c r="D474" s="87"/>
      <c r="F474" s="86"/>
      <c r="H474" s="72"/>
    </row>
    <row r="475" spans="1:8">
      <c r="A475" s="41"/>
      <c r="D475" s="87"/>
      <c r="F475" s="86"/>
      <c r="H475" s="72"/>
    </row>
    <row r="476" spans="1:8">
      <c r="A476" s="41"/>
      <c r="D476" s="87"/>
      <c r="F476" s="86"/>
      <c r="H476" s="72"/>
    </row>
    <row r="477" spans="1:8">
      <c r="A477" s="41"/>
      <c r="D477" s="87"/>
      <c r="F477" s="86"/>
      <c r="H477" s="72"/>
    </row>
    <row r="478" spans="1:8">
      <c r="A478" s="41"/>
      <c r="D478" s="87"/>
      <c r="F478" s="86"/>
      <c r="H478" s="72"/>
    </row>
    <row r="479" spans="1:8">
      <c r="A479" s="41"/>
      <c r="D479" s="87"/>
      <c r="F479" s="86"/>
      <c r="H479" s="72"/>
    </row>
    <row r="480" spans="1:8">
      <c r="A480" s="41"/>
      <c r="D480" s="87"/>
      <c r="F480" s="86"/>
      <c r="H480" s="72"/>
    </row>
    <row r="481" spans="1:8">
      <c r="A481" s="41"/>
      <c r="D481" s="87"/>
      <c r="F481" s="86"/>
      <c r="H481" s="72"/>
    </row>
    <row r="482" spans="1:8">
      <c r="A482" s="41"/>
      <c r="D482" s="87"/>
      <c r="F482" s="86"/>
      <c r="H482" s="72"/>
    </row>
    <row r="483" spans="1:8">
      <c r="A483" s="41"/>
      <c r="D483" s="87"/>
      <c r="F483" s="86"/>
      <c r="H483" s="72"/>
    </row>
    <row r="484" spans="1:8">
      <c r="A484" s="41"/>
      <c r="D484" s="87"/>
      <c r="F484" s="86"/>
      <c r="H484" s="72"/>
    </row>
    <row r="485" spans="1:8">
      <c r="A485" s="41"/>
      <c r="D485" s="87"/>
      <c r="F485" s="86"/>
      <c r="H485" s="72"/>
    </row>
    <row r="486" spans="1:8">
      <c r="A486" s="41"/>
      <c r="D486" s="87"/>
      <c r="F486" s="86"/>
      <c r="H486" s="72"/>
    </row>
    <row r="487" spans="1:8">
      <c r="A487" s="41"/>
      <c r="D487" s="87"/>
      <c r="F487" s="86"/>
      <c r="H487" s="72"/>
    </row>
    <row r="488" spans="1:8">
      <c r="A488" s="41"/>
      <c r="D488" s="87"/>
      <c r="F488" s="86"/>
      <c r="H488" s="72"/>
    </row>
    <row r="489" spans="1:8">
      <c r="A489" s="41"/>
      <c r="D489" s="87"/>
      <c r="F489" s="86"/>
      <c r="H489" s="72"/>
    </row>
    <row r="490" spans="1:8">
      <c r="A490" s="41"/>
      <c r="D490" s="87"/>
      <c r="F490" s="86"/>
      <c r="H490" s="72"/>
    </row>
    <row r="491" spans="1:8">
      <c r="A491" s="41"/>
      <c r="D491" s="87"/>
      <c r="F491" s="86"/>
      <c r="H491" s="72"/>
    </row>
    <row r="492" spans="1:8">
      <c r="A492" s="41"/>
      <c r="D492" s="87"/>
      <c r="F492" s="86"/>
      <c r="H492" s="72"/>
    </row>
    <row r="493" spans="1:8">
      <c r="A493" s="41"/>
      <c r="D493" s="87"/>
      <c r="F493" s="86"/>
      <c r="H493" s="72"/>
    </row>
    <row r="494" spans="1:8">
      <c r="A494" s="41"/>
      <c r="D494" s="87"/>
      <c r="F494" s="86"/>
      <c r="H494" s="72"/>
    </row>
    <row r="495" spans="1:8">
      <c r="A495" s="41"/>
      <c r="D495" s="87"/>
      <c r="F495" s="86"/>
      <c r="H495" s="72"/>
    </row>
    <row r="496" spans="1:8">
      <c r="A496" s="41"/>
      <c r="D496" s="87"/>
      <c r="F496" s="86"/>
      <c r="H496" s="72"/>
    </row>
    <row r="497" spans="1:8">
      <c r="A497" s="41"/>
      <c r="D497" s="87"/>
      <c r="F497" s="86"/>
      <c r="H497" s="72"/>
    </row>
    <row r="498" spans="1:8">
      <c r="A498" s="41"/>
      <c r="D498" s="87"/>
      <c r="F498" s="86"/>
      <c r="H498" s="72"/>
    </row>
    <row r="499" spans="1:8">
      <c r="A499" s="41"/>
      <c r="D499" s="87"/>
      <c r="F499" s="86"/>
      <c r="H499" s="72"/>
    </row>
    <row r="500" spans="1:8">
      <c r="A500" s="41"/>
      <c r="D500" s="87"/>
      <c r="F500" s="86"/>
      <c r="H500" s="72"/>
    </row>
    <row r="501" spans="1:8">
      <c r="A501" s="41"/>
      <c r="D501" s="87"/>
      <c r="F501" s="86"/>
      <c r="H501" s="72"/>
    </row>
    <row r="502" spans="1:8">
      <c r="A502" s="41"/>
      <c r="D502" s="87"/>
      <c r="F502" s="86"/>
      <c r="H502" s="72"/>
    </row>
    <row r="503" spans="1:8">
      <c r="A503" s="41"/>
      <c r="D503" s="87"/>
      <c r="F503" s="86"/>
      <c r="H503" s="72"/>
    </row>
    <row r="504" spans="1:8">
      <c r="A504" s="52"/>
      <c r="D504" s="87"/>
      <c r="F504" s="86"/>
      <c r="H504" s="72"/>
    </row>
    <row r="505" spans="1:8">
      <c r="D505" s="87"/>
      <c r="F505" s="86"/>
      <c r="H505" s="72"/>
    </row>
    <row r="506" spans="1:8">
      <c r="D506" s="87"/>
      <c r="F506" s="86"/>
      <c r="H506" s="72"/>
    </row>
    <row r="507" spans="1:8">
      <c r="D507" s="87"/>
      <c r="F507" s="86"/>
      <c r="H507" s="72"/>
    </row>
    <row r="508" spans="1:8">
      <c r="A508" s="36"/>
      <c r="D508" s="87"/>
      <c r="F508" s="86"/>
      <c r="H508" s="72"/>
    </row>
    <row r="509" spans="1:8">
      <c r="A509" s="36"/>
      <c r="D509" s="87"/>
      <c r="F509" s="86"/>
      <c r="H509" s="72"/>
    </row>
    <row r="510" spans="1:8">
      <c r="A510" s="41"/>
      <c r="D510" s="87"/>
      <c r="F510" s="86"/>
      <c r="H510" s="72"/>
    </row>
    <row r="511" spans="1:8">
      <c r="A511" s="41"/>
      <c r="D511" s="87"/>
      <c r="F511" s="86"/>
      <c r="H511" s="72"/>
    </row>
    <row r="512" spans="1:8">
      <c r="A512" s="41"/>
      <c r="D512" s="87"/>
      <c r="F512" s="86"/>
      <c r="H512" s="72"/>
    </row>
    <row r="513" spans="1:8">
      <c r="A513" s="41"/>
      <c r="D513" s="87"/>
      <c r="F513" s="86"/>
      <c r="H513" s="72"/>
    </row>
    <row r="514" spans="1:8">
      <c r="A514" s="41"/>
      <c r="D514" s="87"/>
      <c r="F514" s="86"/>
      <c r="H514" s="72"/>
    </row>
    <row r="515" spans="1:8">
      <c r="A515" s="41"/>
      <c r="D515" s="87"/>
      <c r="F515" s="86"/>
      <c r="H515" s="72"/>
    </row>
    <row r="516" spans="1:8">
      <c r="A516" s="41"/>
      <c r="D516" s="87"/>
      <c r="F516" s="86"/>
      <c r="H516" s="72"/>
    </row>
    <row r="517" spans="1:8">
      <c r="A517" s="41"/>
      <c r="D517" s="87"/>
      <c r="F517" s="86"/>
      <c r="H517" s="72"/>
    </row>
    <row r="518" spans="1:8">
      <c r="A518" s="41"/>
      <c r="D518" s="87"/>
      <c r="F518" s="86"/>
      <c r="H518" s="72"/>
    </row>
    <row r="519" spans="1:8">
      <c r="A519" s="41"/>
      <c r="D519" s="87"/>
      <c r="F519" s="86"/>
      <c r="H519" s="72"/>
    </row>
    <row r="520" spans="1:8">
      <c r="A520" s="41"/>
      <c r="D520" s="87"/>
      <c r="F520" s="86"/>
      <c r="H520" s="72"/>
    </row>
    <row r="521" spans="1:8">
      <c r="A521" s="41"/>
      <c r="D521" s="87"/>
      <c r="F521" s="86"/>
      <c r="H521" s="72"/>
    </row>
    <row r="522" spans="1:8">
      <c r="A522" s="41"/>
      <c r="D522" s="87"/>
      <c r="F522" s="86"/>
      <c r="H522" s="72"/>
    </row>
    <row r="523" spans="1:8">
      <c r="A523" s="41"/>
      <c r="D523" s="87"/>
      <c r="F523" s="86"/>
      <c r="H523" s="72"/>
    </row>
    <row r="524" spans="1:8">
      <c r="A524" s="41"/>
      <c r="D524" s="87"/>
      <c r="F524" s="86"/>
      <c r="H524" s="72"/>
    </row>
    <row r="525" spans="1:8">
      <c r="A525" s="41"/>
      <c r="D525" s="87"/>
      <c r="F525" s="86"/>
      <c r="H525" s="72"/>
    </row>
    <row r="526" spans="1:8">
      <c r="A526" s="41"/>
      <c r="D526" s="87"/>
      <c r="F526" s="86"/>
      <c r="H526" s="72"/>
    </row>
    <row r="527" spans="1:8">
      <c r="A527" s="41"/>
      <c r="D527" s="87"/>
      <c r="F527" s="86"/>
      <c r="H527" s="72"/>
    </row>
    <row r="528" spans="1:8">
      <c r="A528" s="41"/>
      <c r="D528" s="87"/>
      <c r="F528" s="86"/>
      <c r="H528" s="72"/>
    </row>
    <row r="529" spans="1:8">
      <c r="A529" s="41"/>
      <c r="D529" s="87"/>
      <c r="F529" s="86"/>
      <c r="H529" s="72"/>
    </row>
    <row r="530" spans="1:8">
      <c r="A530" s="41"/>
      <c r="D530" s="87"/>
      <c r="F530" s="86"/>
      <c r="H530" s="72"/>
    </row>
    <row r="531" spans="1:8">
      <c r="A531" s="41"/>
      <c r="D531" s="87"/>
      <c r="F531" s="86"/>
      <c r="H531" s="72"/>
    </row>
    <row r="532" spans="1:8">
      <c r="A532" s="41"/>
      <c r="D532" s="87"/>
      <c r="F532" s="86"/>
      <c r="H532" s="72"/>
    </row>
    <row r="533" spans="1:8">
      <c r="A533" s="41"/>
      <c r="D533" s="87"/>
      <c r="F533" s="86"/>
      <c r="H533" s="72"/>
    </row>
    <row r="534" spans="1:8">
      <c r="A534" s="41"/>
      <c r="D534" s="87"/>
      <c r="F534" s="86"/>
      <c r="H534" s="72"/>
    </row>
    <row r="535" spans="1:8">
      <c r="A535" s="41"/>
      <c r="D535" s="87"/>
      <c r="F535" s="86"/>
      <c r="H535" s="72"/>
    </row>
    <row r="536" spans="1:8">
      <c r="A536" s="41"/>
      <c r="D536" s="87"/>
      <c r="F536" s="86"/>
      <c r="H536" s="72"/>
    </row>
    <row r="537" spans="1:8">
      <c r="A537" s="41"/>
      <c r="D537" s="87"/>
      <c r="F537" s="86"/>
      <c r="H537" s="72"/>
    </row>
    <row r="538" spans="1:8">
      <c r="A538" s="41"/>
      <c r="D538" s="87"/>
      <c r="F538" s="86"/>
      <c r="H538" s="72"/>
    </row>
    <row r="539" spans="1:8">
      <c r="A539" s="41"/>
      <c r="D539" s="87"/>
      <c r="F539" s="86"/>
      <c r="H539" s="72"/>
    </row>
    <row r="540" spans="1:8">
      <c r="A540" s="41"/>
      <c r="D540" s="87"/>
      <c r="F540" s="86"/>
      <c r="H540" s="72"/>
    </row>
    <row r="541" spans="1:8">
      <c r="A541" s="41"/>
      <c r="D541" s="87"/>
      <c r="F541" s="86"/>
      <c r="H541" s="72"/>
    </row>
    <row r="542" spans="1:8">
      <c r="A542" s="41"/>
      <c r="D542" s="87"/>
      <c r="F542" s="86"/>
      <c r="H542" s="72"/>
    </row>
    <row r="543" spans="1:8">
      <c r="A543" s="41"/>
      <c r="D543" s="87"/>
      <c r="F543" s="86"/>
      <c r="H543" s="72"/>
    </row>
    <row r="544" spans="1:8">
      <c r="A544" s="41"/>
      <c r="D544" s="87"/>
      <c r="F544" s="86"/>
      <c r="H544" s="72"/>
    </row>
    <row r="545" spans="1:8">
      <c r="A545" s="41"/>
      <c r="D545" s="87"/>
      <c r="F545" s="86"/>
      <c r="H545" s="72"/>
    </row>
    <row r="546" spans="1:8">
      <c r="A546" s="41"/>
      <c r="D546" s="87"/>
      <c r="F546" s="86"/>
      <c r="H546" s="72"/>
    </row>
    <row r="547" spans="1:8">
      <c r="A547" s="41"/>
      <c r="D547" s="87"/>
      <c r="F547" s="86"/>
      <c r="H547" s="72"/>
    </row>
    <row r="548" spans="1:8">
      <c r="A548" s="41"/>
      <c r="D548" s="87"/>
      <c r="F548" s="86"/>
      <c r="H548" s="72"/>
    </row>
    <row r="549" spans="1:8">
      <c r="A549" s="41"/>
      <c r="D549" s="87"/>
      <c r="F549" s="86"/>
      <c r="H549" s="72"/>
    </row>
    <row r="550" spans="1:8">
      <c r="A550" s="41"/>
      <c r="D550" s="87"/>
      <c r="F550" s="86"/>
      <c r="H550" s="72"/>
    </row>
    <row r="551" spans="1:8">
      <c r="A551" s="41"/>
      <c r="D551" s="87"/>
      <c r="F551" s="86"/>
      <c r="H551" s="72"/>
    </row>
    <row r="552" spans="1:8">
      <c r="A552" s="41"/>
      <c r="D552" s="87"/>
      <c r="F552" s="86"/>
      <c r="H552" s="72"/>
    </row>
    <row r="553" spans="1:8">
      <c r="A553" s="41"/>
      <c r="D553" s="87"/>
      <c r="F553" s="86"/>
      <c r="H553" s="72"/>
    </row>
    <row r="554" spans="1:8">
      <c r="A554" s="41"/>
      <c r="D554" s="87"/>
      <c r="F554" s="86"/>
      <c r="H554" s="72"/>
    </row>
    <row r="555" spans="1:8">
      <c r="A555" s="41"/>
      <c r="D555" s="87"/>
      <c r="F555" s="86"/>
      <c r="H555" s="72"/>
    </row>
    <row r="556" spans="1:8">
      <c r="A556" s="41"/>
      <c r="D556" s="87"/>
      <c r="F556" s="86"/>
      <c r="H556" s="72"/>
    </row>
    <row r="557" spans="1:8">
      <c r="A557" s="41"/>
      <c r="D557" s="87"/>
      <c r="F557" s="86"/>
      <c r="H557" s="72"/>
    </row>
    <row r="558" spans="1:8">
      <c r="A558" s="41"/>
      <c r="D558" s="87"/>
      <c r="F558" s="86"/>
      <c r="H558" s="72"/>
    </row>
    <row r="559" spans="1:8">
      <c r="A559" s="41"/>
      <c r="D559" s="87"/>
      <c r="F559" s="86"/>
      <c r="H559" s="72"/>
    </row>
    <row r="560" spans="1:8">
      <c r="A560" s="41"/>
      <c r="D560" s="87"/>
      <c r="F560" s="86"/>
      <c r="H560" s="72"/>
    </row>
    <row r="561" spans="1:8">
      <c r="A561" s="41"/>
      <c r="D561" s="87"/>
      <c r="F561" s="86"/>
      <c r="H561" s="72"/>
    </row>
    <row r="562" spans="1:8">
      <c r="A562" s="41"/>
      <c r="D562" s="87"/>
      <c r="F562" s="86"/>
      <c r="H562" s="72"/>
    </row>
    <row r="563" spans="1:8">
      <c r="A563" s="41"/>
      <c r="D563" s="87"/>
      <c r="F563" s="86"/>
      <c r="H563" s="72"/>
    </row>
    <row r="564" spans="1:8">
      <c r="A564" s="41"/>
      <c r="D564" s="87"/>
      <c r="F564" s="86"/>
      <c r="H564" s="72"/>
    </row>
    <row r="565" spans="1:8">
      <c r="A565" s="41"/>
      <c r="D565" s="87"/>
      <c r="F565" s="86"/>
      <c r="H565" s="72"/>
    </row>
    <row r="566" spans="1:8">
      <c r="A566" s="41"/>
      <c r="D566" s="87"/>
      <c r="F566" s="86"/>
      <c r="H566" s="72"/>
    </row>
    <row r="567" spans="1:8">
      <c r="A567" s="41"/>
      <c r="D567" s="87"/>
      <c r="F567" s="86"/>
      <c r="H567" s="72"/>
    </row>
    <row r="568" spans="1:8">
      <c r="A568" s="41"/>
      <c r="D568" s="87"/>
      <c r="F568" s="86"/>
      <c r="H568" s="72"/>
    </row>
    <row r="569" spans="1:8">
      <c r="A569" s="41"/>
      <c r="D569" s="87"/>
      <c r="F569" s="86"/>
      <c r="H569" s="72"/>
    </row>
    <row r="570" spans="1:8">
      <c r="A570" s="41"/>
      <c r="D570" s="87"/>
      <c r="F570" s="86"/>
      <c r="H570" s="72"/>
    </row>
    <row r="571" spans="1:8">
      <c r="A571" s="41"/>
      <c r="D571" s="87"/>
      <c r="F571" s="86"/>
      <c r="H571" s="72"/>
    </row>
    <row r="572" spans="1:8">
      <c r="A572" s="41"/>
      <c r="D572" s="87"/>
      <c r="F572" s="86"/>
      <c r="H572" s="72"/>
    </row>
    <row r="573" spans="1:8">
      <c r="A573" s="41"/>
      <c r="D573" s="87"/>
      <c r="F573" s="86"/>
      <c r="H573" s="72"/>
    </row>
    <row r="574" spans="1:8">
      <c r="A574" s="41"/>
      <c r="D574" s="87"/>
      <c r="F574" s="86"/>
      <c r="H574" s="72"/>
    </row>
    <row r="575" spans="1:8">
      <c r="A575" s="41"/>
      <c r="D575" s="87"/>
      <c r="F575" s="86"/>
      <c r="H575" s="72"/>
    </row>
    <row r="576" spans="1:8">
      <c r="A576" s="41"/>
      <c r="D576" s="87"/>
      <c r="F576" s="86"/>
      <c r="H576" s="72"/>
    </row>
    <row r="577" spans="1:8">
      <c r="A577" s="52"/>
      <c r="D577" s="87"/>
      <c r="F577" s="86"/>
      <c r="H577" s="72"/>
    </row>
    <row r="578" spans="1:8">
      <c r="D578" s="87"/>
      <c r="F578" s="86"/>
      <c r="H578" s="72"/>
    </row>
    <row r="579" spans="1:8">
      <c r="D579" s="87"/>
      <c r="F579" s="86"/>
      <c r="H579" s="72"/>
    </row>
    <row r="580" spans="1:8">
      <c r="D580" s="87"/>
      <c r="F580" s="86"/>
      <c r="H580" s="72"/>
    </row>
    <row r="581" spans="1:8">
      <c r="A581" s="36"/>
      <c r="D581" s="87"/>
      <c r="F581" s="86"/>
      <c r="H581" s="72"/>
    </row>
    <row r="582" spans="1:8">
      <c r="A582" s="36"/>
      <c r="D582" s="87"/>
      <c r="F582" s="86"/>
      <c r="H582" s="72"/>
    </row>
    <row r="583" spans="1:8">
      <c r="A583" s="41"/>
      <c r="D583" s="87"/>
      <c r="F583" s="86"/>
      <c r="H583" s="72"/>
    </row>
    <row r="584" spans="1:8">
      <c r="A584" s="41"/>
      <c r="D584" s="87"/>
      <c r="F584" s="86"/>
      <c r="H584" s="72"/>
    </row>
    <row r="585" spans="1:8">
      <c r="A585" s="41"/>
      <c r="D585" s="87"/>
      <c r="F585" s="86"/>
      <c r="H585" s="72"/>
    </row>
    <row r="586" spans="1:8">
      <c r="A586" s="41"/>
      <c r="D586" s="87"/>
      <c r="F586" s="86"/>
      <c r="H586" s="72"/>
    </row>
    <row r="587" spans="1:8">
      <c r="A587" s="41"/>
      <c r="D587" s="87"/>
      <c r="F587" s="86"/>
      <c r="H587" s="72"/>
    </row>
    <row r="588" spans="1:8">
      <c r="A588" s="41"/>
      <c r="D588" s="87"/>
      <c r="F588" s="86"/>
      <c r="H588" s="72"/>
    </row>
    <row r="589" spans="1:8">
      <c r="A589" s="41"/>
      <c r="D589" s="87"/>
      <c r="F589" s="86"/>
      <c r="H589" s="72"/>
    </row>
    <row r="590" spans="1:8">
      <c r="A590" s="41"/>
      <c r="D590" s="87"/>
      <c r="F590" s="86"/>
      <c r="H590" s="72"/>
    </row>
    <row r="591" spans="1:8">
      <c r="A591" s="41"/>
      <c r="D591" s="87"/>
      <c r="F591" s="86"/>
      <c r="H591" s="72"/>
    </row>
    <row r="592" spans="1:8">
      <c r="A592" s="41"/>
      <c r="D592" s="87"/>
      <c r="F592" s="86"/>
      <c r="H592" s="72"/>
    </row>
    <row r="593" spans="1:8">
      <c r="A593" s="41"/>
      <c r="D593" s="87"/>
      <c r="F593" s="86"/>
      <c r="H593" s="72"/>
    </row>
    <row r="594" spans="1:8">
      <c r="A594" s="41"/>
      <c r="D594" s="87"/>
      <c r="F594" s="86"/>
      <c r="H594" s="72"/>
    </row>
    <row r="595" spans="1:8">
      <c r="A595" s="41"/>
      <c r="D595" s="87"/>
      <c r="F595" s="86"/>
      <c r="H595" s="72"/>
    </row>
    <row r="596" spans="1:8">
      <c r="A596" s="41"/>
      <c r="D596" s="87"/>
      <c r="F596" s="86"/>
      <c r="H596" s="72"/>
    </row>
    <row r="597" spans="1:8">
      <c r="A597" s="41"/>
      <c r="D597" s="87"/>
      <c r="F597" s="86"/>
      <c r="H597" s="72"/>
    </row>
    <row r="598" spans="1:8">
      <c r="A598" s="41"/>
      <c r="D598" s="87"/>
      <c r="F598" s="86"/>
      <c r="H598" s="72"/>
    </row>
    <row r="599" spans="1:8">
      <c r="A599" s="41"/>
      <c r="D599" s="87"/>
      <c r="F599" s="86"/>
      <c r="H599" s="72"/>
    </row>
    <row r="600" spans="1:8">
      <c r="A600" s="41"/>
      <c r="D600" s="87"/>
      <c r="F600" s="86"/>
      <c r="H600" s="72"/>
    </row>
    <row r="601" spans="1:8">
      <c r="A601" s="41"/>
      <c r="D601" s="87"/>
      <c r="F601" s="86"/>
      <c r="H601" s="72"/>
    </row>
    <row r="602" spans="1:8">
      <c r="A602" s="41"/>
      <c r="D602" s="87"/>
      <c r="F602" s="86"/>
      <c r="H602" s="72"/>
    </row>
    <row r="603" spans="1:8">
      <c r="A603" s="41"/>
      <c r="D603" s="87"/>
      <c r="F603" s="86"/>
      <c r="H603" s="72"/>
    </row>
    <row r="604" spans="1:8">
      <c r="A604" s="41"/>
      <c r="D604" s="87"/>
      <c r="F604" s="86"/>
      <c r="H604" s="72"/>
    </row>
    <row r="605" spans="1:8">
      <c r="A605" s="41"/>
      <c r="D605" s="87"/>
      <c r="F605" s="86"/>
      <c r="H605" s="72"/>
    </row>
    <row r="606" spans="1:8">
      <c r="A606" s="41"/>
      <c r="D606" s="87"/>
      <c r="F606" s="86"/>
      <c r="H606" s="72"/>
    </row>
    <row r="607" spans="1:8">
      <c r="A607" s="41"/>
      <c r="D607" s="87"/>
      <c r="F607" s="86"/>
      <c r="H607" s="72"/>
    </row>
    <row r="608" spans="1:8">
      <c r="A608" s="41"/>
      <c r="D608" s="87"/>
      <c r="F608" s="86"/>
      <c r="H608" s="72"/>
    </row>
    <row r="609" spans="1:8">
      <c r="A609" s="41"/>
      <c r="D609" s="87"/>
      <c r="F609" s="86"/>
      <c r="H609" s="72"/>
    </row>
    <row r="610" spans="1:8">
      <c r="A610" s="41"/>
      <c r="D610" s="87"/>
      <c r="F610" s="86"/>
      <c r="H610" s="72"/>
    </row>
    <row r="611" spans="1:8">
      <c r="A611" s="41"/>
      <c r="D611" s="87"/>
      <c r="F611" s="86"/>
      <c r="H611" s="72"/>
    </row>
    <row r="612" spans="1:8">
      <c r="A612" s="41"/>
      <c r="D612" s="87"/>
      <c r="F612" s="86"/>
      <c r="H612" s="72"/>
    </row>
    <row r="613" spans="1:8">
      <c r="A613" s="41"/>
      <c r="D613" s="87"/>
      <c r="F613" s="86"/>
      <c r="H613" s="72"/>
    </row>
    <row r="614" spans="1:8">
      <c r="A614" s="41"/>
      <c r="D614" s="87"/>
      <c r="F614" s="86"/>
      <c r="H614" s="72"/>
    </row>
    <row r="615" spans="1:8">
      <c r="A615" s="41"/>
      <c r="D615" s="87"/>
      <c r="F615" s="86"/>
      <c r="H615" s="72"/>
    </row>
    <row r="616" spans="1:8">
      <c r="A616" s="41"/>
      <c r="D616" s="87"/>
      <c r="F616" s="86"/>
      <c r="H616" s="72"/>
    </row>
    <row r="617" spans="1:8">
      <c r="A617" s="41"/>
      <c r="D617" s="87"/>
      <c r="F617" s="86"/>
      <c r="H617" s="72"/>
    </row>
    <row r="618" spans="1:8">
      <c r="A618" s="41"/>
      <c r="D618" s="87"/>
      <c r="F618" s="86"/>
      <c r="H618" s="72"/>
    </row>
    <row r="619" spans="1:8">
      <c r="A619" s="41"/>
      <c r="D619" s="87"/>
      <c r="F619" s="86"/>
      <c r="H619" s="72"/>
    </row>
    <row r="620" spans="1:8">
      <c r="A620" s="41"/>
      <c r="D620" s="87"/>
      <c r="F620" s="86"/>
      <c r="H620" s="72"/>
    </row>
    <row r="621" spans="1:8">
      <c r="A621" s="41"/>
      <c r="D621" s="87"/>
      <c r="F621" s="86"/>
      <c r="H621" s="72"/>
    </row>
    <row r="622" spans="1:8">
      <c r="A622" s="41"/>
      <c r="D622" s="87"/>
      <c r="F622" s="86"/>
      <c r="H622" s="72"/>
    </row>
    <row r="623" spans="1:8">
      <c r="A623" s="41"/>
      <c r="D623" s="87"/>
      <c r="F623" s="86"/>
      <c r="H623" s="72"/>
    </row>
    <row r="624" spans="1:8">
      <c r="A624" s="41"/>
      <c r="D624" s="87"/>
      <c r="F624" s="86"/>
      <c r="H624" s="72"/>
    </row>
    <row r="625" spans="1:8">
      <c r="A625" s="41"/>
      <c r="D625" s="87"/>
      <c r="F625" s="86"/>
      <c r="H625" s="72"/>
    </row>
    <row r="626" spans="1:8">
      <c r="A626" s="41"/>
      <c r="D626" s="87"/>
      <c r="F626" s="86"/>
      <c r="H626" s="72"/>
    </row>
    <row r="627" spans="1:8">
      <c r="A627" s="41"/>
      <c r="D627" s="87"/>
      <c r="F627" s="86"/>
      <c r="H627" s="72"/>
    </row>
    <row r="628" spans="1:8">
      <c r="A628" s="41"/>
      <c r="D628" s="87"/>
      <c r="F628" s="86"/>
      <c r="H628" s="72"/>
    </row>
    <row r="629" spans="1:8">
      <c r="A629" s="41"/>
      <c r="D629" s="87"/>
      <c r="F629" s="86"/>
      <c r="H629" s="72"/>
    </row>
    <row r="630" spans="1:8">
      <c r="A630" s="41"/>
      <c r="D630" s="87"/>
      <c r="F630" s="86"/>
      <c r="H630" s="72"/>
    </row>
    <row r="631" spans="1:8">
      <c r="A631" s="41"/>
      <c r="D631" s="87"/>
      <c r="F631" s="86"/>
      <c r="H631" s="72"/>
    </row>
    <row r="632" spans="1:8">
      <c r="A632" s="41"/>
      <c r="D632" s="87"/>
      <c r="F632" s="86"/>
      <c r="H632" s="72"/>
    </row>
    <row r="633" spans="1:8">
      <c r="A633" s="41"/>
      <c r="D633" s="87"/>
      <c r="F633" s="86"/>
      <c r="H633" s="72"/>
    </row>
    <row r="634" spans="1:8">
      <c r="A634" s="41"/>
      <c r="D634" s="87"/>
      <c r="F634" s="86"/>
      <c r="H634" s="72"/>
    </row>
    <row r="635" spans="1:8">
      <c r="A635" s="41"/>
      <c r="D635" s="87"/>
      <c r="F635" s="86"/>
      <c r="H635" s="72"/>
    </row>
    <row r="636" spans="1:8">
      <c r="A636" s="41"/>
      <c r="D636" s="87"/>
      <c r="F636" s="86"/>
      <c r="H636" s="72"/>
    </row>
    <row r="637" spans="1:8">
      <c r="A637" s="41"/>
      <c r="D637" s="87"/>
      <c r="F637" s="86"/>
      <c r="H637" s="72"/>
    </row>
    <row r="638" spans="1:8">
      <c r="A638" s="41"/>
      <c r="D638" s="87"/>
      <c r="F638" s="86"/>
      <c r="H638" s="72"/>
    </row>
    <row r="639" spans="1:8">
      <c r="A639" s="41"/>
      <c r="D639" s="87"/>
      <c r="F639" s="86"/>
      <c r="H639" s="72"/>
    </row>
    <row r="640" spans="1:8">
      <c r="A640" s="41"/>
      <c r="D640" s="87"/>
      <c r="F640" s="86"/>
      <c r="H640" s="72"/>
    </row>
    <row r="641" spans="1:8">
      <c r="A641" s="41"/>
      <c r="D641" s="87"/>
      <c r="F641" s="86"/>
      <c r="H641" s="72"/>
    </row>
    <row r="642" spans="1:8">
      <c r="A642" s="41"/>
      <c r="D642" s="87"/>
      <c r="F642" s="86"/>
      <c r="H642" s="72"/>
    </row>
    <row r="643" spans="1:8">
      <c r="A643" s="41"/>
      <c r="D643" s="87"/>
      <c r="F643" s="86"/>
      <c r="H643" s="72"/>
    </row>
    <row r="644" spans="1:8">
      <c r="A644" s="41"/>
      <c r="D644" s="87"/>
      <c r="F644" s="86"/>
      <c r="H644" s="72"/>
    </row>
    <row r="645" spans="1:8">
      <c r="A645" s="41"/>
      <c r="D645" s="87"/>
      <c r="F645" s="86"/>
      <c r="H645" s="72"/>
    </row>
    <row r="646" spans="1:8">
      <c r="A646" s="41"/>
      <c r="D646" s="87"/>
      <c r="F646" s="86"/>
      <c r="H646" s="72"/>
    </row>
    <row r="647" spans="1:8">
      <c r="A647" s="41"/>
      <c r="D647" s="87"/>
      <c r="F647" s="86"/>
      <c r="H647" s="72"/>
    </row>
    <row r="648" spans="1:8">
      <c r="A648" s="41"/>
      <c r="D648" s="87"/>
      <c r="F648" s="86"/>
      <c r="H648" s="72"/>
    </row>
    <row r="649" spans="1:8">
      <c r="A649" s="41"/>
      <c r="D649" s="87"/>
      <c r="F649" s="86"/>
      <c r="H649" s="72"/>
    </row>
    <row r="650" spans="1:8">
      <c r="A650" s="52"/>
      <c r="D650" s="87"/>
      <c r="F650" s="86"/>
      <c r="H650" s="72"/>
    </row>
    <row r="651" spans="1:8">
      <c r="D651" s="87"/>
      <c r="F651" s="86"/>
      <c r="H651" s="72"/>
    </row>
    <row r="652" spans="1:8">
      <c r="D652" s="87"/>
      <c r="F652" s="86"/>
      <c r="H652" s="72"/>
    </row>
    <row r="653" spans="1:8">
      <c r="D653" s="87"/>
      <c r="F653" s="86"/>
      <c r="H653" s="72"/>
    </row>
    <row r="654" spans="1:8">
      <c r="A654" s="36"/>
      <c r="D654" s="87"/>
      <c r="F654" s="86"/>
      <c r="H654" s="72"/>
    </row>
    <row r="655" spans="1:8">
      <c r="A655" s="36"/>
      <c r="D655" s="87"/>
      <c r="F655" s="86"/>
      <c r="H655" s="72"/>
    </row>
    <row r="656" spans="1:8">
      <c r="A656" s="41"/>
      <c r="D656" s="87"/>
      <c r="F656" s="86"/>
      <c r="H656" s="72"/>
    </row>
    <row r="657" spans="1:8">
      <c r="A657" s="41"/>
      <c r="D657" s="87"/>
      <c r="F657" s="86"/>
      <c r="H657" s="72"/>
    </row>
    <row r="658" spans="1:8">
      <c r="A658" s="41"/>
      <c r="D658" s="87"/>
      <c r="F658" s="86"/>
      <c r="H658" s="72"/>
    </row>
    <row r="659" spans="1:8">
      <c r="A659" s="41"/>
      <c r="D659" s="87"/>
      <c r="F659" s="86"/>
      <c r="H659" s="72"/>
    </row>
    <row r="660" spans="1:8">
      <c r="A660" s="41"/>
      <c r="D660" s="87"/>
      <c r="F660" s="86"/>
      <c r="H660" s="72"/>
    </row>
    <row r="661" spans="1:8">
      <c r="A661" s="41"/>
      <c r="D661" s="87"/>
      <c r="F661" s="86"/>
      <c r="H661" s="72"/>
    </row>
    <row r="662" spans="1:8">
      <c r="A662" s="41"/>
      <c r="D662" s="87"/>
      <c r="F662" s="86"/>
      <c r="H662" s="72"/>
    </row>
    <row r="663" spans="1:8">
      <c r="A663" s="41"/>
      <c r="D663" s="87"/>
      <c r="F663" s="86"/>
      <c r="H663" s="72"/>
    </row>
    <row r="664" spans="1:8">
      <c r="A664" s="41"/>
      <c r="D664" s="87"/>
      <c r="F664" s="86"/>
      <c r="H664" s="72"/>
    </row>
    <row r="665" spans="1:8">
      <c r="A665" s="41"/>
      <c r="D665" s="87"/>
      <c r="F665" s="86"/>
      <c r="H665" s="72"/>
    </row>
    <row r="666" spans="1:8">
      <c r="A666" s="41"/>
      <c r="D666" s="87"/>
      <c r="F666" s="86"/>
      <c r="H666" s="72"/>
    </row>
    <row r="667" spans="1:8">
      <c r="A667" s="41"/>
      <c r="D667" s="87"/>
      <c r="F667" s="86"/>
      <c r="H667" s="72"/>
    </row>
    <row r="668" spans="1:8">
      <c r="A668" s="41"/>
      <c r="D668" s="87"/>
      <c r="F668" s="86"/>
      <c r="H668" s="72"/>
    </row>
    <row r="669" spans="1:8">
      <c r="A669" s="41"/>
      <c r="D669" s="87"/>
      <c r="F669" s="86"/>
      <c r="H669" s="72"/>
    </row>
    <row r="670" spans="1:8">
      <c r="A670" s="41"/>
      <c r="D670" s="87"/>
      <c r="F670" s="86"/>
      <c r="H670" s="72"/>
    </row>
    <row r="671" spans="1:8">
      <c r="A671" s="41"/>
      <c r="D671" s="87"/>
      <c r="F671" s="86"/>
      <c r="H671" s="72"/>
    </row>
    <row r="672" spans="1:8">
      <c r="A672" s="41"/>
      <c r="D672" s="87"/>
      <c r="F672" s="86"/>
      <c r="H672" s="72"/>
    </row>
    <row r="673" spans="1:8">
      <c r="A673" s="41"/>
      <c r="D673" s="87"/>
      <c r="F673" s="86"/>
      <c r="H673" s="72"/>
    </row>
    <row r="674" spans="1:8">
      <c r="A674" s="41"/>
      <c r="D674" s="87"/>
      <c r="F674" s="86"/>
      <c r="H674" s="72"/>
    </row>
    <row r="675" spans="1:8">
      <c r="A675" s="41"/>
      <c r="D675" s="87"/>
      <c r="F675" s="86"/>
      <c r="H675" s="72"/>
    </row>
    <row r="676" spans="1:8">
      <c r="A676" s="41"/>
      <c r="D676" s="87"/>
      <c r="F676" s="86"/>
      <c r="H676" s="72"/>
    </row>
    <row r="677" spans="1:8">
      <c r="A677" s="41"/>
      <c r="D677" s="87"/>
      <c r="F677" s="86"/>
      <c r="H677" s="72"/>
    </row>
    <row r="678" spans="1:8">
      <c r="A678" s="41"/>
      <c r="D678" s="87"/>
      <c r="F678" s="86"/>
      <c r="H678" s="72"/>
    </row>
    <row r="679" spans="1:8">
      <c r="A679" s="41"/>
      <c r="D679" s="87"/>
      <c r="F679" s="86"/>
      <c r="H679" s="72"/>
    </row>
    <row r="680" spans="1:8">
      <c r="A680" s="41"/>
      <c r="D680" s="87"/>
      <c r="F680" s="86"/>
      <c r="H680" s="72"/>
    </row>
    <row r="681" spans="1:8">
      <c r="A681" s="41"/>
      <c r="D681" s="87"/>
      <c r="F681" s="86"/>
      <c r="H681" s="72"/>
    </row>
    <row r="682" spans="1:8">
      <c r="A682" s="41"/>
      <c r="D682" s="87"/>
      <c r="F682" s="86"/>
      <c r="H682" s="72"/>
    </row>
    <row r="683" spans="1:8">
      <c r="A683" s="41"/>
      <c r="D683" s="87"/>
      <c r="F683" s="86"/>
      <c r="H683" s="72"/>
    </row>
    <row r="684" spans="1:8">
      <c r="A684" s="41"/>
      <c r="D684" s="87"/>
      <c r="F684" s="86"/>
      <c r="H684" s="72"/>
    </row>
    <row r="685" spans="1:8">
      <c r="A685" s="41"/>
      <c r="D685" s="87"/>
      <c r="F685" s="86"/>
      <c r="H685" s="72"/>
    </row>
    <row r="686" spans="1:8">
      <c r="A686" s="41"/>
      <c r="D686" s="87"/>
      <c r="F686" s="86"/>
      <c r="H686" s="72"/>
    </row>
    <row r="687" spans="1:8">
      <c r="A687" s="41"/>
      <c r="D687" s="87"/>
      <c r="F687" s="86"/>
      <c r="H687" s="72"/>
    </row>
    <row r="688" spans="1:8">
      <c r="A688" s="41"/>
      <c r="D688" s="87"/>
      <c r="F688" s="86"/>
      <c r="H688" s="72"/>
    </row>
    <row r="689" spans="1:8">
      <c r="A689" s="41"/>
      <c r="D689" s="87"/>
      <c r="F689" s="86"/>
      <c r="H689" s="72"/>
    </row>
    <row r="690" spans="1:8">
      <c r="A690" s="41"/>
      <c r="D690" s="87"/>
      <c r="F690" s="86"/>
      <c r="H690" s="72"/>
    </row>
    <row r="691" spans="1:8">
      <c r="A691" s="41"/>
      <c r="D691" s="87"/>
      <c r="F691" s="86"/>
      <c r="H691" s="72"/>
    </row>
    <row r="692" spans="1:8">
      <c r="A692" s="41"/>
      <c r="D692" s="87"/>
      <c r="F692" s="86"/>
      <c r="H692" s="72"/>
    </row>
    <row r="693" spans="1:8">
      <c r="A693" s="41"/>
      <c r="D693" s="87"/>
      <c r="F693" s="86"/>
      <c r="H693" s="72"/>
    </row>
    <row r="694" spans="1:8">
      <c r="A694" s="41"/>
      <c r="D694" s="87"/>
      <c r="F694" s="86"/>
      <c r="H694" s="72"/>
    </row>
    <row r="695" spans="1:8">
      <c r="A695" s="41"/>
      <c r="D695" s="87"/>
      <c r="F695" s="86"/>
      <c r="H695" s="72"/>
    </row>
    <row r="696" spans="1:8">
      <c r="A696" s="41"/>
      <c r="D696" s="87"/>
      <c r="F696" s="86"/>
      <c r="H696" s="72"/>
    </row>
    <row r="697" spans="1:8">
      <c r="A697" s="41"/>
      <c r="D697" s="87"/>
      <c r="F697" s="86"/>
      <c r="H697" s="72"/>
    </row>
    <row r="698" spans="1:8">
      <c r="A698" s="41"/>
      <c r="D698" s="87"/>
      <c r="F698" s="86"/>
      <c r="H698" s="72"/>
    </row>
    <row r="699" spans="1:8">
      <c r="A699" s="41"/>
      <c r="D699" s="87"/>
      <c r="F699" s="86"/>
      <c r="H699" s="72"/>
    </row>
    <row r="700" spans="1:8">
      <c r="A700" s="41"/>
      <c r="D700" s="87"/>
      <c r="F700" s="86"/>
      <c r="H700" s="72"/>
    </row>
    <row r="701" spans="1:8">
      <c r="A701" s="41"/>
      <c r="D701" s="87"/>
      <c r="F701" s="86"/>
      <c r="H701" s="72"/>
    </row>
    <row r="702" spans="1:8">
      <c r="A702" s="41"/>
      <c r="D702" s="87"/>
      <c r="F702" s="86"/>
      <c r="H702" s="72"/>
    </row>
    <row r="703" spans="1:8">
      <c r="A703" s="41"/>
      <c r="D703" s="87"/>
      <c r="F703" s="86"/>
      <c r="H703" s="72"/>
    </row>
    <row r="704" spans="1:8">
      <c r="A704" s="41"/>
      <c r="D704" s="87"/>
      <c r="F704" s="86"/>
      <c r="H704" s="72"/>
    </row>
    <row r="705" spans="1:8">
      <c r="A705" s="41"/>
      <c r="D705" s="87"/>
      <c r="F705" s="86"/>
      <c r="H705" s="72"/>
    </row>
    <row r="706" spans="1:8">
      <c r="A706" s="41"/>
      <c r="D706" s="87"/>
      <c r="F706" s="86"/>
      <c r="H706" s="72"/>
    </row>
    <row r="707" spans="1:8">
      <c r="A707" s="41"/>
      <c r="D707" s="87"/>
      <c r="F707" s="86"/>
      <c r="H707" s="72"/>
    </row>
    <row r="708" spans="1:8">
      <c r="A708" s="41"/>
      <c r="D708" s="87"/>
      <c r="F708" s="86"/>
      <c r="H708" s="72"/>
    </row>
    <row r="709" spans="1:8">
      <c r="A709" s="41"/>
      <c r="D709" s="87"/>
      <c r="F709" s="86"/>
      <c r="H709" s="72"/>
    </row>
    <row r="710" spans="1:8">
      <c r="A710" s="41"/>
      <c r="D710" s="87"/>
      <c r="F710" s="86"/>
      <c r="H710" s="72"/>
    </row>
    <row r="711" spans="1:8">
      <c r="A711" s="41"/>
      <c r="D711" s="87"/>
      <c r="F711" s="86"/>
      <c r="H711" s="72"/>
    </row>
    <row r="712" spans="1:8">
      <c r="A712" s="41"/>
      <c r="D712" s="87"/>
      <c r="F712" s="86"/>
      <c r="H712" s="72"/>
    </row>
    <row r="713" spans="1:8">
      <c r="A713" s="41"/>
      <c r="D713" s="87"/>
      <c r="F713" s="86"/>
      <c r="H713" s="72"/>
    </row>
    <row r="714" spans="1:8">
      <c r="A714" s="41"/>
      <c r="D714" s="87"/>
      <c r="F714" s="86"/>
      <c r="H714" s="72"/>
    </row>
    <row r="715" spans="1:8">
      <c r="A715" s="41"/>
      <c r="D715" s="87"/>
      <c r="F715" s="86"/>
      <c r="H715" s="72"/>
    </row>
    <row r="716" spans="1:8">
      <c r="A716" s="41"/>
      <c r="D716" s="87"/>
      <c r="F716" s="86"/>
      <c r="H716" s="72"/>
    </row>
    <row r="717" spans="1:8">
      <c r="A717" s="41"/>
      <c r="D717" s="87"/>
      <c r="F717" s="86"/>
      <c r="H717" s="72"/>
    </row>
    <row r="718" spans="1:8">
      <c r="A718" s="41"/>
      <c r="D718" s="87"/>
      <c r="F718" s="86"/>
      <c r="H718" s="72"/>
    </row>
    <row r="719" spans="1:8">
      <c r="A719" s="41"/>
      <c r="D719" s="87"/>
      <c r="F719" s="86"/>
      <c r="H719" s="72"/>
    </row>
    <row r="720" spans="1:8">
      <c r="A720" s="41"/>
      <c r="D720" s="87"/>
      <c r="F720" s="86"/>
      <c r="H720" s="72"/>
    </row>
    <row r="721" spans="1:8">
      <c r="A721" s="41"/>
      <c r="D721" s="87"/>
      <c r="F721" s="86"/>
      <c r="H721" s="72"/>
    </row>
    <row r="722" spans="1:8">
      <c r="A722" s="41"/>
      <c r="D722" s="87"/>
      <c r="F722" s="86"/>
      <c r="H722" s="72"/>
    </row>
    <row r="723" spans="1:8">
      <c r="A723" s="52"/>
      <c r="D723" s="87"/>
      <c r="F723" s="86"/>
      <c r="H723" s="72"/>
    </row>
    <row r="724" spans="1:8">
      <c r="D724" s="87"/>
      <c r="F724" s="86"/>
      <c r="H724" s="72"/>
    </row>
    <row r="725" spans="1:8">
      <c r="D725" s="87"/>
      <c r="F725" s="86"/>
      <c r="H725" s="72"/>
    </row>
    <row r="726" spans="1:8">
      <c r="D726" s="87"/>
      <c r="F726" s="86"/>
      <c r="H726" s="72"/>
    </row>
    <row r="727" spans="1:8">
      <c r="A727" s="36"/>
      <c r="D727" s="87"/>
      <c r="F727" s="86"/>
      <c r="H727" s="72"/>
    </row>
    <row r="728" spans="1:8">
      <c r="A728" s="36"/>
      <c r="D728" s="87"/>
      <c r="F728" s="86"/>
      <c r="H728" s="72"/>
    </row>
    <row r="729" spans="1:8">
      <c r="A729" s="41"/>
      <c r="D729" s="87"/>
      <c r="F729" s="86"/>
      <c r="H729" s="72"/>
    </row>
    <row r="730" spans="1:8">
      <c r="A730" s="41"/>
      <c r="D730" s="87"/>
      <c r="F730" s="86"/>
      <c r="H730" s="72"/>
    </row>
    <row r="731" spans="1:8">
      <c r="A731" s="41"/>
      <c r="D731" s="87"/>
      <c r="F731" s="86"/>
      <c r="H731" s="72"/>
    </row>
    <row r="732" spans="1:8">
      <c r="A732" s="41"/>
      <c r="D732" s="87"/>
      <c r="F732" s="86"/>
      <c r="H732" s="72"/>
    </row>
    <row r="733" spans="1:8">
      <c r="A733" s="41"/>
      <c r="D733" s="87"/>
      <c r="F733" s="86"/>
      <c r="H733" s="72"/>
    </row>
    <row r="734" spans="1:8">
      <c r="A734" s="41"/>
      <c r="D734" s="87"/>
      <c r="F734" s="86"/>
      <c r="H734" s="72"/>
    </row>
    <row r="735" spans="1:8">
      <c r="A735" s="41"/>
      <c r="D735" s="87"/>
      <c r="F735" s="86"/>
      <c r="H735" s="72"/>
    </row>
    <row r="736" spans="1:8">
      <c r="A736" s="41"/>
      <c r="D736" s="87"/>
      <c r="F736" s="86"/>
      <c r="H736" s="72"/>
    </row>
    <row r="737" spans="1:8">
      <c r="A737" s="41"/>
      <c r="D737" s="87"/>
      <c r="F737" s="86"/>
      <c r="H737" s="72"/>
    </row>
    <row r="738" spans="1:8">
      <c r="A738" s="41"/>
      <c r="D738" s="87"/>
      <c r="F738" s="86"/>
      <c r="H738" s="72"/>
    </row>
    <row r="739" spans="1:8">
      <c r="A739" s="41"/>
      <c r="D739" s="87"/>
      <c r="F739" s="86"/>
      <c r="H739" s="72"/>
    </row>
    <row r="740" spans="1:8">
      <c r="A740" s="41"/>
      <c r="D740" s="87"/>
      <c r="F740" s="86"/>
      <c r="H740" s="72"/>
    </row>
    <row r="741" spans="1:8">
      <c r="A741" s="41"/>
      <c r="D741" s="87"/>
      <c r="F741" s="86"/>
      <c r="H741" s="72"/>
    </row>
    <row r="742" spans="1:8">
      <c r="A742" s="41"/>
      <c r="D742" s="87"/>
      <c r="F742" s="86"/>
      <c r="H742" s="72"/>
    </row>
    <row r="743" spans="1:8">
      <c r="A743" s="41"/>
      <c r="D743" s="87"/>
      <c r="F743" s="86"/>
      <c r="H743" s="72"/>
    </row>
    <row r="744" spans="1:8">
      <c r="A744" s="41"/>
      <c r="D744" s="87"/>
      <c r="F744" s="86"/>
      <c r="H744" s="72"/>
    </row>
    <row r="745" spans="1:8">
      <c r="A745" s="41"/>
      <c r="D745" s="87"/>
      <c r="F745" s="86"/>
      <c r="H745" s="72"/>
    </row>
    <row r="746" spans="1:8">
      <c r="A746" s="41"/>
      <c r="D746" s="87"/>
      <c r="F746" s="86"/>
      <c r="H746" s="72"/>
    </row>
    <row r="747" spans="1:8">
      <c r="A747" s="41"/>
      <c r="D747" s="87"/>
      <c r="F747" s="86"/>
      <c r="H747" s="72"/>
    </row>
    <row r="748" spans="1:8">
      <c r="A748" s="41"/>
      <c r="D748" s="87"/>
      <c r="F748" s="86"/>
      <c r="H748" s="72"/>
    </row>
    <row r="749" spans="1:8">
      <c r="A749" s="41"/>
      <c r="D749" s="87"/>
      <c r="F749" s="86"/>
      <c r="H749" s="72"/>
    </row>
    <row r="750" spans="1:8">
      <c r="A750" s="41"/>
      <c r="D750" s="87"/>
      <c r="F750" s="86"/>
      <c r="H750" s="72"/>
    </row>
    <row r="751" spans="1:8">
      <c r="A751" s="41"/>
      <c r="D751" s="87"/>
      <c r="F751" s="86"/>
      <c r="H751" s="72"/>
    </row>
    <row r="752" spans="1:8">
      <c r="A752" s="41"/>
      <c r="D752" s="87"/>
      <c r="F752" s="86"/>
      <c r="H752" s="72"/>
    </row>
    <row r="753" spans="1:8">
      <c r="A753" s="41"/>
      <c r="D753" s="87"/>
      <c r="F753" s="86"/>
      <c r="H753" s="72"/>
    </row>
    <row r="754" spans="1:8">
      <c r="A754" s="41"/>
      <c r="D754" s="87"/>
      <c r="F754" s="86"/>
      <c r="H754" s="72"/>
    </row>
    <row r="755" spans="1:8">
      <c r="A755" s="41"/>
      <c r="D755" s="87"/>
      <c r="F755" s="86"/>
      <c r="H755" s="72"/>
    </row>
    <row r="756" spans="1:8">
      <c r="A756" s="41"/>
      <c r="D756" s="87"/>
      <c r="F756" s="86"/>
      <c r="H756" s="72"/>
    </row>
    <row r="757" spans="1:8">
      <c r="A757" s="41"/>
      <c r="D757" s="87"/>
      <c r="F757" s="86"/>
      <c r="H757" s="72"/>
    </row>
    <row r="758" spans="1:8">
      <c r="A758" s="41"/>
      <c r="D758" s="87"/>
      <c r="F758" s="86"/>
      <c r="H758" s="72"/>
    </row>
    <row r="759" spans="1:8">
      <c r="A759" s="41"/>
      <c r="D759" s="87"/>
      <c r="F759" s="86"/>
      <c r="H759" s="72"/>
    </row>
    <row r="760" spans="1:8">
      <c r="A760" s="41"/>
      <c r="D760" s="87"/>
      <c r="F760" s="86"/>
      <c r="H760" s="72"/>
    </row>
    <row r="761" spans="1:8">
      <c r="A761" s="41"/>
      <c r="D761" s="87"/>
      <c r="F761" s="86"/>
      <c r="H761" s="72"/>
    </row>
    <row r="762" spans="1:8">
      <c r="A762" s="41"/>
      <c r="D762" s="87"/>
      <c r="F762" s="86"/>
      <c r="H762" s="72"/>
    </row>
    <row r="763" spans="1:8">
      <c r="A763" s="41"/>
      <c r="D763" s="87"/>
      <c r="F763" s="86"/>
      <c r="H763" s="72"/>
    </row>
    <row r="764" spans="1:8">
      <c r="A764" s="41"/>
      <c r="D764" s="87"/>
      <c r="F764" s="86"/>
      <c r="H764" s="72"/>
    </row>
    <row r="765" spans="1:8">
      <c r="A765" s="41"/>
      <c r="D765" s="87"/>
      <c r="F765" s="86"/>
      <c r="H765" s="72"/>
    </row>
    <row r="766" spans="1:8">
      <c r="A766" s="41"/>
      <c r="D766" s="87"/>
      <c r="F766" s="86"/>
      <c r="H766" s="72"/>
    </row>
    <row r="767" spans="1:8">
      <c r="A767" s="41"/>
      <c r="D767" s="87"/>
      <c r="F767" s="86"/>
      <c r="H767" s="72"/>
    </row>
    <row r="768" spans="1:8">
      <c r="A768" s="41"/>
      <c r="D768" s="87"/>
      <c r="F768" s="86"/>
      <c r="H768" s="72"/>
    </row>
    <row r="769" spans="1:8">
      <c r="A769" s="41"/>
      <c r="D769" s="87"/>
      <c r="F769" s="86"/>
      <c r="H769" s="72"/>
    </row>
    <row r="770" spans="1:8">
      <c r="A770" s="41"/>
      <c r="D770" s="87"/>
      <c r="F770" s="86"/>
      <c r="H770" s="72"/>
    </row>
    <row r="771" spans="1:8">
      <c r="A771" s="41"/>
      <c r="D771" s="87"/>
      <c r="F771" s="86"/>
      <c r="H771" s="72"/>
    </row>
    <row r="772" spans="1:8">
      <c r="A772" s="41"/>
      <c r="D772" s="87"/>
      <c r="F772" s="86"/>
      <c r="H772" s="72"/>
    </row>
    <row r="773" spans="1:8">
      <c r="A773" s="41"/>
      <c r="D773" s="87"/>
      <c r="F773" s="86"/>
      <c r="H773" s="72"/>
    </row>
    <row r="774" spans="1:8">
      <c r="A774" s="41"/>
      <c r="D774" s="87"/>
      <c r="F774" s="86"/>
      <c r="H774" s="72"/>
    </row>
    <row r="775" spans="1:8">
      <c r="A775" s="41"/>
      <c r="D775" s="87"/>
      <c r="F775" s="86"/>
      <c r="H775" s="72"/>
    </row>
    <row r="776" spans="1:8">
      <c r="A776" s="41"/>
      <c r="D776" s="87"/>
      <c r="F776" s="86"/>
      <c r="H776" s="72"/>
    </row>
    <row r="777" spans="1:8">
      <c r="A777" s="41"/>
      <c r="D777" s="87"/>
      <c r="F777" s="86"/>
      <c r="H777" s="72"/>
    </row>
    <row r="778" spans="1:8">
      <c r="A778" s="41"/>
      <c r="D778" s="87"/>
      <c r="F778" s="86"/>
      <c r="H778" s="72"/>
    </row>
    <row r="779" spans="1:8">
      <c r="A779" s="41"/>
      <c r="D779" s="87"/>
      <c r="F779" s="86"/>
      <c r="H779" s="72"/>
    </row>
    <row r="780" spans="1:8">
      <c r="A780" s="41"/>
      <c r="D780" s="87"/>
      <c r="F780" s="86"/>
      <c r="H780" s="72"/>
    </row>
    <row r="781" spans="1:8">
      <c r="A781" s="41"/>
      <c r="D781" s="87"/>
      <c r="F781" s="86"/>
      <c r="H781" s="72"/>
    </row>
    <row r="782" spans="1:8">
      <c r="A782" s="41"/>
      <c r="D782" s="87"/>
      <c r="F782" s="86"/>
      <c r="H782" s="72"/>
    </row>
    <row r="783" spans="1:8">
      <c r="A783" s="41"/>
      <c r="D783" s="87"/>
      <c r="F783" s="86"/>
      <c r="H783" s="72"/>
    </row>
    <row r="784" spans="1:8">
      <c r="A784" s="41"/>
      <c r="D784" s="87"/>
      <c r="F784" s="86"/>
      <c r="H784" s="72"/>
    </row>
    <row r="785" spans="1:8">
      <c r="A785" s="41"/>
      <c r="D785" s="87"/>
      <c r="F785" s="86"/>
      <c r="H785" s="72"/>
    </row>
    <row r="786" spans="1:8">
      <c r="A786" s="41"/>
      <c r="D786" s="87"/>
      <c r="F786" s="86"/>
      <c r="H786" s="72"/>
    </row>
    <row r="787" spans="1:8">
      <c r="A787" s="41"/>
      <c r="D787" s="87"/>
      <c r="F787" s="86"/>
      <c r="H787" s="72"/>
    </row>
    <row r="788" spans="1:8">
      <c r="A788" s="41"/>
      <c r="D788" s="87"/>
      <c r="F788" s="86"/>
      <c r="H788" s="72"/>
    </row>
    <row r="789" spans="1:8">
      <c r="A789" s="41"/>
      <c r="D789" s="87"/>
      <c r="F789" s="86"/>
      <c r="H789" s="72"/>
    </row>
    <row r="790" spans="1:8">
      <c r="A790" s="41"/>
      <c r="D790" s="87"/>
      <c r="F790" s="86"/>
      <c r="H790" s="72"/>
    </row>
    <row r="791" spans="1:8">
      <c r="A791" s="41"/>
      <c r="D791" s="87"/>
      <c r="F791" s="86"/>
      <c r="H791" s="72"/>
    </row>
    <row r="792" spans="1:8">
      <c r="A792" s="41"/>
      <c r="D792" s="87"/>
      <c r="F792" s="86"/>
      <c r="H792" s="72"/>
    </row>
    <row r="793" spans="1:8">
      <c r="A793" s="41"/>
      <c r="D793" s="87"/>
      <c r="F793" s="86"/>
      <c r="H793" s="72"/>
    </row>
    <row r="794" spans="1:8">
      <c r="A794" s="41"/>
      <c r="D794" s="87"/>
      <c r="F794" s="86"/>
      <c r="H794" s="72"/>
    </row>
    <row r="795" spans="1:8">
      <c r="A795" s="41"/>
      <c r="D795" s="87"/>
      <c r="F795" s="86"/>
      <c r="H795" s="72"/>
    </row>
    <row r="796" spans="1:8">
      <c r="A796" s="52"/>
      <c r="D796" s="87"/>
      <c r="F796" s="86"/>
      <c r="H796" s="72"/>
    </row>
    <row r="797" spans="1:8">
      <c r="D797" s="87"/>
      <c r="F797" s="86"/>
      <c r="H797" s="72"/>
    </row>
    <row r="798" spans="1:8">
      <c r="D798" s="87"/>
      <c r="F798" s="86"/>
      <c r="H798" s="72"/>
    </row>
    <row r="799" spans="1:8">
      <c r="D799" s="87"/>
      <c r="F799" s="86"/>
      <c r="H799" s="72"/>
    </row>
    <row r="800" spans="1:8">
      <c r="A800" s="36"/>
      <c r="D800" s="87"/>
      <c r="F800" s="86"/>
      <c r="H800" s="72"/>
    </row>
    <row r="801" spans="1:8">
      <c r="A801" s="36"/>
      <c r="D801" s="87"/>
      <c r="F801" s="86"/>
      <c r="H801" s="72"/>
    </row>
    <row r="802" spans="1:8">
      <c r="A802" s="41"/>
      <c r="D802" s="87"/>
      <c r="F802" s="86"/>
      <c r="H802" s="72"/>
    </row>
    <row r="803" spans="1:8">
      <c r="A803" s="41"/>
      <c r="D803" s="87"/>
      <c r="F803" s="86"/>
      <c r="H803" s="72"/>
    </row>
    <row r="804" spans="1:8">
      <c r="A804" s="41"/>
      <c r="D804" s="87"/>
      <c r="F804" s="86"/>
      <c r="H804" s="72"/>
    </row>
    <row r="805" spans="1:8">
      <c r="A805" s="41"/>
      <c r="D805" s="87"/>
      <c r="F805" s="86"/>
      <c r="H805" s="72"/>
    </row>
    <row r="806" spans="1:8">
      <c r="A806" s="41"/>
      <c r="D806" s="87"/>
      <c r="F806" s="86"/>
      <c r="H806" s="72"/>
    </row>
    <row r="807" spans="1:8">
      <c r="A807" s="41"/>
      <c r="D807" s="87"/>
      <c r="F807" s="86"/>
      <c r="H807" s="72"/>
    </row>
    <row r="808" spans="1:8">
      <c r="A808" s="41"/>
      <c r="D808" s="87"/>
      <c r="F808" s="86"/>
      <c r="H808" s="72"/>
    </row>
    <row r="809" spans="1:8">
      <c r="A809" s="41"/>
      <c r="D809" s="87"/>
      <c r="F809" s="86"/>
      <c r="H809" s="72"/>
    </row>
    <row r="810" spans="1:8">
      <c r="A810" s="41"/>
      <c r="D810" s="87"/>
      <c r="F810" s="86"/>
      <c r="H810" s="72"/>
    </row>
    <row r="811" spans="1:8">
      <c r="A811" s="41"/>
      <c r="D811" s="87"/>
      <c r="F811" s="86"/>
      <c r="H811" s="72"/>
    </row>
    <row r="812" spans="1:8">
      <c r="A812" s="41"/>
      <c r="D812" s="87"/>
      <c r="F812" s="86"/>
      <c r="H812" s="72"/>
    </row>
    <row r="813" spans="1:8">
      <c r="A813" s="41"/>
      <c r="D813" s="87"/>
      <c r="F813" s="86"/>
      <c r="H813" s="72"/>
    </row>
    <row r="814" spans="1:8">
      <c r="A814" s="41"/>
      <c r="D814" s="87"/>
      <c r="F814" s="86"/>
      <c r="H814" s="72"/>
    </row>
    <row r="815" spans="1:8">
      <c r="A815" s="41"/>
      <c r="D815" s="87"/>
      <c r="F815" s="86"/>
      <c r="H815" s="72"/>
    </row>
    <row r="816" spans="1:8">
      <c r="A816" s="41"/>
      <c r="D816" s="87"/>
      <c r="F816" s="86"/>
      <c r="H816" s="72"/>
    </row>
    <row r="817" spans="1:8">
      <c r="A817" s="41"/>
      <c r="D817" s="87"/>
      <c r="F817" s="86"/>
      <c r="H817" s="72"/>
    </row>
    <row r="818" spans="1:8">
      <c r="A818" s="41"/>
      <c r="D818" s="87"/>
      <c r="F818" s="86"/>
      <c r="H818" s="72"/>
    </row>
    <row r="819" spans="1:8">
      <c r="A819" s="41"/>
      <c r="D819" s="87"/>
      <c r="F819" s="86"/>
      <c r="H819" s="72"/>
    </row>
    <row r="820" spans="1:8">
      <c r="A820" s="41"/>
      <c r="D820" s="87"/>
      <c r="F820" s="86"/>
      <c r="H820" s="72"/>
    </row>
    <row r="821" spans="1:8">
      <c r="A821" s="41"/>
      <c r="D821" s="87"/>
      <c r="F821" s="86"/>
      <c r="H821" s="72"/>
    </row>
    <row r="822" spans="1:8">
      <c r="A822" s="41"/>
      <c r="D822" s="87"/>
      <c r="F822" s="86"/>
      <c r="H822" s="72"/>
    </row>
    <row r="823" spans="1:8">
      <c r="A823" s="41"/>
      <c r="D823" s="87"/>
      <c r="F823" s="86"/>
      <c r="H823" s="72"/>
    </row>
    <row r="824" spans="1:8">
      <c r="A824" s="41"/>
      <c r="D824" s="87"/>
      <c r="F824" s="86"/>
      <c r="H824" s="72"/>
    </row>
    <row r="825" spans="1:8">
      <c r="A825" s="41"/>
      <c r="D825" s="87"/>
      <c r="F825" s="86"/>
      <c r="H825" s="72"/>
    </row>
    <row r="826" spans="1:8">
      <c r="A826" s="41"/>
      <c r="D826" s="87"/>
      <c r="F826" s="86"/>
      <c r="H826" s="72"/>
    </row>
    <row r="827" spans="1:8">
      <c r="A827" s="41"/>
      <c r="D827" s="87"/>
      <c r="F827" s="86"/>
      <c r="H827" s="72"/>
    </row>
    <row r="828" spans="1:8">
      <c r="A828" s="41"/>
      <c r="D828" s="87"/>
      <c r="F828" s="86"/>
      <c r="H828" s="72"/>
    </row>
    <row r="829" spans="1:8">
      <c r="A829" s="41"/>
      <c r="D829" s="87"/>
      <c r="F829" s="86"/>
      <c r="H829" s="72"/>
    </row>
    <row r="830" spans="1:8">
      <c r="A830" s="41"/>
      <c r="D830" s="87"/>
      <c r="F830" s="86"/>
      <c r="H830" s="72"/>
    </row>
    <row r="831" spans="1:8">
      <c r="A831" s="41"/>
      <c r="D831" s="87"/>
      <c r="F831" s="86"/>
      <c r="H831" s="72"/>
    </row>
    <row r="832" spans="1:8">
      <c r="A832" s="41"/>
      <c r="D832" s="87"/>
      <c r="F832" s="86"/>
      <c r="H832" s="72"/>
    </row>
    <row r="833" spans="1:8">
      <c r="A833" s="41"/>
      <c r="D833" s="87"/>
      <c r="F833" s="86"/>
      <c r="H833" s="72"/>
    </row>
    <row r="834" spans="1:8">
      <c r="A834" s="41"/>
      <c r="D834" s="87"/>
      <c r="F834" s="86"/>
      <c r="H834" s="72"/>
    </row>
    <row r="835" spans="1:8">
      <c r="A835" s="41"/>
      <c r="D835" s="87"/>
      <c r="F835" s="86"/>
      <c r="H835" s="72"/>
    </row>
    <row r="836" spans="1:8">
      <c r="A836" s="41"/>
      <c r="D836" s="87"/>
      <c r="F836" s="86"/>
      <c r="H836" s="72"/>
    </row>
    <row r="837" spans="1:8">
      <c r="A837" s="41"/>
      <c r="D837" s="87"/>
      <c r="F837" s="86"/>
      <c r="H837" s="72"/>
    </row>
    <row r="838" spans="1:8">
      <c r="A838" s="41"/>
      <c r="D838" s="87"/>
      <c r="F838" s="86"/>
      <c r="H838" s="72"/>
    </row>
    <row r="839" spans="1:8">
      <c r="A839" s="41"/>
      <c r="D839" s="87"/>
      <c r="F839" s="86"/>
      <c r="H839" s="72"/>
    </row>
    <row r="840" spans="1:8">
      <c r="A840" s="41"/>
      <c r="D840" s="87"/>
      <c r="F840" s="86"/>
      <c r="H840" s="72"/>
    </row>
    <row r="841" spans="1:8">
      <c r="A841" s="41"/>
      <c r="D841" s="87"/>
      <c r="F841" s="86"/>
      <c r="H841" s="72"/>
    </row>
    <row r="842" spans="1:8">
      <c r="A842" s="41"/>
      <c r="D842" s="87"/>
      <c r="F842" s="86"/>
      <c r="H842" s="72"/>
    </row>
    <row r="843" spans="1:8">
      <c r="A843" s="41"/>
      <c r="D843" s="87"/>
      <c r="F843" s="86"/>
      <c r="H843" s="72"/>
    </row>
    <row r="844" spans="1:8">
      <c r="A844" s="41"/>
      <c r="D844" s="87"/>
      <c r="F844" s="86"/>
      <c r="H844" s="72"/>
    </row>
    <row r="845" spans="1:8">
      <c r="A845" s="41"/>
      <c r="D845" s="87"/>
      <c r="F845" s="86"/>
      <c r="H845" s="72"/>
    </row>
    <row r="846" spans="1:8">
      <c r="A846" s="41"/>
      <c r="D846" s="87"/>
      <c r="F846" s="86"/>
      <c r="H846" s="72"/>
    </row>
    <row r="847" spans="1:8">
      <c r="A847" s="41"/>
      <c r="D847" s="87"/>
      <c r="F847" s="86"/>
      <c r="H847" s="72"/>
    </row>
    <row r="848" spans="1:8">
      <c r="A848" s="41"/>
      <c r="D848" s="87"/>
      <c r="F848" s="86"/>
      <c r="H848" s="72"/>
    </row>
    <row r="849" spans="1:8">
      <c r="A849" s="41"/>
      <c r="D849" s="87"/>
      <c r="F849" s="86"/>
      <c r="H849" s="72"/>
    </row>
    <row r="850" spans="1:8">
      <c r="A850" s="41"/>
      <c r="D850" s="87"/>
      <c r="F850" s="86"/>
      <c r="H850" s="72"/>
    </row>
    <row r="851" spans="1:8">
      <c r="A851" s="41"/>
      <c r="D851" s="87"/>
      <c r="F851" s="86"/>
      <c r="H851" s="72"/>
    </row>
    <row r="852" spans="1:8">
      <c r="A852" s="41"/>
      <c r="D852" s="87"/>
      <c r="F852" s="86"/>
      <c r="H852" s="72"/>
    </row>
    <row r="853" spans="1:8">
      <c r="A853" s="41"/>
      <c r="D853" s="87"/>
      <c r="F853" s="86"/>
      <c r="H853" s="72"/>
    </row>
    <row r="854" spans="1:8">
      <c r="A854" s="41"/>
      <c r="D854" s="87"/>
      <c r="F854" s="86"/>
      <c r="H854" s="72"/>
    </row>
    <row r="855" spans="1:8">
      <c r="A855" s="41"/>
      <c r="D855" s="87"/>
      <c r="F855" s="86"/>
      <c r="H855" s="72"/>
    </row>
    <row r="856" spans="1:8">
      <c r="A856" s="41"/>
      <c r="D856" s="87"/>
      <c r="F856" s="86"/>
      <c r="H856" s="72"/>
    </row>
    <row r="857" spans="1:8">
      <c r="A857" s="41"/>
      <c r="D857" s="87"/>
      <c r="F857" s="86"/>
      <c r="H857" s="72"/>
    </row>
    <row r="858" spans="1:8">
      <c r="A858" s="41"/>
      <c r="D858" s="87"/>
      <c r="F858" s="86"/>
      <c r="H858" s="72"/>
    </row>
    <row r="859" spans="1:8">
      <c r="A859" s="41"/>
      <c r="D859" s="87"/>
      <c r="F859" s="86"/>
      <c r="H859" s="72"/>
    </row>
    <row r="860" spans="1:8">
      <c r="A860" s="41"/>
      <c r="D860" s="87"/>
      <c r="F860" s="86"/>
      <c r="H860" s="72"/>
    </row>
    <row r="861" spans="1:8">
      <c r="A861" s="41"/>
      <c r="D861" s="87"/>
      <c r="F861" s="86"/>
      <c r="H861" s="72"/>
    </row>
    <row r="862" spans="1:8">
      <c r="A862" s="41"/>
      <c r="D862" s="87"/>
      <c r="F862" s="86"/>
      <c r="H862" s="72"/>
    </row>
    <row r="863" spans="1:8">
      <c r="A863" s="41"/>
      <c r="D863" s="87"/>
      <c r="F863" s="86"/>
      <c r="H863" s="72"/>
    </row>
    <row r="864" spans="1:8">
      <c r="A864" s="41"/>
      <c r="D864" s="87"/>
      <c r="F864" s="86"/>
      <c r="H864" s="72"/>
    </row>
    <row r="865" spans="1:8">
      <c r="A865" s="41"/>
      <c r="D865" s="87"/>
      <c r="F865" s="86"/>
      <c r="H865" s="72"/>
    </row>
    <row r="866" spans="1:8">
      <c r="A866" s="41"/>
      <c r="D866" s="87"/>
      <c r="F866" s="86"/>
      <c r="H866" s="72"/>
    </row>
    <row r="867" spans="1:8">
      <c r="A867" s="41"/>
      <c r="D867" s="87"/>
      <c r="F867" s="86"/>
      <c r="H867" s="72"/>
    </row>
    <row r="868" spans="1:8">
      <c r="A868" s="41"/>
      <c r="D868" s="87"/>
      <c r="F868" s="86"/>
      <c r="H868" s="72"/>
    </row>
    <row r="869" spans="1:8">
      <c r="A869" s="52"/>
      <c r="D869" s="87"/>
      <c r="F869" s="86"/>
      <c r="H869" s="72"/>
    </row>
    <row r="870" spans="1:8">
      <c r="D870" s="87"/>
      <c r="F870" s="86"/>
      <c r="H870" s="72"/>
    </row>
    <row r="871" spans="1:8">
      <c r="D871" s="87"/>
      <c r="F871" s="86"/>
      <c r="H871" s="72"/>
    </row>
    <row r="872" spans="1:8">
      <c r="D872" s="87"/>
      <c r="F872" s="86"/>
      <c r="H872" s="72"/>
    </row>
    <row r="873" spans="1:8">
      <c r="A873" s="36"/>
      <c r="D873" s="87"/>
      <c r="F873" s="86"/>
      <c r="H873" s="72"/>
    </row>
    <row r="874" spans="1:8">
      <c r="A874" s="36"/>
      <c r="D874" s="87"/>
      <c r="F874" s="86"/>
      <c r="H874" s="72"/>
    </row>
    <row r="875" spans="1:8">
      <c r="A875" s="41"/>
      <c r="D875" s="87"/>
      <c r="F875" s="86"/>
      <c r="H875" s="72"/>
    </row>
    <row r="876" spans="1:8">
      <c r="A876" s="41"/>
      <c r="D876" s="87"/>
      <c r="F876" s="86"/>
      <c r="H876" s="72"/>
    </row>
    <row r="877" spans="1:8">
      <c r="A877" s="41"/>
      <c r="D877" s="87"/>
      <c r="F877" s="86"/>
      <c r="H877" s="72"/>
    </row>
    <row r="878" spans="1:8">
      <c r="A878" s="41"/>
      <c r="D878" s="87"/>
      <c r="F878" s="86"/>
      <c r="H878" s="72"/>
    </row>
    <row r="879" spans="1:8">
      <c r="A879" s="41"/>
      <c r="D879" s="87"/>
      <c r="F879" s="86"/>
      <c r="H879" s="72"/>
    </row>
    <row r="880" spans="1:8">
      <c r="A880" s="41"/>
      <c r="D880" s="87"/>
      <c r="F880" s="86"/>
      <c r="H880" s="72"/>
    </row>
    <row r="881" spans="1:8">
      <c r="A881" s="41"/>
      <c r="D881" s="87"/>
      <c r="F881" s="86"/>
      <c r="H881" s="72"/>
    </row>
    <row r="882" spans="1:8">
      <c r="A882" s="41"/>
      <c r="D882" s="87"/>
      <c r="F882" s="86"/>
      <c r="H882" s="72"/>
    </row>
    <row r="883" spans="1:8">
      <c r="A883" s="41"/>
      <c r="D883" s="87"/>
      <c r="F883" s="86"/>
      <c r="H883" s="72"/>
    </row>
    <row r="884" spans="1:8">
      <c r="A884" s="41"/>
      <c r="D884" s="87"/>
      <c r="F884" s="86"/>
      <c r="H884" s="72"/>
    </row>
    <row r="885" spans="1:8">
      <c r="A885" s="41"/>
      <c r="D885" s="87"/>
      <c r="F885" s="86"/>
      <c r="H885" s="72"/>
    </row>
    <row r="886" spans="1:8">
      <c r="A886" s="41"/>
      <c r="D886" s="87"/>
      <c r="F886" s="86"/>
      <c r="H886" s="72"/>
    </row>
    <row r="887" spans="1:8">
      <c r="A887" s="41"/>
      <c r="D887" s="87"/>
      <c r="F887" s="86"/>
      <c r="H887" s="72"/>
    </row>
    <row r="888" spans="1:8">
      <c r="A888" s="41"/>
      <c r="D888" s="87"/>
      <c r="F888" s="86"/>
      <c r="H888" s="72"/>
    </row>
    <row r="889" spans="1:8">
      <c r="A889" s="41"/>
      <c r="D889" s="87"/>
      <c r="F889" s="86"/>
      <c r="H889" s="72"/>
    </row>
    <row r="890" spans="1:8">
      <c r="A890" s="41"/>
      <c r="D890" s="87"/>
      <c r="F890" s="86"/>
      <c r="H890" s="72"/>
    </row>
    <row r="891" spans="1:8">
      <c r="A891" s="41"/>
      <c r="D891" s="87"/>
      <c r="F891" s="86"/>
      <c r="H891" s="72"/>
    </row>
    <row r="892" spans="1:8">
      <c r="A892" s="41"/>
      <c r="D892" s="87"/>
      <c r="F892" s="86"/>
      <c r="H892" s="72"/>
    </row>
    <row r="893" spans="1:8">
      <c r="A893" s="41"/>
      <c r="D893" s="87"/>
      <c r="F893" s="86"/>
      <c r="H893" s="72"/>
    </row>
    <row r="894" spans="1:8">
      <c r="A894" s="41"/>
      <c r="D894" s="87"/>
      <c r="F894" s="86"/>
      <c r="H894" s="72"/>
    </row>
    <row r="895" spans="1:8">
      <c r="A895" s="41"/>
      <c r="D895" s="87"/>
      <c r="F895" s="86"/>
      <c r="H895" s="72"/>
    </row>
    <row r="896" spans="1:8">
      <c r="A896" s="41"/>
      <c r="D896" s="87"/>
      <c r="F896" s="86"/>
      <c r="H896" s="72"/>
    </row>
    <row r="897" spans="1:8">
      <c r="A897" s="41"/>
      <c r="D897" s="87"/>
      <c r="F897" s="86"/>
      <c r="H897" s="72"/>
    </row>
    <row r="898" spans="1:8">
      <c r="A898" s="41"/>
      <c r="D898" s="87"/>
      <c r="F898" s="86"/>
      <c r="H898" s="72"/>
    </row>
    <row r="899" spans="1:8">
      <c r="A899" s="41"/>
      <c r="D899" s="87"/>
      <c r="F899" s="86"/>
      <c r="H899" s="72"/>
    </row>
    <row r="900" spans="1:8">
      <c r="A900" s="41"/>
      <c r="D900" s="87"/>
      <c r="F900" s="86"/>
      <c r="H900" s="72"/>
    </row>
    <row r="901" spans="1:8">
      <c r="A901" s="41"/>
      <c r="D901" s="87"/>
      <c r="F901" s="86"/>
      <c r="H901" s="72"/>
    </row>
    <row r="902" spans="1:8">
      <c r="A902" s="41"/>
      <c r="D902" s="87"/>
      <c r="F902" s="86"/>
      <c r="H902" s="72"/>
    </row>
    <row r="903" spans="1:8">
      <c r="A903" s="41"/>
      <c r="D903" s="87"/>
      <c r="F903" s="86"/>
      <c r="H903" s="72"/>
    </row>
    <row r="904" spans="1:8">
      <c r="A904" s="41"/>
      <c r="D904" s="87"/>
      <c r="F904" s="86"/>
      <c r="H904" s="72"/>
    </row>
    <row r="905" spans="1:8">
      <c r="A905" s="41"/>
      <c r="D905" s="87"/>
      <c r="F905" s="86"/>
      <c r="H905" s="72"/>
    </row>
    <row r="906" spans="1:8">
      <c r="A906" s="41"/>
      <c r="D906" s="87"/>
      <c r="F906" s="86"/>
      <c r="H906" s="72"/>
    </row>
    <row r="907" spans="1:8">
      <c r="A907" s="41"/>
      <c r="D907" s="87"/>
      <c r="F907" s="86"/>
      <c r="H907" s="72"/>
    </row>
    <row r="908" spans="1:8">
      <c r="A908" s="41"/>
      <c r="D908" s="87"/>
      <c r="F908" s="86"/>
      <c r="H908" s="72"/>
    </row>
    <row r="909" spans="1:8">
      <c r="A909" s="41"/>
      <c r="D909" s="87"/>
      <c r="F909" s="86"/>
      <c r="H909" s="72"/>
    </row>
    <row r="910" spans="1:8">
      <c r="A910" s="41"/>
      <c r="D910" s="87"/>
      <c r="F910" s="86"/>
      <c r="H910" s="72"/>
    </row>
    <row r="911" spans="1:8">
      <c r="A911" s="41"/>
      <c r="D911" s="87"/>
      <c r="F911" s="86"/>
      <c r="H911" s="72"/>
    </row>
    <row r="912" spans="1:8">
      <c r="A912" s="41"/>
      <c r="D912" s="87"/>
      <c r="F912" s="86"/>
      <c r="H912" s="72"/>
    </row>
    <row r="913" spans="1:8">
      <c r="A913" s="41"/>
      <c r="D913" s="87"/>
      <c r="F913" s="86"/>
      <c r="H913" s="72"/>
    </row>
    <row r="914" spans="1:8">
      <c r="A914" s="41"/>
      <c r="D914" s="87"/>
      <c r="F914" s="86"/>
      <c r="H914" s="72"/>
    </row>
    <row r="915" spans="1:8">
      <c r="A915" s="41"/>
      <c r="D915" s="87"/>
      <c r="F915" s="86"/>
      <c r="H915" s="72"/>
    </row>
    <row r="916" spans="1:8">
      <c r="A916" s="41"/>
      <c r="D916" s="87"/>
      <c r="F916" s="86"/>
      <c r="H916" s="72"/>
    </row>
    <row r="917" spans="1:8">
      <c r="A917" s="41"/>
      <c r="D917" s="87"/>
      <c r="F917" s="86"/>
      <c r="H917" s="72"/>
    </row>
    <row r="918" spans="1:8">
      <c r="A918" s="41"/>
      <c r="D918" s="87"/>
      <c r="F918" s="86"/>
      <c r="H918" s="72"/>
    </row>
    <row r="919" spans="1:8">
      <c r="A919" s="41"/>
      <c r="D919" s="87"/>
      <c r="F919" s="86"/>
      <c r="H919" s="72"/>
    </row>
    <row r="920" spans="1:8">
      <c r="A920" s="41"/>
      <c r="D920" s="87"/>
      <c r="F920" s="86"/>
      <c r="H920" s="72"/>
    </row>
    <row r="921" spans="1:8">
      <c r="A921" s="41"/>
      <c r="D921" s="87"/>
      <c r="F921" s="86"/>
      <c r="H921" s="72"/>
    </row>
    <row r="922" spans="1:8">
      <c r="A922" s="41"/>
      <c r="D922" s="87"/>
      <c r="F922" s="86"/>
      <c r="H922" s="72"/>
    </row>
    <row r="923" spans="1:8">
      <c r="A923" s="41"/>
      <c r="D923" s="87"/>
      <c r="F923" s="86"/>
      <c r="H923" s="72"/>
    </row>
    <row r="924" spans="1:8">
      <c r="A924" s="41"/>
      <c r="D924" s="87"/>
      <c r="F924" s="86"/>
      <c r="H924" s="72"/>
    </row>
    <row r="925" spans="1:8">
      <c r="A925" s="41"/>
      <c r="D925" s="87"/>
      <c r="F925" s="86"/>
      <c r="H925" s="72"/>
    </row>
    <row r="926" spans="1:8">
      <c r="A926" s="41"/>
      <c r="D926" s="87"/>
      <c r="F926" s="86"/>
      <c r="H926" s="72"/>
    </row>
    <row r="927" spans="1:8">
      <c r="A927" s="41"/>
      <c r="D927" s="87"/>
      <c r="F927" s="86"/>
      <c r="H927" s="72"/>
    </row>
    <row r="928" spans="1:8">
      <c r="A928" s="41"/>
      <c r="D928" s="87"/>
      <c r="F928" s="86"/>
      <c r="H928" s="72"/>
    </row>
    <row r="929" spans="1:8">
      <c r="A929" s="41"/>
      <c r="D929" s="87"/>
      <c r="F929" s="86"/>
      <c r="H929" s="72"/>
    </row>
    <row r="930" spans="1:8">
      <c r="A930" s="41"/>
      <c r="D930" s="87"/>
      <c r="F930" s="86"/>
      <c r="H930" s="72"/>
    </row>
    <row r="931" spans="1:8">
      <c r="A931" s="41"/>
      <c r="D931" s="87"/>
      <c r="F931" s="86"/>
      <c r="H931" s="72"/>
    </row>
    <row r="932" spans="1:8">
      <c r="A932" s="41"/>
      <c r="D932" s="87"/>
      <c r="F932" s="86"/>
      <c r="H932" s="72"/>
    </row>
    <row r="933" spans="1:8">
      <c r="A933" s="41"/>
      <c r="D933" s="87"/>
      <c r="F933" s="86"/>
      <c r="H933" s="72"/>
    </row>
    <row r="934" spans="1:8">
      <c r="A934" s="41"/>
      <c r="D934" s="87"/>
      <c r="F934" s="86"/>
      <c r="H934" s="72"/>
    </row>
    <row r="935" spans="1:8">
      <c r="A935" s="41"/>
      <c r="D935" s="87"/>
      <c r="F935" s="86"/>
      <c r="H935" s="72"/>
    </row>
    <row r="936" spans="1:8">
      <c r="A936" s="41"/>
      <c r="D936" s="87"/>
      <c r="F936" s="86"/>
      <c r="H936" s="72"/>
    </row>
    <row r="937" spans="1:8">
      <c r="A937" s="41"/>
      <c r="D937" s="87"/>
      <c r="F937" s="86"/>
      <c r="H937" s="72"/>
    </row>
    <row r="938" spans="1:8">
      <c r="A938" s="41"/>
      <c r="D938" s="87"/>
      <c r="F938" s="86"/>
      <c r="H938" s="72"/>
    </row>
    <row r="939" spans="1:8">
      <c r="A939" s="41"/>
      <c r="D939" s="87"/>
      <c r="F939" s="86"/>
      <c r="H939" s="72"/>
    </row>
    <row r="940" spans="1:8">
      <c r="A940" s="41"/>
      <c r="D940" s="87"/>
      <c r="F940" s="86"/>
      <c r="H940" s="72"/>
    </row>
    <row r="941" spans="1:8">
      <c r="A941" s="41"/>
      <c r="D941" s="87"/>
      <c r="F941" s="86"/>
      <c r="H941" s="72"/>
    </row>
    <row r="942" spans="1:8">
      <c r="A942" s="52"/>
      <c r="D942" s="87"/>
      <c r="F942" s="86"/>
      <c r="H942" s="72"/>
    </row>
    <row r="943" spans="1:8">
      <c r="D943" s="87"/>
      <c r="F943" s="86"/>
      <c r="H943" s="72"/>
    </row>
    <row r="944" spans="1:8">
      <c r="D944" s="87"/>
      <c r="F944" s="86"/>
      <c r="H944" s="72"/>
    </row>
    <row r="945" spans="4:8">
      <c r="D945" s="87"/>
      <c r="F945" s="86"/>
      <c r="H945" s="72"/>
    </row>
    <row r="946" spans="4:8">
      <c r="D946" s="87"/>
      <c r="F946" s="86"/>
      <c r="H946" s="72"/>
    </row>
    <row r="947" spans="4:8">
      <c r="D947" s="87"/>
      <c r="F947" s="86"/>
      <c r="H947" s="72"/>
    </row>
    <row r="948" spans="4:8">
      <c r="D948" s="87"/>
      <c r="F948" s="86"/>
      <c r="H948" s="72"/>
    </row>
    <row r="949" spans="4:8">
      <c r="D949" s="87"/>
      <c r="F949" s="86"/>
      <c r="H949" s="72"/>
    </row>
    <row r="950" spans="4:8">
      <c r="D950" s="87"/>
      <c r="F950" s="86"/>
      <c r="H950" s="72"/>
    </row>
    <row r="951" spans="4:8">
      <c r="D951" s="87"/>
      <c r="F951" s="86"/>
      <c r="H951" s="72"/>
    </row>
    <row r="952" spans="4:8">
      <c r="D952" s="87"/>
      <c r="F952" s="86"/>
      <c r="H952" s="72"/>
    </row>
    <row r="953" spans="4:8">
      <c r="D953" s="87"/>
      <c r="F953" s="86"/>
      <c r="H953" s="72"/>
    </row>
    <row r="954" spans="4:8">
      <c r="D954" s="87"/>
      <c r="F954" s="86"/>
      <c r="H954" s="72"/>
    </row>
    <row r="955" spans="4:8">
      <c r="D955" s="87"/>
      <c r="F955" s="86"/>
      <c r="H955" s="72"/>
    </row>
    <row r="956" spans="4:8">
      <c r="D956" s="87"/>
      <c r="F956" s="86"/>
      <c r="H956" s="72"/>
    </row>
    <row r="957" spans="4:8">
      <c r="D957" s="87"/>
      <c r="F957" s="86"/>
      <c r="H957" s="72"/>
    </row>
    <row r="958" spans="4:8">
      <c r="D958" s="87"/>
      <c r="F958" s="86"/>
      <c r="H958" s="72"/>
    </row>
    <row r="959" spans="4:8">
      <c r="D959" s="87"/>
      <c r="F959" s="86"/>
      <c r="H959" s="72"/>
    </row>
    <row r="960" spans="4:8">
      <c r="D960" s="87"/>
      <c r="F960" s="86"/>
      <c r="H960" s="72"/>
    </row>
    <row r="961" spans="4:8">
      <c r="D961" s="87"/>
      <c r="F961" s="86"/>
      <c r="H961" s="72"/>
    </row>
    <row r="962" spans="4:8">
      <c r="D962" s="87"/>
      <c r="F962" s="86"/>
      <c r="H962" s="72"/>
    </row>
    <row r="963" spans="4:8">
      <c r="D963" s="87"/>
      <c r="F963" s="86"/>
      <c r="H963" s="72"/>
    </row>
    <row r="964" spans="4:8">
      <c r="D964" s="87"/>
      <c r="F964" s="86"/>
      <c r="H964" s="72"/>
    </row>
    <row r="965" spans="4:8">
      <c r="D965" s="87"/>
      <c r="F965" s="86"/>
      <c r="H965" s="72"/>
    </row>
    <row r="966" spans="4:8">
      <c r="D966" s="87"/>
      <c r="F966" s="86"/>
      <c r="H966" s="72"/>
    </row>
    <row r="967" spans="4:8">
      <c r="D967" s="87"/>
      <c r="F967" s="86"/>
      <c r="H967" s="72"/>
    </row>
    <row r="968" spans="4:8">
      <c r="D968" s="87"/>
      <c r="F968" s="86"/>
      <c r="H968" s="72"/>
    </row>
    <row r="969" spans="4:8">
      <c r="D969" s="87"/>
      <c r="F969" s="86"/>
      <c r="H969" s="72"/>
    </row>
    <row r="970" spans="4:8">
      <c r="D970" s="87"/>
      <c r="F970" s="86"/>
      <c r="H970" s="72"/>
    </row>
    <row r="971" spans="4:8">
      <c r="D971" s="87"/>
      <c r="F971" s="86"/>
      <c r="H971" s="72"/>
    </row>
    <row r="972" spans="4:8">
      <c r="D972" s="87"/>
      <c r="F972" s="86"/>
      <c r="H972" s="72"/>
    </row>
    <row r="973" spans="4:8">
      <c r="D973" s="87"/>
      <c r="F973" s="86"/>
      <c r="H973" s="72"/>
    </row>
    <row r="974" spans="4:8">
      <c r="D974" s="87"/>
      <c r="F974" s="86"/>
      <c r="H974" s="72"/>
    </row>
    <row r="975" spans="4:8">
      <c r="D975" s="87"/>
      <c r="F975" s="86"/>
      <c r="H975" s="72"/>
    </row>
    <row r="976" spans="4:8">
      <c r="D976" s="87"/>
      <c r="F976" s="86"/>
      <c r="H976" s="72"/>
    </row>
    <row r="977" spans="4:8">
      <c r="D977" s="87"/>
      <c r="F977" s="86"/>
      <c r="H977" s="72"/>
    </row>
    <row r="978" spans="4:8">
      <c r="D978" s="87"/>
      <c r="F978" s="86"/>
      <c r="H978" s="72"/>
    </row>
    <row r="979" spans="4:8">
      <c r="D979" s="87"/>
      <c r="F979" s="86"/>
      <c r="H979" s="72"/>
    </row>
    <row r="980" spans="4:8">
      <c r="D980" s="87"/>
      <c r="F980" s="86"/>
      <c r="H980" s="72"/>
    </row>
    <row r="981" spans="4:8">
      <c r="D981" s="87"/>
      <c r="F981" s="86"/>
      <c r="H981" s="72"/>
    </row>
    <row r="982" spans="4:8">
      <c r="D982" s="87"/>
      <c r="F982" s="86"/>
      <c r="H982" s="72"/>
    </row>
    <row r="983" spans="4:8">
      <c r="D983" s="87"/>
      <c r="F983" s="86"/>
      <c r="H983" s="72"/>
    </row>
    <row r="984" spans="4:8">
      <c r="D984" s="87"/>
      <c r="F984" s="86"/>
      <c r="H984" s="72"/>
    </row>
    <row r="985" spans="4:8">
      <c r="D985" s="87"/>
      <c r="F985" s="86"/>
      <c r="H985" s="72"/>
    </row>
    <row r="986" spans="4:8">
      <c r="D986" s="87"/>
      <c r="F986" s="86"/>
      <c r="H986" s="72"/>
    </row>
    <row r="987" spans="4:8">
      <c r="D987" s="87"/>
      <c r="F987" s="86"/>
      <c r="H987" s="72"/>
    </row>
    <row r="988" spans="4:8">
      <c r="D988" s="87"/>
      <c r="F988" s="86"/>
      <c r="H988" s="72"/>
    </row>
    <row r="989" spans="4:8">
      <c r="D989" s="87"/>
      <c r="F989" s="86"/>
      <c r="H989" s="72"/>
    </row>
    <row r="990" spans="4:8">
      <c r="D990" s="87"/>
      <c r="F990" s="86"/>
      <c r="H990" s="72"/>
    </row>
    <row r="991" spans="4:8">
      <c r="D991" s="87"/>
      <c r="F991" s="86"/>
      <c r="H991" s="72"/>
    </row>
    <row r="992" spans="4:8">
      <c r="D992" s="87"/>
      <c r="F992" s="86"/>
      <c r="H992" s="72"/>
    </row>
    <row r="993" spans="4:8">
      <c r="D993" s="87"/>
      <c r="F993" s="86"/>
      <c r="H993" s="72"/>
    </row>
    <row r="994" spans="4:8">
      <c r="D994" s="87"/>
      <c r="F994" s="86"/>
      <c r="H994" s="72"/>
    </row>
    <row r="995" spans="4:8">
      <c r="D995" s="87"/>
      <c r="F995" s="86"/>
      <c r="H995" s="72"/>
    </row>
    <row r="996" spans="4:8">
      <c r="D996" s="87"/>
      <c r="F996" s="86"/>
      <c r="H996" s="7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BH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" customHeight="1"/>
  <cols>
    <col min="1" max="3" width="11.5" customWidth="1"/>
    <col min="4" max="4" width="16.33203125" customWidth="1"/>
    <col min="5" max="5" width="15.33203125" customWidth="1"/>
    <col min="6" max="7" width="15.83203125" customWidth="1"/>
    <col min="8" max="9" width="11.5" customWidth="1"/>
    <col min="10" max="10" width="13.5" customWidth="1"/>
    <col min="11" max="11" width="11.5" customWidth="1"/>
    <col min="12" max="12" width="15.6640625" customWidth="1"/>
    <col min="13" max="14" width="11.5" customWidth="1"/>
    <col min="15" max="15" width="14.5" customWidth="1"/>
    <col min="16" max="18" width="15.5" customWidth="1"/>
    <col min="19" max="19" width="13.5" customWidth="1"/>
    <col min="20" max="30" width="11.5" customWidth="1"/>
    <col min="31" max="55" width="13.6640625" customWidth="1"/>
    <col min="56" max="60" width="11.5" customWidth="1"/>
  </cols>
  <sheetData>
    <row r="1" spans="1:60" ht="32.25" customHeight="1">
      <c r="A1" s="258" t="s">
        <v>301</v>
      </c>
      <c r="B1" s="259" t="s">
        <v>302</v>
      </c>
      <c r="C1" s="260"/>
      <c r="D1" s="259" t="s">
        <v>303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0"/>
      <c r="BD1" s="262" t="s">
        <v>304</v>
      </c>
      <c r="BE1" s="256" t="s">
        <v>305</v>
      </c>
      <c r="BF1" s="256" t="s">
        <v>306</v>
      </c>
      <c r="BG1" s="256" t="s">
        <v>307</v>
      </c>
      <c r="BH1" s="256" t="s">
        <v>308</v>
      </c>
    </row>
    <row r="2" spans="1:60" ht="38.25" customHeight="1">
      <c r="A2" s="257"/>
      <c r="B2" s="140" t="s">
        <v>256</v>
      </c>
      <c r="C2" s="140" t="s">
        <v>204</v>
      </c>
      <c r="D2" s="140" t="s">
        <v>205</v>
      </c>
      <c r="E2" s="140" t="s">
        <v>206</v>
      </c>
      <c r="F2" s="140" t="s">
        <v>207</v>
      </c>
      <c r="G2" s="140" t="s">
        <v>208</v>
      </c>
      <c r="H2" s="140" t="s">
        <v>209</v>
      </c>
      <c r="I2" s="140" t="s">
        <v>210</v>
      </c>
      <c r="J2" s="140" t="s">
        <v>211</v>
      </c>
      <c r="K2" s="140" t="s">
        <v>212</v>
      </c>
      <c r="L2" s="140" t="s">
        <v>213</v>
      </c>
      <c r="M2" s="140" t="s">
        <v>214</v>
      </c>
      <c r="N2" s="140" t="s">
        <v>215</v>
      </c>
      <c r="O2" s="140" t="s">
        <v>216</v>
      </c>
      <c r="P2" s="140" t="s">
        <v>216</v>
      </c>
      <c r="Q2" s="140" t="s">
        <v>217</v>
      </c>
      <c r="R2" s="140" t="s">
        <v>218</v>
      </c>
      <c r="S2" s="140" t="s">
        <v>219</v>
      </c>
      <c r="T2" s="140" t="s">
        <v>220</v>
      </c>
      <c r="U2" s="140" t="s">
        <v>221</v>
      </c>
      <c r="V2" s="140" t="s">
        <v>222</v>
      </c>
      <c r="W2" s="140" t="s">
        <v>223</v>
      </c>
      <c r="X2" s="140" t="s">
        <v>224</v>
      </c>
      <c r="Y2" s="140" t="s">
        <v>225</v>
      </c>
      <c r="Z2" s="140" t="s">
        <v>226</v>
      </c>
      <c r="AA2" s="140" t="s">
        <v>227</v>
      </c>
      <c r="AB2" s="140" t="s">
        <v>228</v>
      </c>
      <c r="AC2" s="140" t="s">
        <v>229</v>
      </c>
      <c r="AD2" s="140" t="s">
        <v>230</v>
      </c>
      <c r="AE2" s="140" t="s">
        <v>231</v>
      </c>
      <c r="AF2" s="140" t="s">
        <v>232</v>
      </c>
      <c r="AG2" s="140" t="s">
        <v>233</v>
      </c>
      <c r="AH2" s="140" t="s">
        <v>234</v>
      </c>
      <c r="AI2" s="140" t="s">
        <v>235</v>
      </c>
      <c r="AJ2" s="140" t="s">
        <v>236</v>
      </c>
      <c r="AK2" s="140" t="s">
        <v>237</v>
      </c>
      <c r="AL2" s="140" t="s">
        <v>238</v>
      </c>
      <c r="AM2" s="140" t="s">
        <v>239</v>
      </c>
      <c r="AN2" s="140" t="s">
        <v>240</v>
      </c>
      <c r="AO2" s="140" t="s">
        <v>241</v>
      </c>
      <c r="AP2" s="140" t="s">
        <v>242</v>
      </c>
      <c r="AQ2" s="140" t="s">
        <v>243</v>
      </c>
      <c r="AR2" s="140" t="s">
        <v>244</v>
      </c>
      <c r="AS2" s="140" t="s">
        <v>245</v>
      </c>
      <c r="AT2" s="140" t="s">
        <v>246</v>
      </c>
      <c r="AU2" s="140" t="s">
        <v>247</v>
      </c>
      <c r="AV2" s="140" t="s">
        <v>248</v>
      </c>
      <c r="AW2" s="140" t="s">
        <v>249</v>
      </c>
      <c r="AX2" s="140" t="s">
        <v>250</v>
      </c>
      <c r="AY2" s="140" t="s">
        <v>251</v>
      </c>
      <c r="AZ2" s="140" t="s">
        <v>252</v>
      </c>
      <c r="BA2" s="140" t="s">
        <v>253</v>
      </c>
      <c r="BB2" s="140" t="s">
        <v>254</v>
      </c>
      <c r="BC2" s="140" t="s">
        <v>255</v>
      </c>
      <c r="BD2" s="257"/>
      <c r="BE2" s="257"/>
      <c r="BF2" s="257"/>
      <c r="BG2" s="257"/>
      <c r="BH2" s="257"/>
    </row>
    <row r="3" spans="1:60" ht="30" customHeight="1">
      <c r="A3" s="141" t="s">
        <v>309</v>
      </c>
      <c r="B3" s="142">
        <v>16800</v>
      </c>
      <c r="C3" s="142">
        <v>23000</v>
      </c>
      <c r="D3" s="142">
        <v>30000</v>
      </c>
      <c r="E3" s="142">
        <v>1600</v>
      </c>
      <c r="F3" s="143"/>
      <c r="G3" s="142">
        <v>27358</v>
      </c>
      <c r="H3" s="143"/>
      <c r="I3" s="142">
        <v>120360</v>
      </c>
      <c r="J3" s="142">
        <v>6600</v>
      </c>
      <c r="K3" s="142">
        <v>10000</v>
      </c>
      <c r="L3" s="142"/>
      <c r="M3" s="143">
        <v>7000</v>
      </c>
      <c r="N3" s="142">
        <v>3120</v>
      </c>
      <c r="O3" s="143">
        <f>3290+4300</f>
        <v>7590</v>
      </c>
      <c r="P3" s="143"/>
      <c r="Q3" s="143"/>
      <c r="R3" s="143"/>
      <c r="S3" s="143">
        <v>3000</v>
      </c>
      <c r="T3" s="142">
        <v>7000</v>
      </c>
      <c r="U3" s="142">
        <v>6000</v>
      </c>
      <c r="V3" s="142">
        <v>9000</v>
      </c>
      <c r="W3" s="143"/>
      <c r="X3" s="142"/>
      <c r="Y3" s="143"/>
      <c r="Z3" s="142"/>
      <c r="AA3" s="143"/>
      <c r="AB3" s="143"/>
      <c r="AC3" s="143"/>
      <c r="AD3" s="142"/>
      <c r="AE3" s="143"/>
      <c r="AF3" s="142"/>
      <c r="AG3" s="143"/>
      <c r="AH3" s="143"/>
      <c r="AI3" s="143"/>
      <c r="AJ3" s="143"/>
      <c r="AK3" s="143"/>
      <c r="AL3" s="143">
        <v>30000</v>
      </c>
      <c r="AM3" s="142"/>
      <c r="AN3" s="142"/>
      <c r="AO3" s="142"/>
      <c r="AP3" s="142">
        <v>7000</v>
      </c>
      <c r="AQ3" s="142"/>
      <c r="AR3" s="142"/>
      <c r="AS3" s="142">
        <v>11900</v>
      </c>
      <c r="AT3" s="142"/>
      <c r="AU3" s="142"/>
      <c r="AV3" s="143"/>
      <c r="AW3" s="142"/>
      <c r="AX3" s="142"/>
      <c r="AY3" s="142"/>
      <c r="AZ3" s="142"/>
      <c r="BA3" s="142"/>
      <c r="BB3" s="142"/>
      <c r="BC3" s="142"/>
      <c r="BD3" s="144">
        <f t="shared" ref="BD3:BD5" si="0">SUM(B3:BC3)</f>
        <v>327328</v>
      </c>
      <c r="BE3" s="144">
        <f t="shared" ref="BE3:BE14" si="1">SUM(B3:C3)</f>
        <v>39800</v>
      </c>
      <c r="BF3" s="144">
        <f t="shared" ref="BF3:BF14" si="2">BD3-BE3</f>
        <v>287528</v>
      </c>
      <c r="BG3" s="145">
        <v>25022</v>
      </c>
      <c r="BH3" s="144">
        <f t="shared" ref="BH3:BH14" si="3">BD3+BG3</f>
        <v>352350</v>
      </c>
    </row>
    <row r="4" spans="1:60" ht="30" customHeight="1">
      <c r="A4" s="141" t="s">
        <v>310</v>
      </c>
      <c r="B4" s="142">
        <v>15600</v>
      </c>
      <c r="C4" s="142">
        <v>23000</v>
      </c>
      <c r="D4" s="142">
        <v>30000</v>
      </c>
      <c r="E4" s="142">
        <v>1600</v>
      </c>
      <c r="F4" s="143"/>
      <c r="G4" s="142">
        <v>22358</v>
      </c>
      <c r="H4" s="143"/>
      <c r="I4" s="142">
        <v>120360</v>
      </c>
      <c r="J4" s="142">
        <v>6600</v>
      </c>
      <c r="K4" s="142">
        <v>10000</v>
      </c>
      <c r="L4" s="142"/>
      <c r="M4" s="143"/>
      <c r="N4" s="142">
        <v>2020</v>
      </c>
      <c r="O4" s="143"/>
      <c r="P4" s="143"/>
      <c r="Q4" s="143"/>
      <c r="R4" s="143"/>
      <c r="S4" s="143">
        <v>3000</v>
      </c>
      <c r="T4" s="142">
        <v>7000</v>
      </c>
      <c r="U4" s="142">
        <v>6000</v>
      </c>
      <c r="V4" s="142">
        <v>9000</v>
      </c>
      <c r="W4" s="143"/>
      <c r="X4" s="142"/>
      <c r="Y4" s="143"/>
      <c r="Z4" s="142"/>
      <c r="AA4" s="143"/>
      <c r="AB4" s="143"/>
      <c r="AC4" s="143"/>
      <c r="AD4" s="142"/>
      <c r="AE4" s="143"/>
      <c r="AF4" s="142"/>
      <c r="AG4" s="143"/>
      <c r="AH4" s="143"/>
      <c r="AI4" s="143"/>
      <c r="AJ4" s="143"/>
      <c r="AK4" s="143"/>
      <c r="AL4" s="143">
        <v>10000</v>
      </c>
      <c r="AM4" s="142"/>
      <c r="AN4" s="142"/>
      <c r="AO4" s="142"/>
      <c r="AP4" s="142">
        <v>7000</v>
      </c>
      <c r="AQ4" s="142"/>
      <c r="AR4" s="142"/>
      <c r="AS4" s="142"/>
      <c r="AT4" s="142"/>
      <c r="AU4" s="142"/>
      <c r="AV4" s="143"/>
      <c r="AW4" s="142"/>
      <c r="AX4" s="142"/>
      <c r="AY4" s="142"/>
      <c r="AZ4" s="142"/>
      <c r="BA4" s="142"/>
      <c r="BB4" s="142"/>
      <c r="BC4" s="142"/>
      <c r="BD4" s="144">
        <f t="shared" si="0"/>
        <v>273538</v>
      </c>
      <c r="BE4" s="144">
        <f t="shared" si="1"/>
        <v>38600</v>
      </c>
      <c r="BF4" s="144">
        <f t="shared" si="2"/>
        <v>234938</v>
      </c>
      <c r="BG4" s="145">
        <v>26272</v>
      </c>
      <c r="BH4" s="144">
        <f t="shared" si="3"/>
        <v>299810</v>
      </c>
    </row>
    <row r="5" spans="1:60" ht="30" customHeight="1">
      <c r="A5" s="141" t="s">
        <v>311</v>
      </c>
      <c r="B5" s="142">
        <v>18000</v>
      </c>
      <c r="C5" s="142">
        <v>18000</v>
      </c>
      <c r="D5" s="142">
        <v>30000</v>
      </c>
      <c r="E5" s="142">
        <v>1600</v>
      </c>
      <c r="F5" s="143"/>
      <c r="G5" s="142">
        <v>27969</v>
      </c>
      <c r="H5" s="143"/>
      <c r="I5" s="142">
        <v>120360</v>
      </c>
      <c r="J5" s="142">
        <v>6600</v>
      </c>
      <c r="K5" s="142">
        <v>20000</v>
      </c>
      <c r="L5" s="143"/>
      <c r="M5" s="143"/>
      <c r="N5" s="143"/>
      <c r="O5" s="142"/>
      <c r="P5" s="143"/>
      <c r="Q5" s="143"/>
      <c r="R5" s="143"/>
      <c r="S5" s="143">
        <v>3000</v>
      </c>
      <c r="T5" s="146">
        <v>7000</v>
      </c>
      <c r="U5" s="142">
        <v>6000</v>
      </c>
      <c r="V5" s="142">
        <v>9000</v>
      </c>
      <c r="W5" s="143"/>
      <c r="X5" s="142"/>
      <c r="Y5" s="143"/>
      <c r="Z5" s="143"/>
      <c r="AA5" s="142"/>
      <c r="AB5" s="143"/>
      <c r="AC5" s="143"/>
      <c r="AD5" s="143"/>
      <c r="AE5" s="143"/>
      <c r="AF5" s="142">
        <v>3300</v>
      </c>
      <c r="AG5" s="143"/>
      <c r="AH5" s="143"/>
      <c r="AI5" s="143"/>
      <c r="AJ5" s="143"/>
      <c r="AK5" s="143"/>
      <c r="AL5" s="143">
        <v>5000</v>
      </c>
      <c r="AM5" s="143"/>
      <c r="AN5" s="143"/>
      <c r="AO5" s="143"/>
      <c r="AP5" s="143">
        <v>7000</v>
      </c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>
        <v>3661</v>
      </c>
      <c r="BD5" s="144">
        <f t="shared" si="0"/>
        <v>286490</v>
      </c>
      <c r="BE5" s="144">
        <f t="shared" si="1"/>
        <v>36000</v>
      </c>
      <c r="BF5" s="144">
        <f t="shared" si="2"/>
        <v>250490</v>
      </c>
      <c r="BG5" s="145">
        <v>26272</v>
      </c>
      <c r="BH5" s="144">
        <f t="shared" si="3"/>
        <v>312762</v>
      </c>
    </row>
    <row r="6" spans="1:60" ht="30" customHeight="1">
      <c r="A6" s="141" t="s">
        <v>312</v>
      </c>
      <c r="B6" s="142">
        <v>16800</v>
      </c>
      <c r="C6" s="142">
        <v>23000</v>
      </c>
      <c r="D6" s="142">
        <v>30000</v>
      </c>
      <c r="E6" s="142">
        <v>1600</v>
      </c>
      <c r="F6" s="143"/>
      <c r="G6" s="142">
        <v>29359</v>
      </c>
      <c r="H6" s="143"/>
      <c r="I6" s="142">
        <v>151040</v>
      </c>
      <c r="J6" s="142">
        <v>6600</v>
      </c>
      <c r="K6" s="142">
        <v>10000</v>
      </c>
      <c r="L6" s="143">
        <v>28980</v>
      </c>
      <c r="M6" s="142"/>
      <c r="N6" s="142"/>
      <c r="O6" s="143"/>
      <c r="P6" s="143"/>
      <c r="Q6" s="143"/>
      <c r="R6" s="143"/>
      <c r="S6" s="143">
        <v>3000</v>
      </c>
      <c r="T6" s="146">
        <v>7000</v>
      </c>
      <c r="U6" s="142">
        <v>6000</v>
      </c>
      <c r="V6" s="142">
        <v>9000</v>
      </c>
      <c r="W6" s="143"/>
      <c r="X6" s="143"/>
      <c r="Y6" s="143"/>
      <c r="Z6" s="143"/>
      <c r="AA6" s="143"/>
      <c r="AB6" s="143"/>
      <c r="AC6" s="143"/>
      <c r="AD6" s="143"/>
      <c r="AE6" s="143"/>
      <c r="AF6" s="142">
        <v>3300</v>
      </c>
      <c r="AG6" s="143"/>
      <c r="AH6" s="143"/>
      <c r="AI6" s="143"/>
      <c r="AJ6" s="143"/>
      <c r="AK6" s="142"/>
      <c r="AL6" s="143">
        <v>5000</v>
      </c>
      <c r="AM6" s="143"/>
      <c r="AN6" s="143"/>
      <c r="AO6" s="143"/>
      <c r="AP6" s="143">
        <v>7000</v>
      </c>
      <c r="AQ6" s="143"/>
      <c r="AR6" s="143"/>
      <c r="AS6" s="143"/>
      <c r="AT6" s="143"/>
      <c r="AU6" s="143"/>
      <c r="AV6" s="143"/>
      <c r="AW6" s="143"/>
      <c r="AX6" s="143"/>
      <c r="AY6" s="143">
        <v>6000</v>
      </c>
      <c r="BA6" s="147"/>
      <c r="BB6" s="147"/>
      <c r="BC6" s="143"/>
      <c r="BD6" s="144">
        <f>SUM(B6:BC6)</f>
        <v>343679</v>
      </c>
      <c r="BE6" s="144">
        <f t="shared" si="1"/>
        <v>39800</v>
      </c>
      <c r="BF6" s="144">
        <f t="shared" si="2"/>
        <v>303879</v>
      </c>
      <c r="BG6" s="146">
        <v>26272</v>
      </c>
      <c r="BH6" s="144">
        <f t="shared" si="3"/>
        <v>369951</v>
      </c>
    </row>
    <row r="7" spans="1:60" ht="30" customHeight="1">
      <c r="A7" s="141" t="s">
        <v>313</v>
      </c>
      <c r="B7" s="142">
        <v>15600</v>
      </c>
      <c r="C7" s="146">
        <v>23100</v>
      </c>
      <c r="D7" s="146">
        <v>30000</v>
      </c>
      <c r="E7" s="146">
        <v>1600</v>
      </c>
      <c r="F7" s="142"/>
      <c r="G7" s="146">
        <v>29960</v>
      </c>
      <c r="H7" s="143"/>
      <c r="I7" s="142">
        <v>151040</v>
      </c>
      <c r="J7" s="146">
        <v>6600</v>
      </c>
      <c r="K7" s="146">
        <v>10000</v>
      </c>
      <c r="L7" s="143"/>
      <c r="M7" s="143"/>
      <c r="N7" s="143"/>
      <c r="O7" s="143">
        <f>25000</f>
        <v>25000</v>
      </c>
      <c r="P7" s="148">
        <v>5750</v>
      </c>
      <c r="Q7" s="143"/>
      <c r="R7" s="142"/>
      <c r="S7" s="148">
        <v>3000</v>
      </c>
      <c r="T7" s="146">
        <v>7000</v>
      </c>
      <c r="U7" s="146">
        <v>6000</v>
      </c>
      <c r="V7" s="146">
        <v>9000</v>
      </c>
      <c r="W7" s="143"/>
      <c r="X7" s="143"/>
      <c r="Y7" s="143"/>
      <c r="Z7" s="143"/>
      <c r="AA7" s="143"/>
      <c r="AB7" s="143"/>
      <c r="AC7" s="143"/>
      <c r="AD7" s="143"/>
      <c r="AE7" s="143"/>
      <c r="AF7" s="148">
        <v>4800</v>
      </c>
      <c r="AG7" s="143"/>
      <c r="AH7" s="143"/>
      <c r="AI7" s="143"/>
      <c r="AJ7" s="143"/>
      <c r="AK7" s="143"/>
      <c r="AL7" s="143">
        <v>5000</v>
      </c>
      <c r="AM7" s="142"/>
      <c r="AN7" s="142"/>
      <c r="AO7" s="142"/>
      <c r="AP7" s="143">
        <v>7000</v>
      </c>
      <c r="AQ7" s="143"/>
      <c r="AR7" s="148">
        <v>2500</v>
      </c>
      <c r="AS7" s="143"/>
      <c r="AT7" s="143"/>
      <c r="AU7" s="143"/>
      <c r="AV7" s="143"/>
      <c r="AW7" s="143"/>
      <c r="AX7" s="143"/>
      <c r="AY7" s="143"/>
      <c r="AZ7" s="143">
        <v>30019</v>
      </c>
      <c r="BA7" s="143"/>
      <c r="BB7" s="143"/>
      <c r="BC7" s="143"/>
      <c r="BD7" s="144">
        <f t="shared" ref="BD7:BD15" si="4">SUM(B7:BC7)</f>
        <v>372969</v>
      </c>
      <c r="BE7" s="144">
        <f t="shared" si="1"/>
        <v>38700</v>
      </c>
      <c r="BF7" s="144">
        <f t="shared" si="2"/>
        <v>334269</v>
      </c>
      <c r="BG7" s="146">
        <v>26272</v>
      </c>
      <c r="BH7" s="144">
        <f t="shared" si="3"/>
        <v>399241</v>
      </c>
    </row>
    <row r="8" spans="1:60" ht="30" customHeight="1">
      <c r="A8" s="141" t="s">
        <v>314</v>
      </c>
      <c r="B8" s="143">
        <v>12000</v>
      </c>
      <c r="C8" s="143">
        <v>18200</v>
      </c>
      <c r="D8" s="143">
        <v>30000</v>
      </c>
      <c r="E8" s="143">
        <v>1600</v>
      </c>
      <c r="F8" s="143"/>
      <c r="G8" s="143">
        <v>33186</v>
      </c>
      <c r="H8" s="143"/>
      <c r="I8" s="143">
        <v>151040</v>
      </c>
      <c r="J8" s="142">
        <v>6600</v>
      </c>
      <c r="K8" s="142">
        <v>10000</v>
      </c>
      <c r="L8" s="143"/>
      <c r="M8" s="143"/>
      <c r="N8" s="143"/>
      <c r="O8" s="143">
        <v>15300</v>
      </c>
      <c r="P8" s="143">
        <v>4300</v>
      </c>
      <c r="Q8" s="143"/>
      <c r="R8" s="143"/>
      <c r="S8" s="143">
        <v>3000</v>
      </c>
      <c r="T8" s="143">
        <v>7000</v>
      </c>
      <c r="U8" s="142">
        <v>6000</v>
      </c>
      <c r="V8" s="142">
        <v>9000</v>
      </c>
      <c r="W8" s="143"/>
      <c r="X8" s="143"/>
      <c r="Y8" s="143"/>
      <c r="Z8" s="143"/>
      <c r="AA8" s="143"/>
      <c r="AB8" s="143"/>
      <c r="AC8" s="143"/>
      <c r="AD8" s="143"/>
      <c r="AE8" s="143"/>
      <c r="AF8" s="142">
        <v>3300</v>
      </c>
      <c r="AG8" s="143"/>
      <c r="AH8" s="143"/>
      <c r="AI8" s="143"/>
      <c r="AJ8" s="143"/>
      <c r="AK8" s="143"/>
      <c r="AM8" s="143"/>
      <c r="AN8" s="143"/>
      <c r="AO8" s="142"/>
      <c r="AP8" s="143"/>
      <c r="AQ8" s="143"/>
      <c r="AR8" s="143"/>
      <c r="AS8" s="143">
        <v>100</v>
      </c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>
        <f t="shared" si="4"/>
        <v>310626</v>
      </c>
      <c r="BE8" s="144">
        <f t="shared" si="1"/>
        <v>30200</v>
      </c>
      <c r="BF8" s="144">
        <f t="shared" si="2"/>
        <v>280426</v>
      </c>
      <c r="BG8" s="145">
        <v>26272</v>
      </c>
      <c r="BH8" s="144">
        <f t="shared" si="3"/>
        <v>336898</v>
      </c>
    </row>
    <row r="9" spans="1:60" ht="30" customHeight="1">
      <c r="A9" s="141" t="s">
        <v>315</v>
      </c>
      <c r="B9" s="143">
        <v>14400</v>
      </c>
      <c r="C9" s="143">
        <v>20600</v>
      </c>
      <c r="D9" s="143">
        <v>30000</v>
      </c>
      <c r="E9" s="143">
        <v>1600</v>
      </c>
      <c r="F9" s="143"/>
      <c r="G9" s="143">
        <v>26454</v>
      </c>
      <c r="H9" s="143"/>
      <c r="I9" s="143">
        <v>151040</v>
      </c>
      <c r="J9" s="143">
        <v>6600</v>
      </c>
      <c r="K9" s="143">
        <v>10000</v>
      </c>
      <c r="L9" s="143">
        <v>83398</v>
      </c>
      <c r="M9" s="143">
        <v>5800</v>
      </c>
      <c r="N9" s="143"/>
      <c r="O9" s="143"/>
      <c r="P9" s="143"/>
      <c r="Q9" s="143"/>
      <c r="R9" s="143"/>
      <c r="S9" s="143">
        <v>3000</v>
      </c>
      <c r="T9" s="143">
        <v>7000</v>
      </c>
      <c r="U9" s="143">
        <v>6000</v>
      </c>
      <c r="V9" s="143">
        <v>9000</v>
      </c>
      <c r="W9" s="143"/>
      <c r="X9" s="143"/>
      <c r="Y9" s="143"/>
      <c r="Z9" s="143"/>
      <c r="AA9" s="143"/>
      <c r="AB9" s="143"/>
      <c r="AC9" s="143"/>
      <c r="AD9" s="143"/>
      <c r="AE9" s="143"/>
      <c r="AF9" s="143">
        <v>3300</v>
      </c>
      <c r="AG9" s="143"/>
      <c r="AH9" s="143"/>
      <c r="AI9" s="143"/>
      <c r="AJ9" s="143"/>
      <c r="AK9" s="143"/>
      <c r="AL9" s="143">
        <v>10000</v>
      </c>
      <c r="AM9" s="143"/>
      <c r="AN9" s="143"/>
      <c r="AO9" s="143"/>
      <c r="AP9" s="143"/>
      <c r="AQ9" s="143"/>
      <c r="AR9" s="143"/>
      <c r="AS9" s="143"/>
      <c r="AT9" s="143">
        <v>6300</v>
      </c>
      <c r="AU9" s="143"/>
      <c r="AV9" s="143"/>
      <c r="AW9" s="143"/>
      <c r="AX9" s="143"/>
      <c r="AY9" s="143"/>
      <c r="AZ9" s="143"/>
      <c r="BA9" s="143"/>
      <c r="BB9" s="143"/>
      <c r="BC9" s="143">
        <f>4309+1367+3127</f>
        <v>8803</v>
      </c>
      <c r="BD9" s="144">
        <f t="shared" si="4"/>
        <v>403295</v>
      </c>
      <c r="BE9" s="144">
        <f t="shared" si="1"/>
        <v>35000</v>
      </c>
      <c r="BF9" s="144">
        <f t="shared" si="2"/>
        <v>368295</v>
      </c>
      <c r="BG9" s="145">
        <v>26272</v>
      </c>
      <c r="BH9" s="144">
        <f t="shared" si="3"/>
        <v>429567</v>
      </c>
    </row>
    <row r="10" spans="1:60" ht="30" customHeight="1">
      <c r="A10" s="141" t="s">
        <v>316</v>
      </c>
      <c r="B10" s="142">
        <v>18000</v>
      </c>
      <c r="C10" s="143">
        <v>21800</v>
      </c>
      <c r="D10" s="143">
        <v>30000</v>
      </c>
      <c r="E10" s="143">
        <v>1600</v>
      </c>
      <c r="F10" s="143"/>
      <c r="G10" s="143">
        <v>29632</v>
      </c>
      <c r="H10" s="143"/>
      <c r="I10" s="143">
        <v>151040</v>
      </c>
      <c r="J10" s="143">
        <v>6600</v>
      </c>
      <c r="K10" s="143">
        <v>10000</v>
      </c>
      <c r="L10" s="143">
        <v>87990</v>
      </c>
      <c r="M10" s="143"/>
      <c r="N10" s="143"/>
      <c r="O10" s="143"/>
      <c r="P10" s="143"/>
      <c r="Q10" s="143"/>
      <c r="R10" s="143">
        <v>13000</v>
      </c>
      <c r="S10" s="143">
        <v>3000</v>
      </c>
      <c r="T10" s="143">
        <v>7000</v>
      </c>
      <c r="U10" s="143">
        <v>7000</v>
      </c>
      <c r="V10" s="143">
        <v>10000</v>
      </c>
      <c r="W10" s="143">
        <v>15000</v>
      </c>
      <c r="X10" s="143"/>
      <c r="Y10" s="143"/>
      <c r="Z10" s="143"/>
      <c r="AA10" s="143"/>
      <c r="AB10" s="143"/>
      <c r="AC10" s="143"/>
      <c r="AD10" s="143"/>
      <c r="AE10" s="143"/>
      <c r="AF10" s="143">
        <v>3300</v>
      </c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>
        <v>10000</v>
      </c>
      <c r="BB10" s="143">
        <v>4800</v>
      </c>
      <c r="BC10" s="143"/>
      <c r="BD10" s="144">
        <f t="shared" si="4"/>
        <v>429762</v>
      </c>
      <c r="BE10" s="144">
        <f t="shared" si="1"/>
        <v>39800</v>
      </c>
      <c r="BF10" s="144">
        <f t="shared" si="2"/>
        <v>389962</v>
      </c>
      <c r="BG10" s="145">
        <v>26272</v>
      </c>
      <c r="BH10" s="144">
        <f t="shared" si="3"/>
        <v>456034</v>
      </c>
    </row>
    <row r="11" spans="1:60" ht="30" customHeight="1">
      <c r="A11" s="141" t="s">
        <v>317</v>
      </c>
      <c r="B11" s="143">
        <v>18000</v>
      </c>
      <c r="C11" s="143">
        <v>21800</v>
      </c>
      <c r="D11" s="143">
        <v>30000</v>
      </c>
      <c r="E11" s="143">
        <v>1600</v>
      </c>
      <c r="F11" s="143"/>
      <c r="G11" s="143">
        <v>28784</v>
      </c>
      <c r="H11" s="143"/>
      <c r="I11" s="143">
        <v>151040</v>
      </c>
      <c r="J11" s="143">
        <v>6600</v>
      </c>
      <c r="K11" s="143">
        <v>10000</v>
      </c>
      <c r="L11" s="143"/>
      <c r="M11" s="143"/>
      <c r="N11" s="143"/>
      <c r="O11" s="143"/>
      <c r="P11" s="143"/>
      <c r="Q11" s="143"/>
      <c r="R11" s="143">
        <v>17000</v>
      </c>
      <c r="S11" s="143">
        <v>3000</v>
      </c>
      <c r="T11" s="143">
        <v>7000</v>
      </c>
      <c r="U11" s="143">
        <v>7000</v>
      </c>
      <c r="V11" s="143">
        <v>10000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143">
        <v>3300</v>
      </c>
      <c r="AG11" s="143"/>
      <c r="AH11" s="143"/>
      <c r="AI11" s="143"/>
      <c r="AJ11" s="143"/>
      <c r="AK11" s="143"/>
      <c r="AL11" s="143">
        <v>10000</v>
      </c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4">
        <f t="shared" si="4"/>
        <v>325124</v>
      </c>
      <c r="BE11" s="144">
        <f t="shared" si="1"/>
        <v>39800</v>
      </c>
      <c r="BF11" s="144">
        <f t="shared" si="2"/>
        <v>285324</v>
      </c>
      <c r="BG11" s="145">
        <v>26272</v>
      </c>
      <c r="BH11" s="144">
        <f t="shared" si="3"/>
        <v>351396</v>
      </c>
    </row>
    <row r="12" spans="1:60" ht="30" customHeight="1">
      <c r="A12" s="141" t="s">
        <v>318</v>
      </c>
      <c r="B12" s="143">
        <v>18000</v>
      </c>
      <c r="C12" s="143">
        <v>23000</v>
      </c>
      <c r="D12" s="143">
        <v>30000</v>
      </c>
      <c r="E12" s="143">
        <v>1600</v>
      </c>
      <c r="F12" s="143"/>
      <c r="G12" s="143">
        <v>30667</v>
      </c>
      <c r="H12" s="143"/>
      <c r="I12" s="143">
        <v>151040</v>
      </c>
      <c r="J12" s="143">
        <v>6600</v>
      </c>
      <c r="K12" s="143">
        <v>10000</v>
      </c>
      <c r="L12" s="143"/>
      <c r="M12" s="143"/>
      <c r="N12" s="143"/>
      <c r="O12" s="143"/>
      <c r="P12" s="143"/>
      <c r="Q12" s="143"/>
      <c r="R12" s="143"/>
      <c r="S12" s="143">
        <v>3000</v>
      </c>
      <c r="T12" s="143">
        <v>7000</v>
      </c>
      <c r="U12" s="143">
        <v>7000</v>
      </c>
      <c r="V12" s="143">
        <v>10000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143">
        <f>3300+8500</f>
        <v>11800</v>
      </c>
      <c r="AG12" s="143"/>
      <c r="AH12" s="143"/>
      <c r="AI12" s="143"/>
      <c r="AJ12" s="143"/>
      <c r="AK12" s="143"/>
      <c r="AL12" s="143">
        <v>5000</v>
      </c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>
        <f>3198+3127</f>
        <v>6325</v>
      </c>
      <c r="BD12" s="144">
        <f t="shared" si="4"/>
        <v>321032</v>
      </c>
      <c r="BE12" s="144">
        <f t="shared" si="1"/>
        <v>41000</v>
      </c>
      <c r="BF12" s="144">
        <f t="shared" si="2"/>
        <v>280032</v>
      </c>
      <c r="BG12" s="145">
        <v>26272</v>
      </c>
      <c r="BH12" s="144">
        <f t="shared" si="3"/>
        <v>347304</v>
      </c>
    </row>
    <row r="13" spans="1:60" ht="30" customHeight="1">
      <c r="A13" s="141" t="s">
        <v>319</v>
      </c>
      <c r="B13" s="143">
        <v>16800</v>
      </c>
      <c r="C13" s="143">
        <v>21900</v>
      </c>
      <c r="D13" s="143">
        <v>30000</v>
      </c>
      <c r="E13" s="143">
        <v>1600</v>
      </c>
      <c r="F13" s="143"/>
      <c r="G13" s="143">
        <v>27160</v>
      </c>
      <c r="H13" s="143"/>
      <c r="I13" s="143">
        <v>151040</v>
      </c>
      <c r="J13" s="143">
        <v>6600</v>
      </c>
      <c r="K13" s="143">
        <v>10000</v>
      </c>
      <c r="L13" s="143"/>
      <c r="M13" s="143"/>
      <c r="N13" s="143"/>
      <c r="O13" s="143"/>
      <c r="P13" s="143"/>
      <c r="Q13" s="143"/>
      <c r="R13" s="143"/>
      <c r="S13" s="143">
        <v>3000</v>
      </c>
      <c r="T13" s="143">
        <v>7000</v>
      </c>
      <c r="U13" s="143">
        <v>7000</v>
      </c>
      <c r="V13" s="143">
        <v>10000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143">
        <v>3300</v>
      </c>
      <c r="AG13" s="143"/>
      <c r="AH13" s="143"/>
      <c r="AI13" s="143"/>
      <c r="AJ13" s="143"/>
      <c r="AK13" s="143"/>
      <c r="AL13" s="143">
        <v>5000</v>
      </c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4">
        <f t="shared" si="4"/>
        <v>300400</v>
      </c>
      <c r="BE13" s="144">
        <f t="shared" si="1"/>
        <v>38700</v>
      </c>
      <c r="BF13" s="144">
        <f t="shared" si="2"/>
        <v>261700</v>
      </c>
      <c r="BG13" s="145">
        <v>26272</v>
      </c>
      <c r="BH13" s="144">
        <f t="shared" si="3"/>
        <v>326672</v>
      </c>
    </row>
    <row r="14" spans="1:60" ht="30" customHeight="1">
      <c r="A14" s="141" t="s">
        <v>320</v>
      </c>
      <c r="B14" s="143">
        <v>19200</v>
      </c>
      <c r="C14" s="143">
        <v>19200</v>
      </c>
      <c r="D14" s="143">
        <v>30000</v>
      </c>
      <c r="E14" s="143">
        <v>1600</v>
      </c>
      <c r="F14" s="143"/>
      <c r="G14" s="143">
        <v>30422</v>
      </c>
      <c r="H14" s="143"/>
      <c r="I14" s="143">
        <v>151040</v>
      </c>
      <c r="J14" s="143">
        <v>6600</v>
      </c>
      <c r="K14" s="143">
        <v>10000</v>
      </c>
      <c r="L14" s="143"/>
      <c r="M14" s="143"/>
      <c r="N14" s="143"/>
      <c r="O14" s="143"/>
      <c r="P14" s="143"/>
      <c r="Q14" s="143"/>
      <c r="R14" s="143"/>
      <c r="S14" s="143">
        <v>3000</v>
      </c>
      <c r="T14" s="143">
        <v>7000</v>
      </c>
      <c r="U14" s="143">
        <v>7000</v>
      </c>
      <c r="V14" s="143">
        <v>10000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143">
        <v>3300</v>
      </c>
      <c r="AG14" s="143"/>
      <c r="AH14" s="143"/>
      <c r="AI14" s="143"/>
      <c r="AJ14" s="143"/>
      <c r="AK14" s="143"/>
      <c r="AL14" s="143">
        <v>5000</v>
      </c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>
        <f>4575+3198</f>
        <v>7773</v>
      </c>
      <c r="BD14" s="144">
        <f t="shared" si="4"/>
        <v>311135</v>
      </c>
      <c r="BE14" s="144">
        <f t="shared" si="1"/>
        <v>38400</v>
      </c>
      <c r="BF14" s="144">
        <f t="shared" si="2"/>
        <v>272735</v>
      </c>
      <c r="BG14" s="145">
        <v>26272</v>
      </c>
      <c r="BH14" s="144">
        <f t="shared" si="3"/>
        <v>337407</v>
      </c>
    </row>
    <row r="15" spans="1:60" ht="30" customHeight="1">
      <c r="A15" s="149" t="s">
        <v>162</v>
      </c>
      <c r="B15" s="150">
        <f t="shared" ref="B15:E15" si="5">SUM(B3:B14)</f>
        <v>199200</v>
      </c>
      <c r="C15" s="150">
        <f t="shared" si="5"/>
        <v>256600</v>
      </c>
      <c r="D15" s="150">
        <f t="shared" si="5"/>
        <v>360000</v>
      </c>
      <c r="E15" s="150">
        <f t="shared" si="5"/>
        <v>19200</v>
      </c>
      <c r="F15" s="150"/>
      <c r="G15" s="150">
        <f>SUM(G3:G14)</f>
        <v>343309</v>
      </c>
      <c r="H15" s="150"/>
      <c r="I15" s="150">
        <f t="shared" ref="I15:L15" si="6">SUM(I3:I14)</f>
        <v>1720440</v>
      </c>
      <c r="J15" s="150">
        <f t="shared" si="6"/>
        <v>79200</v>
      </c>
      <c r="K15" s="150">
        <f t="shared" si="6"/>
        <v>130000</v>
      </c>
      <c r="L15" s="150">
        <f t="shared" si="6"/>
        <v>200368</v>
      </c>
      <c r="M15" s="150"/>
      <c r="N15" s="150">
        <f t="shared" ref="N15:O15" si="7">SUM(N3:N14)</f>
        <v>5140</v>
      </c>
      <c r="O15" s="150">
        <f t="shared" si="7"/>
        <v>47890</v>
      </c>
      <c r="P15" s="150"/>
      <c r="Q15" s="150">
        <f t="shared" ref="Q15:Z15" si="8">SUM(Q3:Q14)</f>
        <v>0</v>
      </c>
      <c r="R15" s="150">
        <f t="shared" si="8"/>
        <v>30000</v>
      </c>
      <c r="S15" s="150">
        <f t="shared" si="8"/>
        <v>36000</v>
      </c>
      <c r="T15" s="150">
        <f t="shared" si="8"/>
        <v>84000</v>
      </c>
      <c r="U15" s="150">
        <f t="shared" si="8"/>
        <v>77000</v>
      </c>
      <c r="V15" s="150">
        <f t="shared" si="8"/>
        <v>113000</v>
      </c>
      <c r="W15" s="150">
        <f t="shared" si="8"/>
        <v>15000</v>
      </c>
      <c r="X15" s="150">
        <f t="shared" si="8"/>
        <v>0</v>
      </c>
      <c r="Y15" s="150">
        <f t="shared" si="8"/>
        <v>0</v>
      </c>
      <c r="Z15" s="150">
        <f t="shared" si="8"/>
        <v>0</v>
      </c>
      <c r="AA15" s="150"/>
      <c r="AB15" s="150"/>
      <c r="AC15" s="150"/>
      <c r="AD15" s="150">
        <f>SUM(AD3:AD14)</f>
        <v>0</v>
      </c>
      <c r="AE15" s="150"/>
      <c r="AF15" s="150">
        <f>SUM(AF3:AF14)</f>
        <v>43000</v>
      </c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>
        <f>SUM(BC3:BC14)</f>
        <v>26562</v>
      </c>
      <c r="BD15" s="150">
        <f t="shared" si="4"/>
        <v>3785909</v>
      </c>
      <c r="BE15" s="151">
        <f t="shared" ref="BE15:BH15" si="9">SUM(BE3:BE14)</f>
        <v>455800</v>
      </c>
      <c r="BF15" s="151">
        <f t="shared" si="9"/>
        <v>3549578</v>
      </c>
      <c r="BG15" s="150">
        <f t="shared" si="9"/>
        <v>314014</v>
      </c>
      <c r="BH15" s="150">
        <f t="shared" si="9"/>
        <v>4319392</v>
      </c>
    </row>
    <row r="16" spans="1:60" ht="30" customHeight="1">
      <c r="A16" s="152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1:60" ht="30" customHeight="1">
      <c r="A17" s="152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1:60" ht="30" customHeight="1">
      <c r="A18" s="152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1:60" ht="30" customHeight="1">
      <c r="A19" s="152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1:60" ht="30" customHeight="1">
      <c r="A20" s="152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1:60" ht="30" customHeight="1">
      <c r="A21" s="152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1:60" ht="30" customHeight="1">
      <c r="A22" s="152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1:60" ht="30" customHeight="1">
      <c r="A23" s="152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1:60" ht="30" customHeight="1">
      <c r="A24" s="152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1:60" ht="30" customHeight="1">
      <c r="A25" s="152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1:60" ht="30" customHeight="1">
      <c r="A26" s="152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1:60" ht="30" customHeight="1">
      <c r="A27" s="152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1:60" ht="30" customHeight="1">
      <c r="A28" s="152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1:60" ht="30" customHeight="1">
      <c r="A29" s="152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1:60" ht="30" customHeight="1">
      <c r="A30" s="152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1:60" ht="30" customHeight="1">
      <c r="A31" s="152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</row>
    <row r="32" spans="1:60" ht="30" customHeight="1">
      <c r="A32" s="152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</row>
    <row r="33" spans="1:60" ht="30" customHeight="1">
      <c r="A33" s="152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</row>
    <row r="34" spans="1:60" ht="30" customHeight="1">
      <c r="A34" s="152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</row>
    <row r="35" spans="1:60" ht="30" customHeight="1">
      <c r="A35" s="152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</row>
    <row r="36" spans="1:60" ht="30" customHeight="1">
      <c r="A36" s="152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</row>
    <row r="37" spans="1:60" ht="30" customHeight="1">
      <c r="A37" s="152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</row>
    <row r="38" spans="1:60" ht="30" customHeight="1">
      <c r="A38" s="152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</row>
    <row r="39" spans="1:60" ht="30" customHeight="1">
      <c r="A39" s="152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</row>
    <row r="40" spans="1:60" ht="30" customHeight="1">
      <c r="A40" s="152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</row>
    <row r="41" spans="1:60" ht="30" customHeight="1">
      <c r="A41" s="152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</row>
    <row r="42" spans="1:60" ht="30" customHeight="1">
      <c r="A42" s="152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</row>
    <row r="43" spans="1:60" ht="30" customHeight="1">
      <c r="A43" s="152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</row>
    <row r="44" spans="1:60" ht="30" customHeight="1">
      <c r="A44" s="152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</row>
    <row r="45" spans="1:60" ht="30" customHeight="1">
      <c r="A45" s="152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</row>
    <row r="46" spans="1:60" ht="30" customHeight="1">
      <c r="A46" s="152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</row>
    <row r="47" spans="1:60" ht="30" customHeight="1">
      <c r="A47" s="152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</row>
    <row r="48" spans="1:60" ht="30" customHeight="1">
      <c r="A48" s="152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</row>
    <row r="49" spans="1:60" ht="30" customHeight="1">
      <c r="A49" s="152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</row>
    <row r="50" spans="1:60" ht="30" customHeight="1">
      <c r="A50" s="152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</row>
    <row r="51" spans="1:60" ht="30" customHeight="1">
      <c r="A51" s="15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</row>
    <row r="52" spans="1:60" ht="30" customHeight="1">
      <c r="A52" s="152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</row>
    <row r="53" spans="1:60" ht="30" customHeight="1">
      <c r="A53" s="152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</row>
    <row r="54" spans="1:60" ht="30" customHeight="1">
      <c r="A54" s="152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</row>
    <row r="55" spans="1:60" ht="30" customHeight="1">
      <c r="A55" s="152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</row>
    <row r="56" spans="1:60" ht="30" customHeight="1">
      <c r="A56" s="152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</row>
    <row r="57" spans="1:60" ht="30" customHeight="1">
      <c r="A57" s="152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</row>
    <row r="58" spans="1:60" ht="30" customHeight="1">
      <c r="A58" s="152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</row>
    <row r="59" spans="1:60" ht="30" customHeight="1">
      <c r="A59" s="152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</row>
    <row r="60" spans="1:60" ht="30" customHeight="1">
      <c r="A60" s="152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</row>
    <row r="61" spans="1:60" ht="30" customHeight="1">
      <c r="A61" s="152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</row>
    <row r="62" spans="1:60" ht="30" customHeight="1">
      <c r="A62" s="152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7"/>
      <c r="BH62" s="147"/>
    </row>
    <row r="63" spans="1:60" ht="30" customHeight="1">
      <c r="A63" s="152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</row>
    <row r="64" spans="1:60" ht="30" customHeight="1">
      <c r="A64" s="152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</row>
    <row r="65" spans="1:60" ht="30" customHeight="1">
      <c r="A65" s="152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</row>
    <row r="66" spans="1:60" ht="30" customHeight="1">
      <c r="A66" s="152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</row>
    <row r="67" spans="1:60" ht="30" customHeight="1">
      <c r="A67" s="152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</row>
    <row r="68" spans="1:60" ht="30" customHeight="1">
      <c r="A68" s="152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</row>
    <row r="69" spans="1:60" ht="30" customHeight="1">
      <c r="A69" s="152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</row>
    <row r="70" spans="1:60" ht="30" customHeight="1">
      <c r="A70" s="152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7"/>
      <c r="AT70" s="147"/>
      <c r="AU70" s="147"/>
      <c r="AV70" s="147"/>
      <c r="AW70" s="147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</row>
    <row r="71" spans="1:60" ht="30" customHeight="1">
      <c r="A71" s="152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</row>
    <row r="72" spans="1:60" ht="30" customHeight="1">
      <c r="A72" s="152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</row>
    <row r="73" spans="1:60" ht="30" customHeight="1">
      <c r="A73" s="152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</row>
    <row r="74" spans="1:60" ht="30" customHeight="1">
      <c r="A74" s="152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</row>
    <row r="75" spans="1:60" ht="30" customHeight="1">
      <c r="A75" s="152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</row>
    <row r="76" spans="1:60" ht="30" customHeight="1">
      <c r="A76" s="152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</row>
    <row r="77" spans="1:60" ht="30" customHeight="1">
      <c r="A77" s="152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30" customHeight="1">
      <c r="A78" s="152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30" customHeight="1">
      <c r="A79" s="152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</row>
    <row r="80" spans="1:60" ht="30" customHeight="1">
      <c r="A80" s="152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</row>
    <row r="81" spans="1:60" ht="30" customHeight="1">
      <c r="A81" s="152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</row>
    <row r="82" spans="1:60" ht="30" customHeight="1">
      <c r="A82" s="152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</row>
    <row r="83" spans="1:60" ht="30" customHeight="1">
      <c r="A83" s="152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7"/>
      <c r="AT83" s="147"/>
      <c r="AU83" s="147"/>
      <c r="AV83" s="147"/>
      <c r="AW83" s="147"/>
      <c r="AX83" s="147"/>
      <c r="AY83" s="147"/>
      <c r="AZ83" s="147"/>
      <c r="BA83" s="147"/>
      <c r="BB83" s="147"/>
      <c r="BC83" s="147"/>
      <c r="BD83" s="147"/>
      <c r="BE83" s="147"/>
      <c r="BF83" s="147"/>
      <c r="BG83" s="147"/>
      <c r="BH83" s="147"/>
    </row>
    <row r="84" spans="1:60" ht="30" customHeight="1">
      <c r="A84" s="152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47"/>
      <c r="BH84" s="147"/>
    </row>
    <row r="85" spans="1:60" ht="30" customHeight="1">
      <c r="A85" s="152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M85" s="147"/>
      <c r="AN85" s="147"/>
      <c r="AO85" s="147"/>
      <c r="AP85" s="147"/>
      <c r="AQ85" s="147"/>
      <c r="AR85" s="147"/>
      <c r="AS85" s="147"/>
      <c r="AT85" s="147"/>
      <c r="AU85" s="147"/>
      <c r="AV85" s="147"/>
      <c r="AW85" s="147"/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</row>
    <row r="86" spans="1:60" ht="30" customHeight="1">
      <c r="A86" s="152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</row>
    <row r="87" spans="1:60" ht="30" customHeight="1">
      <c r="A87" s="152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  <c r="BH87" s="147"/>
    </row>
    <row r="88" spans="1:60" ht="30" customHeight="1">
      <c r="A88" s="152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7"/>
      <c r="AT88" s="147"/>
      <c r="AU88" s="147"/>
      <c r="AV88" s="147"/>
      <c r="AW88" s="147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</row>
    <row r="89" spans="1:60" ht="30" customHeight="1">
      <c r="A89" s="152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/>
      <c r="AV89" s="147"/>
      <c r="AW89" s="147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</row>
    <row r="90" spans="1:60" ht="30" customHeight="1">
      <c r="A90" s="152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7"/>
      <c r="AT90" s="147"/>
      <c r="AU90" s="147"/>
      <c r="AV90" s="147"/>
      <c r="AW90" s="147"/>
      <c r="AX90" s="147"/>
      <c r="AY90" s="147"/>
      <c r="AZ90" s="147"/>
      <c r="BA90" s="147"/>
      <c r="BB90" s="147"/>
      <c r="BC90" s="147"/>
      <c r="BD90" s="147"/>
      <c r="BE90" s="147"/>
      <c r="BF90" s="147"/>
      <c r="BG90" s="147"/>
      <c r="BH90" s="147"/>
    </row>
    <row r="91" spans="1:60" ht="30" customHeight="1">
      <c r="A91" s="152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147"/>
    </row>
    <row r="92" spans="1:60" ht="30" customHeight="1">
      <c r="A92" s="152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147"/>
    </row>
    <row r="93" spans="1:60" ht="30" customHeight="1">
      <c r="A93" s="152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7"/>
      <c r="AZ93" s="147"/>
      <c r="BA93" s="147"/>
      <c r="BB93" s="147"/>
      <c r="BC93" s="147"/>
      <c r="BD93" s="147"/>
      <c r="BE93" s="147"/>
      <c r="BF93" s="147"/>
      <c r="BG93" s="147"/>
      <c r="BH93" s="147"/>
    </row>
    <row r="94" spans="1:60" ht="30" customHeight="1">
      <c r="A94" s="152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</row>
    <row r="95" spans="1:60" ht="30" customHeight="1">
      <c r="A95" s="152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7"/>
      <c r="AZ95" s="147"/>
      <c r="BA95" s="147"/>
      <c r="BB95" s="147"/>
      <c r="BC95" s="147"/>
      <c r="BD95" s="147"/>
      <c r="BE95" s="147"/>
      <c r="BF95" s="147"/>
      <c r="BG95" s="147"/>
      <c r="BH95" s="147"/>
    </row>
    <row r="96" spans="1:60" ht="30" customHeight="1">
      <c r="A96" s="152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</row>
    <row r="97" spans="1:60" ht="30" customHeight="1">
      <c r="A97" s="152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</row>
    <row r="98" spans="1:60" ht="30" customHeight="1">
      <c r="A98" s="152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  <c r="BA98" s="147"/>
      <c r="BB98" s="147"/>
      <c r="BC98" s="147"/>
      <c r="BD98" s="147"/>
      <c r="BE98" s="147"/>
      <c r="BF98" s="147"/>
      <c r="BG98" s="147"/>
      <c r="BH98" s="147"/>
    </row>
    <row r="99" spans="1:60" ht="30" customHeight="1">
      <c r="A99" s="152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/>
      <c r="AV99" s="147"/>
      <c r="AW99" s="147"/>
      <c r="AX99" s="147"/>
      <c r="AY99" s="147"/>
      <c r="AZ99" s="147"/>
      <c r="BA99" s="147"/>
      <c r="BB99" s="147"/>
      <c r="BC99" s="147"/>
      <c r="BD99" s="147"/>
      <c r="BE99" s="147"/>
      <c r="BF99" s="147"/>
      <c r="BG99" s="147"/>
      <c r="BH99" s="147"/>
    </row>
    <row r="100" spans="1:60" ht="30" customHeight="1">
      <c r="A100" s="152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  <c r="BA100" s="147"/>
      <c r="BB100" s="147"/>
      <c r="BC100" s="147"/>
      <c r="BD100" s="147"/>
      <c r="BE100" s="147"/>
      <c r="BF100" s="147"/>
      <c r="BG100" s="147"/>
      <c r="BH100" s="147"/>
    </row>
    <row r="101" spans="1:60" ht="30" customHeight="1">
      <c r="A101" s="152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  <c r="BA101" s="147"/>
      <c r="BB101" s="147"/>
      <c r="BC101" s="147"/>
      <c r="BD101" s="147"/>
      <c r="BE101" s="147"/>
      <c r="BF101" s="147"/>
      <c r="BG101" s="147"/>
      <c r="BH101" s="147"/>
    </row>
    <row r="102" spans="1:60" ht="30" customHeight="1">
      <c r="A102" s="152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7"/>
      <c r="AO102" s="147"/>
      <c r="AP102" s="147"/>
      <c r="AQ102" s="147"/>
      <c r="AR102" s="147"/>
      <c r="AS102" s="147"/>
      <c r="AT102" s="147"/>
      <c r="AU102" s="147"/>
      <c r="AV102" s="147"/>
      <c r="AW102" s="147"/>
      <c r="AX102" s="147"/>
      <c r="AY102" s="147"/>
      <c r="AZ102" s="147"/>
      <c r="BA102" s="147"/>
      <c r="BB102" s="147"/>
      <c r="BC102" s="147"/>
      <c r="BD102" s="147"/>
      <c r="BE102" s="147"/>
      <c r="BF102" s="147"/>
      <c r="BG102" s="147"/>
      <c r="BH102" s="147"/>
    </row>
    <row r="103" spans="1:60" ht="30" customHeight="1">
      <c r="A103" s="152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7"/>
      <c r="BG103" s="147"/>
      <c r="BH103" s="147"/>
    </row>
    <row r="104" spans="1:60" ht="30" customHeight="1">
      <c r="A104" s="152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</row>
    <row r="105" spans="1:60" ht="30" customHeight="1">
      <c r="A105" s="152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  <c r="BA105" s="147"/>
      <c r="BB105" s="147"/>
      <c r="BC105" s="147"/>
      <c r="BD105" s="147"/>
      <c r="BE105" s="147"/>
      <c r="BF105" s="147"/>
      <c r="BG105" s="147"/>
      <c r="BH105" s="147"/>
    </row>
    <row r="106" spans="1:60" ht="30" customHeight="1">
      <c r="A106" s="152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7"/>
      <c r="AZ106" s="147"/>
      <c r="BA106" s="147"/>
      <c r="BB106" s="147"/>
      <c r="BC106" s="147"/>
      <c r="BD106" s="147"/>
      <c r="BE106" s="147"/>
      <c r="BF106" s="147"/>
      <c r="BG106" s="147"/>
      <c r="BH106" s="147"/>
    </row>
    <row r="107" spans="1:60" ht="30" customHeight="1">
      <c r="A107" s="152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  <c r="BA107" s="147"/>
      <c r="BB107" s="147"/>
      <c r="BC107" s="147"/>
      <c r="BD107" s="147"/>
      <c r="BE107" s="147"/>
      <c r="BF107" s="147"/>
      <c r="BG107" s="147"/>
      <c r="BH107" s="147"/>
    </row>
    <row r="108" spans="1:60" ht="30" customHeight="1">
      <c r="A108" s="152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7"/>
      <c r="AZ108" s="147"/>
      <c r="BA108" s="147"/>
      <c r="BB108" s="147"/>
      <c r="BC108" s="147"/>
      <c r="BD108" s="147"/>
      <c r="BE108" s="147"/>
      <c r="BF108" s="147"/>
      <c r="BG108" s="147"/>
      <c r="BH108" s="147"/>
    </row>
    <row r="109" spans="1:60" ht="30" customHeight="1">
      <c r="A109" s="152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</row>
    <row r="110" spans="1:60" ht="30" customHeight="1">
      <c r="A110" s="152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7"/>
      <c r="AZ110" s="147"/>
      <c r="BA110" s="147"/>
      <c r="BB110" s="147"/>
      <c r="BC110" s="147"/>
      <c r="BD110" s="147"/>
      <c r="BE110" s="147"/>
      <c r="BF110" s="147"/>
      <c r="BG110" s="147"/>
      <c r="BH110" s="147"/>
    </row>
    <row r="111" spans="1:60" ht="30" customHeight="1">
      <c r="A111" s="152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  <c r="AM111" s="147"/>
      <c r="AN111" s="147"/>
      <c r="AO111" s="147"/>
      <c r="AP111" s="147"/>
      <c r="AQ111" s="147"/>
      <c r="AR111" s="147"/>
      <c r="AS111" s="147"/>
      <c r="AT111" s="147"/>
      <c r="AU111" s="147"/>
      <c r="AV111" s="147"/>
      <c r="AW111" s="147"/>
      <c r="AX111" s="147"/>
      <c r="AY111" s="147"/>
      <c r="AZ111" s="147"/>
      <c r="BA111" s="147"/>
      <c r="BB111" s="147"/>
      <c r="BC111" s="147"/>
      <c r="BD111" s="147"/>
      <c r="BE111" s="147"/>
      <c r="BF111" s="147"/>
      <c r="BG111" s="147"/>
      <c r="BH111" s="147"/>
    </row>
    <row r="112" spans="1:60" ht="30" customHeight="1">
      <c r="A112" s="152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S112" s="147"/>
      <c r="AT112" s="147"/>
      <c r="AU112" s="147"/>
      <c r="AV112" s="147"/>
      <c r="AW112" s="147"/>
      <c r="AX112" s="147"/>
      <c r="AY112" s="147"/>
      <c r="AZ112" s="147"/>
      <c r="BA112" s="147"/>
      <c r="BB112" s="147"/>
      <c r="BC112" s="147"/>
      <c r="BD112" s="147"/>
      <c r="BE112" s="147"/>
      <c r="BF112" s="147"/>
      <c r="BG112" s="147"/>
      <c r="BH112" s="147"/>
    </row>
    <row r="113" spans="1:60" ht="30" customHeight="1">
      <c r="A113" s="152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</row>
    <row r="114" spans="1:60" ht="30" customHeight="1">
      <c r="A114" s="152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  <c r="BA114" s="147"/>
      <c r="BB114" s="147"/>
      <c r="BC114" s="147"/>
      <c r="BD114" s="147"/>
      <c r="BE114" s="147"/>
      <c r="BF114" s="147"/>
      <c r="BG114" s="147"/>
      <c r="BH114" s="147"/>
    </row>
    <row r="115" spans="1:60" ht="30" customHeight="1">
      <c r="A115" s="152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147"/>
      <c r="BD115" s="147"/>
      <c r="BE115" s="147"/>
      <c r="BF115" s="147"/>
      <c r="BG115" s="147"/>
      <c r="BH115" s="147"/>
    </row>
    <row r="116" spans="1:60" ht="30" customHeight="1">
      <c r="A116" s="152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147"/>
      <c r="BD116" s="147"/>
      <c r="BE116" s="147"/>
      <c r="BF116" s="147"/>
      <c r="BG116" s="147"/>
      <c r="BH116" s="147"/>
    </row>
    <row r="117" spans="1:60" ht="30" customHeight="1">
      <c r="A117" s="152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</row>
    <row r="118" spans="1:60" ht="30" customHeight="1">
      <c r="A118" s="152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147"/>
      <c r="BD118" s="147"/>
      <c r="BE118" s="147"/>
      <c r="BF118" s="147"/>
      <c r="BG118" s="147"/>
      <c r="BH118" s="147"/>
    </row>
    <row r="119" spans="1:60" ht="30" customHeight="1">
      <c r="A119" s="152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</row>
    <row r="120" spans="1:60" ht="30" customHeight="1">
      <c r="A120" s="152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147"/>
      <c r="BD120" s="147"/>
      <c r="BE120" s="147"/>
      <c r="BF120" s="147"/>
      <c r="BG120" s="147"/>
      <c r="BH120" s="147"/>
    </row>
    <row r="121" spans="1:60" ht="30" customHeight="1">
      <c r="A121" s="152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147"/>
      <c r="BD121" s="147"/>
      <c r="BE121" s="147"/>
      <c r="BF121" s="147"/>
      <c r="BG121" s="147"/>
      <c r="BH121" s="147"/>
    </row>
    <row r="122" spans="1:60" ht="30" customHeight="1">
      <c r="A122" s="152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147"/>
      <c r="BD122" s="147"/>
      <c r="BE122" s="147"/>
      <c r="BF122" s="147"/>
      <c r="BG122" s="147"/>
      <c r="BH122" s="147"/>
    </row>
    <row r="123" spans="1:60" ht="30" customHeight="1">
      <c r="A123" s="152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147"/>
      <c r="BD123" s="147"/>
      <c r="BE123" s="147"/>
      <c r="BF123" s="147"/>
      <c r="BG123" s="147"/>
      <c r="BH123" s="147"/>
    </row>
    <row r="124" spans="1:60" ht="30" customHeight="1">
      <c r="A124" s="152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147"/>
      <c r="BD124" s="147"/>
      <c r="BE124" s="147"/>
      <c r="BF124" s="147"/>
      <c r="BG124" s="147"/>
      <c r="BH124" s="147"/>
    </row>
    <row r="125" spans="1:60" ht="30" customHeight="1">
      <c r="A125" s="152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147"/>
      <c r="BD125" s="147"/>
      <c r="BE125" s="147"/>
      <c r="BF125" s="147"/>
      <c r="BG125" s="147"/>
      <c r="BH125" s="147"/>
    </row>
    <row r="126" spans="1:60" ht="30" customHeight="1">
      <c r="A126" s="152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147"/>
      <c r="BD126" s="147"/>
      <c r="BE126" s="147"/>
      <c r="BF126" s="147"/>
      <c r="BG126" s="147"/>
      <c r="BH126" s="147"/>
    </row>
    <row r="127" spans="1:60" ht="30" customHeight="1">
      <c r="A127" s="152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  <c r="BA127" s="147"/>
      <c r="BB127" s="147"/>
      <c r="BC127" s="147"/>
      <c r="BD127" s="147"/>
      <c r="BE127" s="147"/>
      <c r="BF127" s="147"/>
      <c r="BG127" s="147"/>
      <c r="BH127" s="147"/>
    </row>
    <row r="128" spans="1:60" ht="30" customHeight="1">
      <c r="A128" s="152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47"/>
      <c r="AW128" s="147"/>
      <c r="AX128" s="147"/>
      <c r="AY128" s="147"/>
      <c r="AZ128" s="147"/>
      <c r="BA128" s="147"/>
      <c r="BB128" s="147"/>
      <c r="BC128" s="147"/>
      <c r="BD128" s="147"/>
      <c r="BE128" s="147"/>
      <c r="BF128" s="147"/>
      <c r="BG128" s="147"/>
      <c r="BH128" s="147"/>
    </row>
    <row r="129" spans="1:60" ht="30" customHeight="1">
      <c r="A129" s="152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  <c r="BA129" s="147"/>
      <c r="BB129" s="147"/>
      <c r="BC129" s="147"/>
      <c r="BD129" s="147"/>
      <c r="BE129" s="147"/>
      <c r="BF129" s="147"/>
      <c r="BG129" s="147"/>
      <c r="BH129" s="147"/>
    </row>
    <row r="130" spans="1:60" ht="30" customHeight="1">
      <c r="A130" s="152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</row>
    <row r="131" spans="1:60" ht="30" customHeight="1">
      <c r="A131" s="152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47"/>
      <c r="BD131" s="147"/>
      <c r="BE131" s="147"/>
      <c r="BF131" s="147"/>
      <c r="BG131" s="147"/>
      <c r="BH131" s="147"/>
    </row>
    <row r="132" spans="1:60" ht="30" customHeight="1">
      <c r="A132" s="152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147"/>
      <c r="BA132" s="147"/>
      <c r="BB132" s="147"/>
      <c r="BC132" s="147"/>
      <c r="BD132" s="147"/>
      <c r="BE132" s="147"/>
      <c r="BF132" s="147"/>
      <c r="BG132" s="147"/>
      <c r="BH132" s="147"/>
    </row>
    <row r="133" spans="1:60" ht="30" customHeight="1">
      <c r="A133" s="152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  <c r="BA133" s="147"/>
      <c r="BB133" s="147"/>
      <c r="BC133" s="147"/>
      <c r="BD133" s="147"/>
      <c r="BE133" s="147"/>
      <c r="BF133" s="147"/>
      <c r="BG133" s="147"/>
      <c r="BH133" s="147"/>
    </row>
    <row r="134" spans="1:60" ht="30" customHeight="1">
      <c r="A134" s="152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  <c r="BA134" s="147"/>
      <c r="BB134" s="147"/>
      <c r="BC134" s="147"/>
      <c r="BD134" s="147"/>
      <c r="BE134" s="147"/>
      <c r="BF134" s="147"/>
      <c r="BG134" s="147"/>
      <c r="BH134" s="147"/>
    </row>
    <row r="135" spans="1:60" ht="30" customHeight="1">
      <c r="A135" s="152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  <c r="BA135" s="147"/>
      <c r="BB135" s="147"/>
      <c r="BC135" s="147"/>
      <c r="BD135" s="147"/>
      <c r="BE135" s="147"/>
      <c r="BF135" s="147"/>
      <c r="BG135" s="147"/>
      <c r="BH135" s="147"/>
    </row>
    <row r="136" spans="1:60" ht="30" customHeight="1">
      <c r="A136" s="152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  <c r="BA136" s="147"/>
      <c r="BB136" s="147"/>
      <c r="BC136" s="147"/>
      <c r="BD136" s="147"/>
      <c r="BE136" s="147"/>
      <c r="BF136" s="147"/>
      <c r="BG136" s="147"/>
      <c r="BH136" s="147"/>
    </row>
    <row r="137" spans="1:60" ht="30" customHeight="1">
      <c r="A137" s="152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  <c r="AM137" s="147"/>
      <c r="AN137" s="147"/>
      <c r="AO137" s="147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147"/>
      <c r="BA137" s="147"/>
      <c r="BB137" s="147"/>
      <c r="BC137" s="147"/>
      <c r="BD137" s="147"/>
      <c r="BE137" s="147"/>
      <c r="BF137" s="147"/>
      <c r="BG137" s="147"/>
      <c r="BH137" s="147"/>
    </row>
    <row r="138" spans="1:60" ht="30" customHeight="1">
      <c r="A138" s="152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</row>
    <row r="139" spans="1:60" ht="30" customHeight="1">
      <c r="A139" s="152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  <c r="AM139" s="147"/>
      <c r="AN139" s="147"/>
      <c r="AO139" s="147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147"/>
      <c r="BA139" s="147"/>
      <c r="BB139" s="147"/>
      <c r="BC139" s="147"/>
      <c r="BD139" s="147"/>
      <c r="BE139" s="147"/>
      <c r="BF139" s="147"/>
      <c r="BG139" s="147"/>
      <c r="BH139" s="147"/>
    </row>
    <row r="140" spans="1:60" ht="30" customHeight="1">
      <c r="A140" s="152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  <c r="AM140" s="147"/>
      <c r="AN140" s="147"/>
      <c r="AO140" s="147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147"/>
      <c r="BA140" s="147"/>
      <c r="BB140" s="147"/>
      <c r="BC140" s="147"/>
      <c r="BD140" s="147"/>
      <c r="BE140" s="147"/>
      <c r="BF140" s="147"/>
      <c r="BG140" s="147"/>
      <c r="BH140" s="147"/>
    </row>
    <row r="141" spans="1:60" ht="30" customHeight="1">
      <c r="A141" s="152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  <c r="AN141" s="147"/>
      <c r="AO141" s="147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147"/>
      <c r="BA141" s="147"/>
      <c r="BB141" s="147"/>
      <c r="BC141" s="147"/>
      <c r="BD141" s="147"/>
      <c r="BE141" s="147"/>
      <c r="BF141" s="147"/>
      <c r="BG141" s="147"/>
      <c r="BH141" s="147"/>
    </row>
    <row r="142" spans="1:60" ht="30" customHeight="1">
      <c r="A142" s="152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  <c r="AJ142" s="147"/>
      <c r="AK142" s="147"/>
      <c r="AL142" s="147"/>
      <c r="AM142" s="147"/>
      <c r="AN142" s="147"/>
      <c r="AO142" s="147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147"/>
      <c r="BA142" s="147"/>
      <c r="BB142" s="147"/>
      <c r="BC142" s="147"/>
      <c r="BD142" s="147"/>
      <c r="BE142" s="147"/>
      <c r="BF142" s="147"/>
      <c r="BG142" s="147"/>
      <c r="BH142" s="147"/>
    </row>
    <row r="143" spans="1:60" ht="30" customHeight="1">
      <c r="A143" s="152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  <c r="AJ143" s="147"/>
      <c r="AK143" s="147"/>
      <c r="AL143" s="147"/>
      <c r="AM143" s="147"/>
      <c r="AN143" s="147"/>
      <c r="AO143" s="147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147"/>
      <c r="BA143" s="147"/>
      <c r="BB143" s="147"/>
      <c r="BC143" s="147"/>
      <c r="BD143" s="147"/>
      <c r="BE143" s="147"/>
      <c r="BF143" s="147"/>
      <c r="BG143" s="147"/>
      <c r="BH143" s="147"/>
    </row>
    <row r="144" spans="1:60" ht="30" customHeight="1">
      <c r="A144" s="152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  <c r="AJ144" s="147"/>
      <c r="AK144" s="147"/>
      <c r="AL144" s="147"/>
      <c r="AM144" s="147"/>
      <c r="AN144" s="147"/>
      <c r="AO144" s="147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147"/>
      <c r="BA144" s="147"/>
      <c r="BB144" s="147"/>
      <c r="BC144" s="147"/>
      <c r="BD144" s="147"/>
      <c r="BE144" s="147"/>
      <c r="BF144" s="147"/>
      <c r="BG144" s="147"/>
      <c r="BH144" s="147"/>
    </row>
    <row r="145" spans="1:60" ht="30" customHeight="1">
      <c r="A145" s="152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147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147"/>
      <c r="BA145" s="147"/>
      <c r="BB145" s="147"/>
      <c r="BC145" s="147"/>
      <c r="BD145" s="147"/>
      <c r="BE145" s="147"/>
      <c r="BF145" s="147"/>
      <c r="BG145" s="147"/>
      <c r="BH145" s="147"/>
    </row>
    <row r="146" spans="1:60" ht="30" customHeight="1">
      <c r="A146" s="152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147"/>
      <c r="BA146" s="147"/>
      <c r="BB146" s="147"/>
      <c r="BC146" s="147"/>
      <c r="BD146" s="147"/>
      <c r="BE146" s="147"/>
      <c r="BF146" s="147"/>
      <c r="BG146" s="147"/>
      <c r="BH146" s="147"/>
    </row>
    <row r="147" spans="1:60" ht="30" customHeight="1">
      <c r="A147" s="152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147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147"/>
      <c r="BA147" s="147"/>
      <c r="BB147" s="147"/>
      <c r="BC147" s="147"/>
      <c r="BD147" s="147"/>
      <c r="BE147" s="147"/>
      <c r="BF147" s="147"/>
      <c r="BG147" s="147"/>
      <c r="BH147" s="147"/>
    </row>
    <row r="148" spans="1:60" ht="30" customHeight="1">
      <c r="A148" s="152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</row>
    <row r="149" spans="1:60" ht="30" customHeight="1">
      <c r="A149" s="152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M149" s="147"/>
      <c r="AN149" s="147"/>
      <c r="AO149" s="147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147"/>
      <c r="BA149" s="147"/>
      <c r="BB149" s="147"/>
      <c r="BC149" s="147"/>
      <c r="BD149" s="147"/>
      <c r="BE149" s="147"/>
      <c r="BF149" s="147"/>
      <c r="BG149" s="147"/>
      <c r="BH149" s="147"/>
    </row>
    <row r="150" spans="1:60" ht="30" customHeight="1">
      <c r="A150" s="152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  <c r="AJ150" s="147"/>
      <c r="AK150" s="147"/>
      <c r="AL150" s="147"/>
      <c r="AM150" s="147"/>
      <c r="AN150" s="147"/>
      <c r="AO150" s="147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147"/>
      <c r="BA150" s="147"/>
      <c r="BB150" s="147"/>
      <c r="BC150" s="147"/>
      <c r="BD150" s="147"/>
      <c r="BE150" s="147"/>
      <c r="BF150" s="147"/>
      <c r="BG150" s="147"/>
      <c r="BH150" s="147"/>
    </row>
    <row r="151" spans="1:60" ht="30" customHeight="1">
      <c r="A151" s="152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  <c r="AJ151" s="147"/>
      <c r="AK151" s="147"/>
      <c r="AL151" s="147"/>
      <c r="AM151" s="147"/>
      <c r="AN151" s="147"/>
      <c r="AO151" s="147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147"/>
      <c r="BA151" s="147"/>
      <c r="BB151" s="147"/>
      <c r="BC151" s="147"/>
      <c r="BD151" s="147"/>
      <c r="BE151" s="147"/>
      <c r="BF151" s="147"/>
      <c r="BG151" s="147"/>
      <c r="BH151" s="147"/>
    </row>
    <row r="152" spans="1:60" ht="30" customHeight="1">
      <c r="A152" s="152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  <c r="AJ152" s="147"/>
      <c r="AK152" s="147"/>
      <c r="AL152" s="147"/>
      <c r="AM152" s="147"/>
      <c r="AN152" s="147"/>
      <c r="AO152" s="147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147"/>
      <c r="BA152" s="147"/>
      <c r="BB152" s="147"/>
      <c r="BC152" s="147"/>
      <c r="BD152" s="147"/>
      <c r="BE152" s="147"/>
      <c r="BF152" s="147"/>
      <c r="BG152" s="147"/>
      <c r="BH152" s="147"/>
    </row>
    <row r="153" spans="1:60" ht="30" customHeight="1">
      <c r="A153" s="152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47"/>
      <c r="BD153" s="147"/>
      <c r="BE153" s="147"/>
      <c r="BF153" s="147"/>
      <c r="BG153" s="147"/>
      <c r="BH153" s="147"/>
    </row>
    <row r="154" spans="1:60" ht="30" customHeight="1">
      <c r="A154" s="152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  <c r="AJ154" s="147"/>
      <c r="AK154" s="147"/>
      <c r="AL154" s="147"/>
      <c r="AM154" s="147"/>
      <c r="AN154" s="147"/>
      <c r="AO154" s="147"/>
      <c r="AP154" s="147"/>
      <c r="AQ154" s="147"/>
      <c r="AR154" s="147"/>
      <c r="AS154" s="147"/>
      <c r="AT154" s="147"/>
      <c r="AU154" s="147"/>
      <c r="AV154" s="147"/>
      <c r="AW154" s="147"/>
      <c r="AX154" s="147"/>
      <c r="AY154" s="147"/>
      <c r="AZ154" s="147"/>
      <c r="BA154" s="147"/>
      <c r="BB154" s="147"/>
      <c r="BC154" s="147"/>
      <c r="BD154" s="147"/>
      <c r="BE154" s="147"/>
      <c r="BF154" s="147"/>
      <c r="BG154" s="147"/>
      <c r="BH154" s="147"/>
    </row>
    <row r="155" spans="1:60" ht="30" customHeight="1">
      <c r="A155" s="152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  <c r="BA155" s="147"/>
      <c r="BB155" s="147"/>
      <c r="BC155" s="147"/>
      <c r="BD155" s="147"/>
      <c r="BE155" s="147"/>
      <c r="BF155" s="147"/>
      <c r="BG155" s="147"/>
      <c r="BH155" s="147"/>
    </row>
    <row r="156" spans="1:60" ht="30" customHeight="1">
      <c r="A156" s="152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  <c r="BA156" s="147"/>
      <c r="BB156" s="147"/>
      <c r="BC156" s="147"/>
      <c r="BD156" s="147"/>
      <c r="BE156" s="147"/>
      <c r="BF156" s="147"/>
      <c r="BG156" s="147"/>
      <c r="BH156" s="147"/>
    </row>
    <row r="157" spans="1:60" ht="30" customHeight="1">
      <c r="A157" s="152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</row>
    <row r="158" spans="1:60" ht="30" customHeight="1">
      <c r="A158" s="152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</row>
    <row r="159" spans="1:60" ht="30" customHeight="1">
      <c r="A159" s="152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</row>
    <row r="160" spans="1:60" ht="30" customHeight="1">
      <c r="A160" s="152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47"/>
    </row>
    <row r="161" spans="1:60" ht="30" customHeight="1">
      <c r="A161" s="152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47"/>
    </row>
    <row r="162" spans="1:60" ht="30" customHeight="1">
      <c r="A162" s="152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  <c r="AJ162" s="147"/>
      <c r="AK162" s="147"/>
      <c r="AL162" s="147"/>
      <c r="AM162" s="147"/>
      <c r="AN162" s="147"/>
      <c r="AO162" s="147"/>
      <c r="AP162" s="147"/>
      <c r="AQ162" s="147"/>
      <c r="AR162" s="147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47"/>
    </row>
    <row r="163" spans="1:60" ht="30" customHeight="1">
      <c r="A163" s="152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47"/>
    </row>
    <row r="164" spans="1:60" ht="30" customHeight="1">
      <c r="A164" s="152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  <c r="AJ164" s="147"/>
      <c r="AK164" s="147"/>
      <c r="AL164" s="147"/>
      <c r="AM164" s="147"/>
      <c r="AN164" s="147"/>
      <c r="AO164" s="147"/>
      <c r="AP164" s="147"/>
      <c r="AQ164" s="147"/>
      <c r="AR164" s="147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47"/>
    </row>
    <row r="165" spans="1:60" ht="30" customHeight="1">
      <c r="A165" s="152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  <c r="AJ165" s="147"/>
      <c r="AK165" s="147"/>
      <c r="AL165" s="147"/>
      <c r="AM165" s="147"/>
      <c r="AN165" s="147"/>
      <c r="AO165" s="147"/>
      <c r="AP165" s="147"/>
      <c r="AQ165" s="147"/>
      <c r="AR165" s="147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47"/>
    </row>
    <row r="166" spans="1:60" ht="30" customHeight="1">
      <c r="A166" s="152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</row>
    <row r="167" spans="1:60" ht="30" customHeight="1">
      <c r="A167" s="152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</row>
    <row r="168" spans="1:60" ht="30" customHeight="1">
      <c r="A168" s="152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</row>
    <row r="169" spans="1:60" ht="30" customHeight="1">
      <c r="A169" s="152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</row>
    <row r="170" spans="1:60" ht="30" customHeight="1">
      <c r="A170" s="152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</row>
    <row r="171" spans="1:60" ht="30" customHeight="1">
      <c r="A171" s="152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</row>
    <row r="172" spans="1:60" ht="30" customHeight="1">
      <c r="A172" s="152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</row>
    <row r="173" spans="1:60" ht="30" customHeight="1">
      <c r="A173" s="152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</row>
    <row r="174" spans="1:60" ht="30" customHeight="1">
      <c r="A174" s="152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</row>
    <row r="175" spans="1:60" ht="30" customHeight="1">
      <c r="A175" s="152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</row>
    <row r="176" spans="1:60" ht="30" customHeight="1">
      <c r="A176" s="152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</row>
    <row r="177" spans="1:60" ht="30" customHeight="1">
      <c r="A177" s="152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</row>
    <row r="178" spans="1:60" ht="30" customHeight="1">
      <c r="A178" s="152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</row>
    <row r="179" spans="1:60" ht="30" customHeight="1">
      <c r="A179" s="152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</row>
    <row r="180" spans="1:60" ht="30" customHeight="1">
      <c r="A180" s="152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  <c r="AJ180" s="147"/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</row>
    <row r="181" spans="1:60" ht="30" customHeight="1">
      <c r="A181" s="152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</row>
    <row r="182" spans="1:60" ht="30" customHeight="1">
      <c r="A182" s="152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</row>
    <row r="183" spans="1:60" ht="30" customHeight="1">
      <c r="A183" s="152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  <c r="AJ183" s="147"/>
      <c r="AK183" s="147"/>
      <c r="AL183" s="147"/>
      <c r="AM183" s="147"/>
      <c r="AN183" s="147"/>
      <c r="AO183" s="147"/>
      <c r="AP183" s="147"/>
      <c r="AQ183" s="147"/>
      <c r="AR183" s="14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</row>
    <row r="184" spans="1:60" ht="30" customHeight="1">
      <c r="A184" s="152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  <c r="AJ184" s="147"/>
      <c r="AK184" s="147"/>
      <c r="AL184" s="147"/>
      <c r="AM184" s="147"/>
      <c r="AN184" s="147"/>
      <c r="AO184" s="147"/>
      <c r="AP184" s="147"/>
      <c r="AQ184" s="147"/>
      <c r="AR184" s="14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</row>
    <row r="185" spans="1:60" ht="30" customHeight="1">
      <c r="A185" s="152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</row>
    <row r="186" spans="1:60" ht="30" customHeight="1">
      <c r="A186" s="152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  <c r="AJ186" s="147"/>
      <c r="AK186" s="147"/>
      <c r="AL186" s="147"/>
      <c r="AM186" s="147"/>
      <c r="AN186" s="147"/>
      <c r="AO186" s="147"/>
      <c r="AP186" s="147"/>
      <c r="AQ186" s="147"/>
      <c r="AR186" s="14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</row>
    <row r="187" spans="1:60" ht="30" customHeight="1">
      <c r="A187" s="152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</row>
    <row r="188" spans="1:60" ht="30" customHeight="1">
      <c r="A188" s="152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</row>
    <row r="189" spans="1:60" ht="30" customHeight="1">
      <c r="A189" s="152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</row>
    <row r="190" spans="1:60" ht="30" customHeight="1">
      <c r="A190" s="152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</row>
    <row r="191" spans="1:60" ht="30" customHeight="1">
      <c r="A191" s="152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</row>
    <row r="192" spans="1:60" ht="30" customHeight="1">
      <c r="A192" s="152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/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</row>
    <row r="193" spans="1:60" ht="30" customHeight="1">
      <c r="A193" s="152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  <c r="AJ193" s="147"/>
      <c r="AK193" s="147"/>
      <c r="AL193" s="147"/>
      <c r="AM193" s="147"/>
      <c r="AN193" s="147"/>
      <c r="AO193" s="147"/>
      <c r="AP193" s="147"/>
      <c r="AQ193" s="147"/>
      <c r="AR193" s="14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</row>
    <row r="194" spans="1:60" ht="30" customHeight="1">
      <c r="A194" s="152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  <c r="AJ194" s="147"/>
      <c r="AK194" s="147"/>
      <c r="AL194" s="147"/>
      <c r="AM194" s="147"/>
      <c r="AN194" s="147"/>
      <c r="AO194" s="147"/>
      <c r="AP194" s="147"/>
      <c r="AQ194" s="147"/>
      <c r="AR194" s="14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</row>
    <row r="195" spans="1:60" ht="30" customHeight="1">
      <c r="A195" s="152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</row>
    <row r="196" spans="1:60" ht="30" customHeight="1">
      <c r="A196" s="152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  <c r="AJ196" s="147"/>
      <c r="AK196" s="147"/>
      <c r="AL196" s="147"/>
      <c r="AM196" s="147"/>
      <c r="AN196" s="147"/>
      <c r="AO196" s="147"/>
      <c r="AP196" s="147"/>
      <c r="AQ196" s="147"/>
      <c r="AR196" s="14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</row>
    <row r="197" spans="1:60" ht="30" customHeight="1">
      <c r="A197" s="152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</row>
    <row r="198" spans="1:60" ht="30" customHeight="1">
      <c r="A198" s="152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</row>
    <row r="199" spans="1:60" ht="30" customHeight="1">
      <c r="A199" s="152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/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</row>
    <row r="200" spans="1:60" ht="30" customHeight="1">
      <c r="A200" s="152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</row>
    <row r="201" spans="1:60" ht="30" customHeight="1">
      <c r="A201" s="152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</row>
    <row r="202" spans="1:60" ht="30" customHeight="1">
      <c r="A202" s="152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  <c r="AJ202" s="147"/>
      <c r="AK202" s="147"/>
      <c r="AL202" s="147"/>
      <c r="AM202" s="147"/>
      <c r="AN202" s="147"/>
      <c r="AO202" s="147"/>
      <c r="AP202" s="147"/>
      <c r="AQ202" s="147"/>
      <c r="AR202" s="14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</row>
    <row r="203" spans="1:60" ht="30" customHeight="1">
      <c r="A203" s="152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  <c r="AJ203" s="147"/>
      <c r="AK203" s="147"/>
      <c r="AL203" s="147"/>
      <c r="AM203" s="147"/>
      <c r="AN203" s="147"/>
      <c r="AO203" s="147"/>
      <c r="AP203" s="147"/>
      <c r="AQ203" s="147"/>
      <c r="AR203" s="14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</row>
    <row r="204" spans="1:60" ht="30" customHeight="1">
      <c r="A204" s="152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</row>
    <row r="205" spans="1:60" ht="30" customHeight="1">
      <c r="A205" s="152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</row>
    <row r="206" spans="1:60" ht="30" customHeight="1">
      <c r="A206" s="152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</row>
    <row r="207" spans="1:60" ht="30" customHeight="1">
      <c r="A207" s="152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</row>
    <row r="208" spans="1:60" ht="30" customHeight="1">
      <c r="A208" s="152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</row>
    <row r="209" spans="1:60" ht="30" customHeight="1">
      <c r="A209" s="152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</row>
    <row r="210" spans="1:60" ht="30" customHeight="1">
      <c r="A210" s="152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</row>
    <row r="211" spans="1:60" ht="30" customHeight="1">
      <c r="A211" s="152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</row>
    <row r="212" spans="1:60" ht="30" customHeight="1">
      <c r="A212" s="152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</row>
    <row r="213" spans="1:60" ht="30" customHeight="1">
      <c r="A213" s="152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</row>
    <row r="214" spans="1:60" ht="30" customHeight="1">
      <c r="A214" s="152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</row>
    <row r="215" spans="1:60" ht="30" customHeight="1">
      <c r="A215" s="152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</row>
    <row r="216" spans="1:60" ht="30" customHeight="1">
      <c r="A216" s="152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</row>
    <row r="217" spans="1:60" ht="30" customHeight="1">
      <c r="A217" s="152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</row>
    <row r="218" spans="1:60" ht="30" customHeight="1">
      <c r="A218" s="152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</row>
    <row r="219" spans="1:60" ht="30" customHeight="1">
      <c r="A219" s="152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</row>
    <row r="220" spans="1:60" ht="30" customHeight="1">
      <c r="A220" s="152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</row>
    <row r="221" spans="1:60" ht="30" customHeight="1">
      <c r="A221" s="152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</row>
    <row r="222" spans="1:60" ht="15.75" customHeight="1">
      <c r="A222" s="153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</row>
    <row r="223" spans="1:60" ht="15.75" customHeight="1">
      <c r="A223" s="153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</row>
    <row r="224" spans="1:60" ht="15.75" customHeight="1">
      <c r="A224" s="153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</row>
    <row r="225" spans="1:60" ht="15.75" customHeight="1">
      <c r="A225" s="153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</row>
    <row r="226" spans="1:60" ht="15.75" customHeight="1">
      <c r="A226" s="153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</row>
    <row r="227" spans="1:60" ht="15.75" customHeight="1">
      <c r="A227" s="153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</row>
    <row r="228" spans="1:60" ht="15.75" customHeight="1">
      <c r="A228" s="153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</row>
    <row r="229" spans="1:60" ht="15.75" customHeight="1">
      <c r="A229" s="153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</row>
    <row r="230" spans="1:60" ht="15.75" customHeight="1">
      <c r="A230" s="153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</row>
    <row r="231" spans="1:60" ht="15.75" customHeight="1">
      <c r="A231" s="153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</row>
    <row r="232" spans="1:60" ht="15.75" customHeight="1">
      <c r="A232" s="153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</row>
    <row r="233" spans="1:60" ht="15.75" customHeight="1">
      <c r="A233" s="153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</row>
    <row r="234" spans="1:60" ht="15.75" customHeight="1">
      <c r="A234" s="153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</row>
    <row r="235" spans="1:60" ht="15.75" customHeight="1">
      <c r="A235" s="153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</row>
    <row r="236" spans="1:60" ht="15.75" customHeight="1">
      <c r="A236" s="153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</row>
    <row r="237" spans="1:60" ht="15.75" customHeight="1">
      <c r="A237" s="153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</row>
    <row r="238" spans="1:60" ht="15.75" customHeight="1">
      <c r="A238" s="153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</row>
    <row r="239" spans="1:60" ht="15.75" customHeight="1">
      <c r="A239" s="153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</row>
    <row r="240" spans="1:60" ht="15.75" customHeight="1">
      <c r="A240" s="153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</row>
    <row r="241" spans="1:60" ht="15.75" customHeight="1">
      <c r="A241" s="153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</row>
    <row r="242" spans="1:60" ht="15.75" customHeight="1">
      <c r="A242" s="153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</row>
    <row r="243" spans="1:60" ht="15.75" customHeight="1">
      <c r="A243" s="153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</row>
    <row r="244" spans="1:60" ht="15.75" customHeight="1">
      <c r="A244" s="153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</row>
    <row r="245" spans="1:60" ht="15.75" customHeight="1">
      <c r="A245" s="153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</row>
    <row r="246" spans="1:60" ht="15.75" customHeight="1">
      <c r="A246" s="153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</row>
    <row r="247" spans="1:60" ht="15.75" customHeight="1">
      <c r="A247" s="153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</row>
    <row r="248" spans="1:60" ht="15.75" customHeight="1">
      <c r="A248" s="153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</row>
    <row r="249" spans="1:60" ht="15.75" customHeight="1">
      <c r="A249" s="153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</row>
    <row r="250" spans="1:60" ht="15.75" customHeight="1">
      <c r="A250" s="153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</row>
    <row r="251" spans="1:60" ht="15.75" customHeight="1">
      <c r="A251" s="153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</row>
    <row r="252" spans="1:60" ht="15.75" customHeight="1">
      <c r="A252" s="153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</row>
    <row r="253" spans="1:60" ht="15.75" customHeight="1">
      <c r="A253" s="153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</row>
    <row r="254" spans="1:60" ht="15.75" customHeight="1">
      <c r="A254" s="153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</row>
    <row r="255" spans="1:60" ht="15.75" customHeight="1">
      <c r="A255" s="153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</row>
    <row r="256" spans="1:60" ht="15.75" customHeight="1">
      <c r="A256" s="153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</row>
    <row r="257" spans="1:60" ht="15.75" customHeight="1">
      <c r="A257" s="153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</row>
    <row r="258" spans="1:60" ht="15.75" customHeight="1">
      <c r="A258" s="153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</row>
    <row r="259" spans="1:60" ht="15.75" customHeight="1">
      <c r="A259" s="153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</row>
    <row r="260" spans="1:60" ht="15.75" customHeight="1">
      <c r="A260" s="153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</row>
    <row r="261" spans="1:60" ht="15.75" customHeight="1">
      <c r="A261" s="153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</row>
    <row r="262" spans="1:60" ht="15.75" customHeight="1">
      <c r="A262" s="153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</row>
    <row r="263" spans="1:60" ht="15.75" customHeight="1">
      <c r="A263" s="153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</row>
    <row r="264" spans="1:60" ht="15.75" customHeight="1">
      <c r="A264" s="153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</row>
    <row r="265" spans="1:60" ht="15.75" customHeight="1">
      <c r="A265" s="153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</row>
    <row r="266" spans="1:60" ht="15.75" customHeight="1">
      <c r="A266" s="153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</row>
    <row r="267" spans="1:60" ht="15.75" customHeight="1">
      <c r="A267" s="153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</row>
    <row r="268" spans="1:60" ht="15.75" customHeight="1">
      <c r="A268" s="153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</row>
    <row r="269" spans="1:60" ht="15.75" customHeight="1">
      <c r="A269" s="153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</row>
    <row r="270" spans="1:60" ht="15.75" customHeight="1">
      <c r="A270" s="153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</row>
    <row r="271" spans="1:60" ht="15.75" customHeight="1">
      <c r="A271" s="153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</row>
    <row r="272" spans="1:60" ht="15.75" customHeight="1">
      <c r="A272" s="153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</row>
    <row r="273" spans="1:60" ht="15.75" customHeight="1">
      <c r="A273" s="153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</row>
    <row r="274" spans="1:60" ht="15.75" customHeight="1">
      <c r="A274" s="153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</row>
    <row r="275" spans="1:60" ht="15.75" customHeight="1">
      <c r="A275" s="153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</row>
    <row r="276" spans="1:60" ht="15.75" customHeight="1">
      <c r="A276" s="153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</row>
    <row r="277" spans="1:60" ht="15.75" customHeight="1">
      <c r="A277" s="153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</row>
    <row r="278" spans="1:60" ht="15.75" customHeight="1">
      <c r="A278" s="153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</row>
    <row r="279" spans="1:60" ht="15.75" customHeight="1">
      <c r="A279" s="153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</row>
    <row r="280" spans="1:60" ht="15.75" customHeight="1">
      <c r="A280" s="153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</row>
    <row r="281" spans="1:60" ht="15.75" customHeight="1">
      <c r="A281" s="153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</row>
    <row r="282" spans="1:60" ht="15.75" customHeight="1">
      <c r="A282" s="153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</row>
    <row r="283" spans="1:60" ht="15.75" customHeight="1">
      <c r="A283" s="153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</row>
    <row r="284" spans="1:60" ht="15.75" customHeight="1">
      <c r="A284" s="153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</row>
    <row r="285" spans="1:60" ht="15.75" customHeight="1">
      <c r="A285" s="153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</row>
    <row r="286" spans="1:60" ht="15.75" customHeight="1">
      <c r="A286" s="153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</row>
    <row r="287" spans="1:60" ht="15.75" customHeight="1">
      <c r="A287" s="153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</row>
    <row r="288" spans="1:60" ht="15.75" customHeight="1">
      <c r="A288" s="153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</row>
    <row r="289" spans="1:60" ht="15.75" customHeight="1">
      <c r="A289" s="153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</row>
    <row r="290" spans="1:60" ht="15.75" customHeight="1">
      <c r="A290" s="153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</row>
    <row r="291" spans="1:60" ht="15.75" customHeight="1">
      <c r="A291" s="153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</row>
    <row r="292" spans="1:60" ht="15.75" customHeight="1">
      <c r="A292" s="153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</row>
    <row r="293" spans="1:60" ht="15.75" customHeight="1">
      <c r="A293" s="153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</row>
    <row r="294" spans="1:60" ht="15.75" customHeight="1">
      <c r="A294" s="153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</row>
    <row r="295" spans="1:60" ht="15.75" customHeight="1">
      <c r="A295" s="153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</row>
    <row r="296" spans="1:60" ht="15.75" customHeight="1">
      <c r="A296" s="153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</row>
    <row r="297" spans="1:60" ht="15.75" customHeight="1">
      <c r="A297" s="153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</row>
    <row r="298" spans="1:60" ht="15.75" customHeight="1">
      <c r="A298" s="153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</row>
    <row r="299" spans="1:60" ht="15.75" customHeight="1">
      <c r="A299" s="153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</row>
    <row r="300" spans="1:60" ht="15.75" customHeight="1">
      <c r="A300" s="153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</row>
    <row r="301" spans="1:60" ht="15.75" customHeight="1">
      <c r="A301" s="153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</row>
    <row r="302" spans="1:60" ht="15.75" customHeight="1">
      <c r="A302" s="153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</row>
    <row r="303" spans="1:60" ht="15.75" customHeight="1">
      <c r="A303" s="153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</row>
    <row r="304" spans="1:60" ht="15.75" customHeight="1">
      <c r="A304" s="153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</row>
    <row r="305" spans="1:60" ht="15.75" customHeight="1">
      <c r="A305" s="153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</row>
    <row r="306" spans="1:60" ht="15.75" customHeight="1">
      <c r="A306" s="153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</row>
    <row r="307" spans="1:60" ht="15.75" customHeight="1">
      <c r="A307" s="153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</row>
    <row r="308" spans="1:60" ht="15.75" customHeight="1">
      <c r="A308" s="153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</row>
    <row r="309" spans="1:60" ht="15.75" customHeight="1">
      <c r="A309" s="153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</row>
    <row r="310" spans="1:60" ht="15.75" customHeight="1">
      <c r="A310" s="153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</row>
    <row r="311" spans="1:60" ht="15.75" customHeight="1">
      <c r="A311" s="153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</row>
    <row r="312" spans="1:60" ht="15.75" customHeight="1">
      <c r="A312" s="153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</row>
    <row r="313" spans="1:60" ht="15.75" customHeight="1">
      <c r="A313" s="153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</row>
    <row r="314" spans="1:60" ht="15.75" customHeight="1">
      <c r="A314" s="153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</row>
    <row r="315" spans="1:60" ht="15.75" customHeight="1">
      <c r="A315" s="153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</row>
    <row r="316" spans="1:60" ht="15.75" customHeight="1">
      <c r="A316" s="153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</row>
    <row r="317" spans="1:60" ht="15.75" customHeight="1">
      <c r="A317" s="153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</row>
    <row r="318" spans="1:60" ht="15.75" customHeight="1">
      <c r="A318" s="153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</row>
    <row r="319" spans="1:60" ht="15.75" customHeight="1">
      <c r="A319" s="153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</row>
    <row r="320" spans="1:60" ht="15.75" customHeight="1">
      <c r="A320" s="153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</row>
    <row r="321" spans="1:60" ht="15.75" customHeight="1">
      <c r="A321" s="153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</row>
    <row r="322" spans="1:60" ht="15.75" customHeight="1">
      <c r="A322" s="153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</row>
    <row r="323" spans="1:60" ht="15.75" customHeight="1">
      <c r="A323" s="153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</row>
    <row r="324" spans="1:60" ht="15.75" customHeight="1">
      <c r="A324" s="153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</row>
    <row r="325" spans="1:60" ht="15.75" customHeight="1">
      <c r="A325" s="153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</row>
    <row r="326" spans="1:60" ht="15.75" customHeight="1">
      <c r="A326" s="153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</row>
    <row r="327" spans="1:60" ht="15.75" customHeight="1">
      <c r="A327" s="153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</row>
    <row r="328" spans="1:60" ht="15.75" customHeight="1">
      <c r="A328" s="153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</row>
    <row r="329" spans="1:60" ht="15.75" customHeight="1">
      <c r="A329" s="153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</row>
    <row r="330" spans="1:60" ht="15.75" customHeight="1">
      <c r="A330" s="153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</row>
    <row r="331" spans="1:60" ht="15.75" customHeight="1">
      <c r="A331" s="153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</row>
    <row r="332" spans="1:60" ht="15.75" customHeight="1">
      <c r="A332" s="153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</row>
    <row r="333" spans="1:60" ht="15.75" customHeight="1">
      <c r="A333" s="153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</row>
    <row r="334" spans="1:60" ht="15.75" customHeight="1">
      <c r="A334" s="153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</row>
    <row r="335" spans="1:60" ht="15.75" customHeight="1">
      <c r="A335" s="153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</row>
    <row r="336" spans="1:60" ht="15.75" customHeight="1">
      <c r="A336" s="153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</row>
    <row r="337" spans="1:60" ht="15.75" customHeight="1">
      <c r="A337" s="153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</row>
    <row r="338" spans="1:60" ht="15.75" customHeight="1">
      <c r="A338" s="153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</row>
    <row r="339" spans="1:60" ht="15.75" customHeight="1">
      <c r="A339" s="153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</row>
    <row r="340" spans="1:60" ht="15.75" customHeight="1">
      <c r="A340" s="153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</row>
    <row r="341" spans="1:60" ht="15.75" customHeight="1">
      <c r="A341" s="153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</row>
    <row r="342" spans="1:60" ht="15.75" customHeight="1">
      <c r="A342" s="153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</row>
    <row r="343" spans="1:60" ht="15.75" customHeight="1">
      <c r="A343" s="153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</row>
    <row r="344" spans="1:60" ht="15.75" customHeight="1">
      <c r="A344" s="153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</row>
    <row r="345" spans="1:60" ht="15.75" customHeight="1">
      <c r="A345" s="153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</row>
    <row r="346" spans="1:60" ht="15.75" customHeight="1">
      <c r="A346" s="153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</row>
    <row r="347" spans="1:60" ht="15.75" customHeight="1">
      <c r="A347" s="153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</row>
    <row r="348" spans="1:60" ht="15.75" customHeight="1">
      <c r="A348" s="153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</row>
    <row r="349" spans="1:60" ht="15.75" customHeight="1">
      <c r="A349" s="153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</row>
    <row r="350" spans="1:60" ht="15.75" customHeight="1">
      <c r="A350" s="153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</row>
    <row r="351" spans="1:60" ht="15.75" customHeight="1">
      <c r="A351" s="153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</row>
    <row r="352" spans="1:60" ht="15.75" customHeight="1">
      <c r="A352" s="153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</row>
    <row r="353" spans="1:60" ht="15.75" customHeight="1">
      <c r="A353" s="153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</row>
    <row r="354" spans="1:60" ht="15.75" customHeight="1">
      <c r="A354" s="153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</row>
    <row r="355" spans="1:60" ht="15.75" customHeight="1">
      <c r="A355" s="153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</row>
    <row r="356" spans="1:60" ht="15.75" customHeight="1">
      <c r="A356" s="153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</row>
    <row r="357" spans="1:60" ht="15.75" customHeight="1">
      <c r="A357" s="153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</row>
    <row r="358" spans="1:60" ht="15.75" customHeight="1">
      <c r="A358" s="153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</row>
    <row r="359" spans="1:60" ht="15.75" customHeight="1">
      <c r="A359" s="153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</row>
    <row r="360" spans="1:60" ht="15.75" customHeight="1">
      <c r="A360" s="153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</row>
    <row r="361" spans="1:60" ht="15.75" customHeight="1">
      <c r="A361" s="153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</row>
    <row r="362" spans="1:60" ht="15.75" customHeight="1">
      <c r="A362" s="153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</row>
    <row r="363" spans="1:60" ht="15.75" customHeight="1">
      <c r="A363" s="153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</row>
    <row r="364" spans="1:60" ht="15.75" customHeight="1">
      <c r="A364" s="153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</row>
    <row r="365" spans="1:60" ht="15.75" customHeight="1">
      <c r="A365" s="153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</row>
    <row r="366" spans="1:60" ht="15.75" customHeight="1">
      <c r="A366" s="153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</row>
    <row r="367" spans="1:60" ht="15.75" customHeight="1">
      <c r="A367" s="153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</row>
    <row r="368" spans="1:60" ht="15.75" customHeight="1">
      <c r="A368" s="153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</row>
    <row r="369" spans="1:60" ht="15.75" customHeight="1">
      <c r="A369" s="153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</row>
    <row r="370" spans="1:60" ht="15.75" customHeight="1">
      <c r="A370" s="153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</row>
    <row r="371" spans="1:60" ht="15.75" customHeight="1">
      <c r="A371" s="153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</row>
    <row r="372" spans="1:60" ht="15.75" customHeight="1">
      <c r="A372" s="153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</row>
    <row r="373" spans="1:60" ht="15.75" customHeight="1">
      <c r="A373" s="153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</row>
    <row r="374" spans="1:60" ht="15.75" customHeight="1">
      <c r="A374" s="153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</row>
    <row r="375" spans="1:60" ht="15.75" customHeight="1">
      <c r="A375" s="153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</row>
    <row r="376" spans="1:60" ht="15.75" customHeight="1">
      <c r="A376" s="153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</row>
    <row r="377" spans="1:60" ht="15.75" customHeight="1">
      <c r="A377" s="153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</row>
    <row r="378" spans="1:60" ht="15.75" customHeight="1">
      <c r="A378" s="153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</row>
    <row r="379" spans="1:60" ht="15.75" customHeight="1">
      <c r="A379" s="153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</row>
    <row r="380" spans="1:60" ht="15.75" customHeight="1">
      <c r="A380" s="153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</row>
    <row r="381" spans="1:60" ht="15.75" customHeight="1">
      <c r="A381" s="153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</row>
    <row r="382" spans="1:60" ht="15.75" customHeight="1">
      <c r="A382" s="153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</row>
    <row r="383" spans="1:60" ht="15.75" customHeight="1">
      <c r="A383" s="153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</row>
    <row r="384" spans="1:60" ht="15.75" customHeight="1">
      <c r="A384" s="153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</row>
    <row r="385" spans="1:60" ht="15.75" customHeight="1">
      <c r="A385" s="153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</row>
    <row r="386" spans="1:60" ht="15.75" customHeight="1">
      <c r="A386" s="153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</row>
    <row r="387" spans="1:60" ht="15.75" customHeight="1">
      <c r="A387" s="153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</row>
    <row r="388" spans="1:60" ht="15.75" customHeight="1">
      <c r="A388" s="153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</row>
    <row r="389" spans="1:60" ht="15.75" customHeight="1">
      <c r="A389" s="153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</row>
    <row r="390" spans="1:60" ht="15.75" customHeight="1">
      <c r="A390" s="153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</row>
    <row r="391" spans="1:60" ht="15.75" customHeight="1">
      <c r="A391" s="153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</row>
    <row r="392" spans="1:60" ht="15.75" customHeight="1">
      <c r="A392" s="153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</row>
    <row r="393" spans="1:60" ht="15.75" customHeight="1">
      <c r="A393" s="153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</row>
    <row r="394" spans="1:60" ht="15.75" customHeight="1">
      <c r="A394" s="153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</row>
    <row r="395" spans="1:60" ht="15.75" customHeight="1">
      <c r="A395" s="153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</row>
    <row r="396" spans="1:60" ht="15.75" customHeight="1">
      <c r="A396" s="153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</row>
    <row r="397" spans="1:60" ht="15.75" customHeight="1">
      <c r="A397" s="153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</row>
    <row r="398" spans="1:60" ht="15.75" customHeight="1">
      <c r="A398" s="153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</row>
    <row r="399" spans="1:60" ht="15.75" customHeight="1">
      <c r="A399" s="153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</row>
    <row r="400" spans="1:60" ht="15.75" customHeight="1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</row>
    <row r="401" spans="1:60" ht="15.75" customHeight="1">
      <c r="A401" s="153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</row>
    <row r="402" spans="1:60" ht="15.75" customHeight="1">
      <c r="A402" s="153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</row>
    <row r="403" spans="1:60" ht="15.75" customHeight="1">
      <c r="A403" s="153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</row>
    <row r="404" spans="1:60" ht="15.75" customHeight="1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</row>
    <row r="405" spans="1:60" ht="15.75" customHeight="1">
      <c r="A405" s="153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</row>
    <row r="406" spans="1:60" ht="15.75" customHeight="1">
      <c r="A406" s="153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</row>
    <row r="407" spans="1:60" ht="15.75" customHeight="1">
      <c r="A407" s="153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</row>
    <row r="408" spans="1:60" ht="15.75" customHeight="1">
      <c r="A408" s="153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</row>
    <row r="409" spans="1:60" ht="15.75" customHeight="1">
      <c r="A409" s="153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</row>
    <row r="410" spans="1:60" ht="15.75" customHeight="1">
      <c r="A410" s="153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</row>
    <row r="411" spans="1:60" ht="15.75" customHeight="1">
      <c r="A411" s="153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</row>
    <row r="412" spans="1:60" ht="15.75" customHeight="1">
      <c r="A412" s="153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</row>
    <row r="413" spans="1:60" ht="15.75" customHeight="1">
      <c r="A413" s="153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</row>
    <row r="414" spans="1:60" ht="15.75" customHeight="1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</row>
    <row r="415" spans="1:60" ht="15.75" customHeight="1">
      <c r="A415" s="153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</row>
    <row r="416" spans="1:60" ht="15.75" customHeight="1">
      <c r="A416" s="153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</row>
    <row r="417" spans="1:60" ht="15.75" customHeight="1">
      <c r="A417" s="153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</row>
    <row r="418" spans="1:60" ht="15.75" customHeight="1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  <c r="AF418" s="154"/>
      <c r="AG418" s="154"/>
      <c r="AH418" s="154"/>
      <c r="AI418" s="154"/>
      <c r="AJ418" s="154"/>
      <c r="AK418" s="154"/>
      <c r="AL418" s="154"/>
      <c r="AM418" s="154"/>
      <c r="AN418" s="154"/>
      <c r="AO418" s="154"/>
      <c r="AP418" s="154"/>
      <c r="AQ418" s="154"/>
      <c r="AR418" s="154"/>
      <c r="AS418" s="154"/>
      <c r="AT418" s="154"/>
      <c r="AU418" s="154"/>
      <c r="AV418" s="154"/>
      <c r="AW418" s="154"/>
      <c r="AX418" s="154"/>
      <c r="AY418" s="154"/>
      <c r="AZ418" s="154"/>
      <c r="BA418" s="154"/>
      <c r="BB418" s="154"/>
      <c r="BC418" s="154"/>
      <c r="BD418" s="154"/>
      <c r="BE418" s="154"/>
      <c r="BF418" s="154"/>
      <c r="BG418" s="154"/>
      <c r="BH418" s="154"/>
    </row>
    <row r="419" spans="1:60" ht="15.75" customHeight="1">
      <c r="A419" s="153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4"/>
      <c r="AJ419" s="154"/>
      <c r="AK419" s="154"/>
      <c r="AL419" s="154"/>
      <c r="AM419" s="154"/>
      <c r="AN419" s="154"/>
      <c r="AO419" s="154"/>
      <c r="AP419" s="154"/>
      <c r="AQ419" s="154"/>
      <c r="AR419" s="154"/>
      <c r="AS419" s="154"/>
      <c r="AT419" s="154"/>
      <c r="AU419" s="154"/>
      <c r="AV419" s="154"/>
      <c r="AW419" s="154"/>
      <c r="AX419" s="154"/>
      <c r="AY419" s="154"/>
      <c r="AZ419" s="154"/>
      <c r="BA419" s="154"/>
      <c r="BB419" s="154"/>
      <c r="BC419" s="154"/>
      <c r="BD419" s="154"/>
      <c r="BE419" s="154"/>
      <c r="BF419" s="154"/>
      <c r="BG419" s="154"/>
      <c r="BH419" s="154"/>
    </row>
    <row r="420" spans="1:60" ht="15.75" customHeight="1">
      <c r="A420" s="153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4"/>
      <c r="AJ420" s="154"/>
      <c r="AK420" s="154"/>
      <c r="AL420" s="154"/>
      <c r="AM420" s="154"/>
      <c r="AN420" s="154"/>
      <c r="AO420" s="154"/>
      <c r="AP420" s="154"/>
      <c r="AQ420" s="154"/>
      <c r="AR420" s="154"/>
      <c r="AS420" s="154"/>
      <c r="AT420" s="154"/>
      <c r="AU420" s="154"/>
      <c r="AV420" s="154"/>
      <c r="AW420" s="154"/>
      <c r="AX420" s="154"/>
      <c r="AY420" s="154"/>
      <c r="AZ420" s="154"/>
      <c r="BA420" s="154"/>
      <c r="BB420" s="154"/>
      <c r="BC420" s="154"/>
      <c r="BD420" s="154"/>
      <c r="BE420" s="154"/>
      <c r="BF420" s="154"/>
      <c r="BG420" s="154"/>
      <c r="BH420" s="154"/>
    </row>
    <row r="421" spans="1:60" ht="15.75" customHeight="1">
      <c r="A421" s="153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4"/>
      <c r="AJ421" s="154"/>
      <c r="AK421" s="154"/>
      <c r="AL421" s="154"/>
      <c r="AM421" s="154"/>
      <c r="AN421" s="154"/>
      <c r="AO421" s="154"/>
      <c r="AP421" s="154"/>
      <c r="AQ421" s="154"/>
      <c r="AR421" s="154"/>
      <c r="AS421" s="154"/>
      <c r="AT421" s="154"/>
      <c r="AU421" s="154"/>
      <c r="AV421" s="154"/>
      <c r="AW421" s="154"/>
      <c r="AX421" s="154"/>
      <c r="AY421" s="154"/>
      <c r="AZ421" s="154"/>
      <c r="BA421" s="154"/>
      <c r="BB421" s="154"/>
      <c r="BC421" s="154"/>
      <c r="BD421" s="154"/>
      <c r="BE421" s="154"/>
      <c r="BF421" s="154"/>
      <c r="BG421" s="154"/>
      <c r="BH421" s="154"/>
    </row>
    <row r="422" spans="1:60" ht="15.75" customHeight="1">
      <c r="A422" s="153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4"/>
      <c r="AJ422" s="154"/>
      <c r="AK422" s="154"/>
      <c r="AL422" s="154"/>
      <c r="AM422" s="154"/>
      <c r="AN422" s="154"/>
      <c r="AO422" s="154"/>
      <c r="AP422" s="154"/>
      <c r="AQ422" s="154"/>
      <c r="AR422" s="154"/>
      <c r="AS422" s="154"/>
      <c r="AT422" s="154"/>
      <c r="AU422" s="154"/>
      <c r="AV422" s="154"/>
      <c r="AW422" s="154"/>
      <c r="AX422" s="154"/>
      <c r="AY422" s="154"/>
      <c r="AZ422" s="154"/>
      <c r="BA422" s="154"/>
      <c r="BB422" s="154"/>
      <c r="BC422" s="154"/>
      <c r="BD422" s="154"/>
      <c r="BE422" s="154"/>
      <c r="BF422" s="154"/>
      <c r="BG422" s="154"/>
      <c r="BH422" s="154"/>
    </row>
    <row r="423" spans="1:60" ht="15.75" customHeight="1">
      <c r="A423" s="153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  <c r="AF423" s="154"/>
      <c r="AG423" s="154"/>
      <c r="AH423" s="154"/>
      <c r="AI423" s="154"/>
      <c r="AJ423" s="154"/>
      <c r="AK423" s="154"/>
      <c r="AL423" s="154"/>
      <c r="AM423" s="154"/>
      <c r="AN423" s="154"/>
      <c r="AO423" s="154"/>
      <c r="AP423" s="154"/>
      <c r="AQ423" s="154"/>
      <c r="AR423" s="154"/>
      <c r="AS423" s="154"/>
      <c r="AT423" s="154"/>
      <c r="AU423" s="154"/>
      <c r="AV423" s="154"/>
      <c r="AW423" s="154"/>
      <c r="AX423" s="154"/>
      <c r="AY423" s="154"/>
      <c r="AZ423" s="154"/>
      <c r="BA423" s="154"/>
      <c r="BB423" s="154"/>
      <c r="BC423" s="154"/>
      <c r="BD423" s="154"/>
      <c r="BE423" s="154"/>
      <c r="BF423" s="154"/>
      <c r="BG423" s="154"/>
      <c r="BH423" s="154"/>
    </row>
    <row r="424" spans="1:60" ht="15.75" customHeight="1">
      <c r="A424" s="153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4"/>
      <c r="AJ424" s="154"/>
      <c r="AK424" s="154"/>
      <c r="AL424" s="154"/>
      <c r="AM424" s="154"/>
      <c r="AN424" s="154"/>
      <c r="AO424" s="154"/>
      <c r="AP424" s="154"/>
      <c r="AQ424" s="154"/>
      <c r="AR424" s="154"/>
      <c r="AS424" s="154"/>
      <c r="AT424" s="154"/>
      <c r="AU424" s="154"/>
      <c r="AV424" s="154"/>
      <c r="AW424" s="154"/>
      <c r="AX424" s="154"/>
      <c r="AY424" s="154"/>
      <c r="AZ424" s="154"/>
      <c r="BA424" s="154"/>
      <c r="BB424" s="154"/>
      <c r="BC424" s="154"/>
      <c r="BD424" s="154"/>
      <c r="BE424" s="154"/>
      <c r="BF424" s="154"/>
      <c r="BG424" s="154"/>
      <c r="BH424" s="154"/>
    </row>
    <row r="425" spans="1:60" ht="15.75" customHeight="1">
      <c r="A425" s="153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4"/>
      <c r="AJ425" s="154"/>
      <c r="AK425" s="154"/>
      <c r="AL425" s="154"/>
      <c r="AM425" s="154"/>
      <c r="AN425" s="154"/>
      <c r="AO425" s="154"/>
      <c r="AP425" s="154"/>
      <c r="AQ425" s="154"/>
      <c r="AR425" s="154"/>
      <c r="AS425" s="154"/>
      <c r="AT425" s="154"/>
      <c r="AU425" s="154"/>
      <c r="AV425" s="154"/>
      <c r="AW425" s="154"/>
      <c r="AX425" s="154"/>
      <c r="AY425" s="154"/>
      <c r="AZ425" s="154"/>
      <c r="BA425" s="154"/>
      <c r="BB425" s="154"/>
      <c r="BC425" s="154"/>
      <c r="BD425" s="154"/>
      <c r="BE425" s="154"/>
      <c r="BF425" s="154"/>
      <c r="BG425" s="154"/>
      <c r="BH425" s="154"/>
    </row>
    <row r="426" spans="1:60" ht="15.75" customHeight="1">
      <c r="A426" s="153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4"/>
      <c r="AJ426" s="154"/>
      <c r="AK426" s="154"/>
      <c r="AL426" s="154"/>
      <c r="AM426" s="154"/>
      <c r="AN426" s="154"/>
      <c r="AO426" s="154"/>
      <c r="AP426" s="154"/>
      <c r="AQ426" s="154"/>
      <c r="AR426" s="154"/>
      <c r="AS426" s="154"/>
      <c r="AT426" s="154"/>
      <c r="AU426" s="154"/>
      <c r="AV426" s="154"/>
      <c r="AW426" s="154"/>
      <c r="AX426" s="154"/>
      <c r="AY426" s="154"/>
      <c r="AZ426" s="154"/>
      <c r="BA426" s="154"/>
      <c r="BB426" s="154"/>
      <c r="BC426" s="154"/>
      <c r="BD426" s="154"/>
      <c r="BE426" s="154"/>
      <c r="BF426" s="154"/>
      <c r="BG426" s="154"/>
      <c r="BH426" s="154"/>
    </row>
    <row r="427" spans="1:60" ht="15.75" customHeight="1">
      <c r="A427" s="153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4"/>
      <c r="AJ427" s="154"/>
      <c r="AK427" s="154"/>
      <c r="AL427" s="154"/>
      <c r="AM427" s="154"/>
      <c r="AN427" s="154"/>
      <c r="AO427" s="154"/>
      <c r="AP427" s="154"/>
      <c r="AQ427" s="154"/>
      <c r="AR427" s="154"/>
      <c r="AS427" s="154"/>
      <c r="AT427" s="154"/>
      <c r="AU427" s="154"/>
      <c r="AV427" s="154"/>
      <c r="AW427" s="154"/>
      <c r="AX427" s="154"/>
      <c r="AY427" s="154"/>
      <c r="AZ427" s="154"/>
      <c r="BA427" s="154"/>
      <c r="BB427" s="154"/>
      <c r="BC427" s="154"/>
      <c r="BD427" s="154"/>
      <c r="BE427" s="154"/>
      <c r="BF427" s="154"/>
      <c r="BG427" s="154"/>
      <c r="BH427" s="154"/>
    </row>
    <row r="428" spans="1:60" ht="15.75" customHeight="1">
      <c r="A428" s="153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  <c r="AF428" s="154"/>
      <c r="AG428" s="154"/>
      <c r="AH428" s="154"/>
      <c r="AI428" s="154"/>
      <c r="AJ428" s="154"/>
      <c r="AK428" s="154"/>
      <c r="AL428" s="154"/>
      <c r="AM428" s="154"/>
      <c r="AN428" s="154"/>
      <c r="AO428" s="154"/>
      <c r="AP428" s="154"/>
      <c r="AQ428" s="154"/>
      <c r="AR428" s="154"/>
      <c r="AS428" s="154"/>
      <c r="AT428" s="154"/>
      <c r="AU428" s="154"/>
      <c r="AV428" s="154"/>
      <c r="AW428" s="154"/>
      <c r="AX428" s="154"/>
      <c r="AY428" s="154"/>
      <c r="AZ428" s="154"/>
      <c r="BA428" s="154"/>
      <c r="BB428" s="154"/>
      <c r="BC428" s="154"/>
      <c r="BD428" s="154"/>
      <c r="BE428" s="154"/>
      <c r="BF428" s="154"/>
      <c r="BG428" s="154"/>
      <c r="BH428" s="154"/>
    </row>
    <row r="429" spans="1:60" ht="15.75" customHeight="1">
      <c r="A429" s="153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4"/>
      <c r="AJ429" s="154"/>
      <c r="AK429" s="154"/>
      <c r="AL429" s="154"/>
      <c r="AM429" s="154"/>
      <c r="AN429" s="154"/>
      <c r="AO429" s="154"/>
      <c r="AP429" s="154"/>
      <c r="AQ429" s="154"/>
      <c r="AR429" s="154"/>
      <c r="AS429" s="154"/>
      <c r="AT429" s="154"/>
      <c r="AU429" s="154"/>
      <c r="AV429" s="154"/>
      <c r="AW429" s="154"/>
      <c r="AX429" s="154"/>
      <c r="AY429" s="154"/>
      <c r="AZ429" s="154"/>
      <c r="BA429" s="154"/>
      <c r="BB429" s="154"/>
      <c r="BC429" s="154"/>
      <c r="BD429" s="154"/>
      <c r="BE429" s="154"/>
      <c r="BF429" s="154"/>
      <c r="BG429" s="154"/>
      <c r="BH429" s="154"/>
    </row>
    <row r="430" spans="1:60" ht="15.75" customHeight="1">
      <c r="A430" s="153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4"/>
      <c r="AJ430" s="154"/>
      <c r="AK430" s="154"/>
      <c r="AL430" s="154"/>
      <c r="AM430" s="154"/>
      <c r="AN430" s="154"/>
      <c r="AO430" s="154"/>
      <c r="AP430" s="154"/>
      <c r="AQ430" s="154"/>
      <c r="AR430" s="154"/>
      <c r="AS430" s="154"/>
      <c r="AT430" s="154"/>
      <c r="AU430" s="154"/>
      <c r="AV430" s="154"/>
      <c r="AW430" s="154"/>
      <c r="AX430" s="154"/>
      <c r="AY430" s="154"/>
      <c r="AZ430" s="154"/>
      <c r="BA430" s="154"/>
      <c r="BB430" s="154"/>
      <c r="BC430" s="154"/>
      <c r="BD430" s="154"/>
      <c r="BE430" s="154"/>
      <c r="BF430" s="154"/>
      <c r="BG430" s="154"/>
      <c r="BH430" s="154"/>
    </row>
    <row r="431" spans="1:60" ht="15.75" customHeight="1">
      <c r="A431" s="153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4"/>
      <c r="AJ431" s="154"/>
      <c r="AK431" s="154"/>
      <c r="AL431" s="154"/>
      <c r="AM431" s="154"/>
      <c r="AN431" s="154"/>
      <c r="AO431" s="154"/>
      <c r="AP431" s="154"/>
      <c r="AQ431" s="154"/>
      <c r="AR431" s="154"/>
      <c r="AS431" s="154"/>
      <c r="AT431" s="154"/>
      <c r="AU431" s="154"/>
      <c r="AV431" s="154"/>
      <c r="AW431" s="154"/>
      <c r="AX431" s="154"/>
      <c r="AY431" s="154"/>
      <c r="AZ431" s="154"/>
      <c r="BA431" s="154"/>
      <c r="BB431" s="154"/>
      <c r="BC431" s="154"/>
      <c r="BD431" s="154"/>
      <c r="BE431" s="154"/>
      <c r="BF431" s="154"/>
      <c r="BG431" s="154"/>
      <c r="BH431" s="154"/>
    </row>
    <row r="432" spans="1:60" ht="15.75" customHeight="1">
      <c r="A432" s="153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  <c r="AF432" s="154"/>
      <c r="AG432" s="154"/>
      <c r="AH432" s="154"/>
      <c r="AI432" s="154"/>
      <c r="AJ432" s="154"/>
      <c r="AK432" s="154"/>
      <c r="AL432" s="154"/>
      <c r="AM432" s="154"/>
      <c r="AN432" s="154"/>
      <c r="AO432" s="154"/>
      <c r="AP432" s="154"/>
      <c r="AQ432" s="154"/>
      <c r="AR432" s="154"/>
      <c r="AS432" s="154"/>
      <c r="AT432" s="154"/>
      <c r="AU432" s="154"/>
      <c r="AV432" s="154"/>
      <c r="AW432" s="154"/>
      <c r="AX432" s="154"/>
      <c r="AY432" s="154"/>
      <c r="AZ432" s="154"/>
      <c r="BA432" s="154"/>
      <c r="BB432" s="154"/>
      <c r="BC432" s="154"/>
      <c r="BD432" s="154"/>
      <c r="BE432" s="154"/>
      <c r="BF432" s="154"/>
      <c r="BG432" s="154"/>
      <c r="BH432" s="154"/>
    </row>
    <row r="433" spans="1:60" ht="15.75" customHeight="1">
      <c r="A433" s="153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  <c r="AL433" s="154"/>
      <c r="AM433" s="154"/>
      <c r="AN433" s="154"/>
      <c r="AO433" s="154"/>
      <c r="AP433" s="154"/>
      <c r="AQ433" s="154"/>
      <c r="AR433" s="154"/>
      <c r="AS433" s="154"/>
      <c r="AT433" s="154"/>
      <c r="AU433" s="154"/>
      <c r="AV433" s="154"/>
      <c r="AW433" s="154"/>
      <c r="AX433" s="154"/>
      <c r="AY433" s="154"/>
      <c r="AZ433" s="154"/>
      <c r="BA433" s="154"/>
      <c r="BB433" s="154"/>
      <c r="BC433" s="154"/>
      <c r="BD433" s="154"/>
      <c r="BE433" s="154"/>
      <c r="BF433" s="154"/>
      <c r="BG433" s="154"/>
      <c r="BH433" s="154"/>
    </row>
    <row r="434" spans="1:60" ht="15.75" customHeight="1">
      <c r="A434" s="153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  <c r="AL434" s="154"/>
      <c r="AM434" s="154"/>
      <c r="AN434" s="154"/>
      <c r="AO434" s="154"/>
      <c r="AP434" s="154"/>
      <c r="AQ434" s="154"/>
      <c r="AR434" s="154"/>
      <c r="AS434" s="154"/>
      <c r="AT434" s="154"/>
      <c r="AU434" s="154"/>
      <c r="AV434" s="154"/>
      <c r="AW434" s="154"/>
      <c r="AX434" s="154"/>
      <c r="AY434" s="154"/>
      <c r="AZ434" s="154"/>
      <c r="BA434" s="154"/>
      <c r="BB434" s="154"/>
      <c r="BC434" s="154"/>
      <c r="BD434" s="154"/>
      <c r="BE434" s="154"/>
      <c r="BF434" s="154"/>
      <c r="BG434" s="154"/>
      <c r="BH434" s="154"/>
    </row>
    <row r="435" spans="1:60" ht="15.75" customHeight="1">
      <c r="A435" s="153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  <c r="AL435" s="154"/>
      <c r="AM435" s="154"/>
      <c r="AN435" s="154"/>
      <c r="AO435" s="154"/>
      <c r="AP435" s="154"/>
      <c r="AQ435" s="154"/>
      <c r="AR435" s="154"/>
      <c r="AS435" s="154"/>
      <c r="AT435" s="154"/>
      <c r="AU435" s="154"/>
      <c r="AV435" s="154"/>
      <c r="AW435" s="154"/>
      <c r="AX435" s="154"/>
      <c r="AY435" s="154"/>
      <c r="AZ435" s="154"/>
      <c r="BA435" s="154"/>
      <c r="BB435" s="154"/>
      <c r="BC435" s="154"/>
      <c r="BD435" s="154"/>
      <c r="BE435" s="154"/>
      <c r="BF435" s="154"/>
      <c r="BG435" s="154"/>
      <c r="BH435" s="154"/>
    </row>
    <row r="436" spans="1:60" ht="15.75" customHeight="1">
      <c r="A436" s="153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</row>
    <row r="437" spans="1:60" ht="15.75" customHeight="1">
      <c r="A437" s="153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</row>
    <row r="438" spans="1:60" ht="15.75" customHeight="1">
      <c r="A438" s="153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</row>
    <row r="439" spans="1:60" ht="15.75" customHeight="1">
      <c r="A439" s="153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</row>
    <row r="440" spans="1:60" ht="15.75" customHeight="1">
      <c r="A440" s="153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</row>
    <row r="441" spans="1:60" ht="15.75" customHeight="1">
      <c r="A441" s="153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</row>
    <row r="442" spans="1:60" ht="15.75" customHeight="1">
      <c r="A442" s="153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</row>
    <row r="443" spans="1:60" ht="15.75" customHeight="1">
      <c r="A443" s="153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</row>
    <row r="444" spans="1:60" ht="15.75" customHeight="1">
      <c r="A444" s="153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</row>
    <row r="445" spans="1:60" ht="15.75" customHeight="1">
      <c r="A445" s="153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</row>
    <row r="446" spans="1:60" ht="15.75" customHeight="1">
      <c r="A446" s="153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</row>
    <row r="447" spans="1:60" ht="15.75" customHeight="1">
      <c r="A447" s="153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</row>
    <row r="448" spans="1:60" ht="15.75" customHeight="1">
      <c r="A448" s="153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</row>
    <row r="449" spans="1:60" ht="15.75" customHeight="1">
      <c r="A449" s="153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</row>
    <row r="450" spans="1:60" ht="15.75" customHeight="1">
      <c r="A450" s="153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</row>
    <row r="451" spans="1:60" ht="15.75" customHeight="1">
      <c r="A451" s="153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</row>
    <row r="452" spans="1:60" ht="15.75" customHeight="1">
      <c r="A452" s="153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</row>
    <row r="453" spans="1:60" ht="15.75" customHeight="1">
      <c r="A453" s="153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</row>
    <row r="454" spans="1:60" ht="15.75" customHeight="1">
      <c r="A454" s="153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</row>
    <row r="455" spans="1:60" ht="15.75" customHeight="1">
      <c r="A455" s="153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</row>
    <row r="456" spans="1:60" ht="15.75" customHeight="1">
      <c r="A456" s="153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</row>
    <row r="457" spans="1:60" ht="15.75" customHeight="1">
      <c r="A457" s="153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</row>
    <row r="458" spans="1:60" ht="15.75" customHeight="1">
      <c r="A458" s="153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</row>
    <row r="459" spans="1:60" ht="15.75" customHeight="1">
      <c r="A459" s="153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</row>
    <row r="460" spans="1:60" ht="15.75" customHeight="1">
      <c r="A460" s="153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</row>
    <row r="461" spans="1:60" ht="15.75" customHeight="1">
      <c r="A461" s="153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</row>
    <row r="462" spans="1:60" ht="15.75" customHeight="1">
      <c r="A462" s="153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</row>
    <row r="463" spans="1:60" ht="15.75" customHeight="1">
      <c r="A463" s="153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</row>
    <row r="464" spans="1:60" ht="15.75" customHeight="1">
      <c r="A464" s="153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</row>
    <row r="465" spans="1:60" ht="15.75" customHeight="1">
      <c r="A465" s="153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</row>
    <row r="466" spans="1:60" ht="15.75" customHeight="1">
      <c r="A466" s="153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</row>
    <row r="467" spans="1:60" ht="15.75" customHeight="1">
      <c r="A467" s="153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</row>
    <row r="468" spans="1:60" ht="15.75" customHeight="1">
      <c r="A468" s="153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</row>
    <row r="469" spans="1:60" ht="15.75" customHeight="1">
      <c r="A469" s="153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</row>
    <row r="470" spans="1:60" ht="15.75" customHeight="1">
      <c r="A470" s="153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</row>
    <row r="471" spans="1:60" ht="15.75" customHeight="1">
      <c r="A471" s="153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</row>
    <row r="472" spans="1:60" ht="15.75" customHeight="1">
      <c r="A472" s="153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</row>
    <row r="473" spans="1:60" ht="15.75" customHeight="1">
      <c r="A473" s="153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</row>
    <row r="474" spans="1:60" ht="15.75" customHeight="1">
      <c r="A474" s="153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</row>
    <row r="475" spans="1:60" ht="15.75" customHeight="1">
      <c r="A475" s="153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</row>
    <row r="476" spans="1:60" ht="15.75" customHeight="1">
      <c r="A476" s="153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</row>
    <row r="477" spans="1:60" ht="15.75" customHeight="1">
      <c r="A477" s="153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</row>
    <row r="478" spans="1:60" ht="15.75" customHeight="1">
      <c r="A478" s="153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</row>
    <row r="479" spans="1:60" ht="15.75" customHeight="1">
      <c r="A479" s="153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</row>
    <row r="480" spans="1:60" ht="15.75" customHeight="1">
      <c r="A480" s="153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</row>
    <row r="481" spans="1:60" ht="15.75" customHeight="1">
      <c r="A481" s="153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</row>
    <row r="482" spans="1:60" ht="15.75" customHeight="1">
      <c r="A482" s="153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</row>
    <row r="483" spans="1:60" ht="15.75" customHeight="1">
      <c r="A483" s="153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</row>
    <row r="484" spans="1:60" ht="15.75" customHeight="1">
      <c r="A484" s="153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</row>
    <row r="485" spans="1:60" ht="15.75" customHeight="1">
      <c r="A485" s="153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</row>
    <row r="486" spans="1:60" ht="15.75" customHeight="1">
      <c r="A486" s="153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</row>
    <row r="487" spans="1:60" ht="15.75" customHeight="1">
      <c r="A487" s="153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</row>
    <row r="488" spans="1:60" ht="15.75" customHeight="1">
      <c r="A488" s="153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</row>
    <row r="489" spans="1:60" ht="15.75" customHeight="1">
      <c r="A489" s="153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</row>
    <row r="490" spans="1:60" ht="15.75" customHeight="1">
      <c r="A490" s="153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</row>
    <row r="491" spans="1:60" ht="15.75" customHeight="1">
      <c r="A491" s="153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</row>
    <row r="492" spans="1:60" ht="15.75" customHeight="1">
      <c r="A492" s="153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</row>
    <row r="493" spans="1:60" ht="15.75" customHeight="1">
      <c r="A493" s="153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</row>
    <row r="494" spans="1:60" ht="15.75" customHeight="1">
      <c r="A494" s="153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</row>
    <row r="495" spans="1:60" ht="15.75" customHeight="1">
      <c r="A495" s="153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</row>
    <row r="496" spans="1:60" ht="15.75" customHeight="1">
      <c r="A496" s="153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</row>
    <row r="497" spans="1:60" ht="15.75" customHeight="1">
      <c r="A497" s="153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</row>
    <row r="498" spans="1:60" ht="15.75" customHeight="1">
      <c r="A498" s="153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</row>
    <row r="499" spans="1:60" ht="15.75" customHeight="1">
      <c r="A499" s="153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</row>
    <row r="500" spans="1:60" ht="15.75" customHeight="1">
      <c r="A500" s="153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</row>
    <row r="501" spans="1:60" ht="15.75" customHeight="1">
      <c r="A501" s="153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</row>
    <row r="502" spans="1:60" ht="15.75" customHeight="1">
      <c r="A502" s="153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</row>
    <row r="503" spans="1:60" ht="15.75" customHeight="1">
      <c r="A503" s="153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</row>
    <row r="504" spans="1:60" ht="15.75" customHeight="1">
      <c r="A504" s="153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</row>
    <row r="505" spans="1:60" ht="15.75" customHeight="1">
      <c r="A505" s="153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</row>
    <row r="506" spans="1:60" ht="15.75" customHeight="1">
      <c r="A506" s="153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</row>
    <row r="507" spans="1:60" ht="15.75" customHeight="1">
      <c r="A507" s="153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</row>
    <row r="508" spans="1:60" ht="15.75" customHeight="1">
      <c r="A508" s="153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</row>
    <row r="509" spans="1:60" ht="15.75" customHeight="1">
      <c r="A509" s="153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</row>
    <row r="510" spans="1:60" ht="15.75" customHeight="1">
      <c r="A510" s="153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</row>
    <row r="511" spans="1:60" ht="15.75" customHeight="1">
      <c r="A511" s="153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</row>
    <row r="512" spans="1:60" ht="15.75" customHeight="1">
      <c r="A512" s="153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</row>
    <row r="513" spans="1:60" ht="15.75" customHeight="1">
      <c r="A513" s="153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</row>
    <row r="514" spans="1:60" ht="15.75" customHeight="1">
      <c r="A514" s="153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</row>
    <row r="515" spans="1:60" ht="15.75" customHeight="1">
      <c r="A515" s="153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</row>
    <row r="516" spans="1:60" ht="15.75" customHeight="1">
      <c r="A516" s="153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</row>
    <row r="517" spans="1:60" ht="15.75" customHeight="1">
      <c r="A517" s="153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</row>
    <row r="518" spans="1:60" ht="15.75" customHeight="1">
      <c r="A518" s="153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</row>
    <row r="519" spans="1:60" ht="15.75" customHeight="1">
      <c r="A519" s="153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</row>
    <row r="520" spans="1:60" ht="15.75" customHeight="1">
      <c r="A520" s="153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</row>
    <row r="521" spans="1:60" ht="15.75" customHeight="1">
      <c r="A521" s="153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</row>
    <row r="522" spans="1:60" ht="15.75" customHeight="1">
      <c r="A522" s="153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</row>
    <row r="523" spans="1:60" ht="15.75" customHeight="1">
      <c r="A523" s="153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</row>
    <row r="524" spans="1:60" ht="15.75" customHeight="1">
      <c r="A524" s="153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</row>
    <row r="525" spans="1:60" ht="15.75" customHeight="1">
      <c r="A525" s="153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</row>
    <row r="526" spans="1:60" ht="15.75" customHeight="1">
      <c r="A526" s="153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</row>
    <row r="527" spans="1:60" ht="15.75" customHeight="1">
      <c r="A527" s="153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</row>
    <row r="528" spans="1:60" ht="15.75" customHeight="1">
      <c r="A528" s="153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</row>
    <row r="529" spans="1:60" ht="15.75" customHeight="1">
      <c r="A529" s="153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</row>
    <row r="530" spans="1:60" ht="15.75" customHeight="1">
      <c r="A530" s="153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</row>
    <row r="531" spans="1:60" ht="15.75" customHeight="1">
      <c r="A531" s="153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</row>
    <row r="532" spans="1:60" ht="15.75" customHeight="1">
      <c r="A532" s="153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</row>
    <row r="533" spans="1:60" ht="15.75" customHeight="1">
      <c r="A533" s="153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</row>
    <row r="534" spans="1:60" ht="15.75" customHeight="1">
      <c r="A534" s="153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</row>
    <row r="535" spans="1:60" ht="15.75" customHeight="1">
      <c r="A535" s="153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</row>
    <row r="536" spans="1:60" ht="15.75" customHeight="1">
      <c r="A536" s="153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</row>
    <row r="537" spans="1:60" ht="15.75" customHeight="1">
      <c r="A537" s="153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</row>
    <row r="538" spans="1:60" ht="15.75" customHeight="1">
      <c r="A538" s="153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</row>
    <row r="539" spans="1:60" ht="15.75" customHeight="1">
      <c r="A539" s="153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</row>
    <row r="540" spans="1:60" ht="15.75" customHeight="1">
      <c r="A540" s="153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</row>
    <row r="541" spans="1:60" ht="15.75" customHeight="1">
      <c r="A541" s="153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</row>
    <row r="542" spans="1:60" ht="15.75" customHeight="1">
      <c r="A542" s="153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</row>
    <row r="543" spans="1:60" ht="15.75" customHeight="1">
      <c r="A543" s="153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</row>
    <row r="544" spans="1:60" ht="15.75" customHeight="1">
      <c r="A544" s="153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</row>
    <row r="545" spans="1:60" ht="15.75" customHeight="1">
      <c r="A545" s="153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</row>
    <row r="546" spans="1:60" ht="15.75" customHeight="1">
      <c r="A546" s="153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</row>
    <row r="547" spans="1:60" ht="15.75" customHeight="1">
      <c r="A547" s="153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</row>
    <row r="548" spans="1:60" ht="15.75" customHeight="1">
      <c r="A548" s="153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</row>
    <row r="549" spans="1:60" ht="15.75" customHeight="1">
      <c r="A549" s="153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</row>
    <row r="550" spans="1:60" ht="15.75" customHeight="1">
      <c r="A550" s="153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</row>
    <row r="551" spans="1:60" ht="15.75" customHeight="1">
      <c r="A551" s="153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</row>
    <row r="552" spans="1:60" ht="15.75" customHeight="1">
      <c r="A552" s="153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</row>
    <row r="553" spans="1:60" ht="15.75" customHeight="1">
      <c r="A553" s="153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</row>
    <row r="554" spans="1:60" ht="15.75" customHeight="1">
      <c r="A554" s="153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</row>
    <row r="555" spans="1:60" ht="15.75" customHeight="1">
      <c r="A555" s="153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</row>
    <row r="556" spans="1:60" ht="15.75" customHeight="1">
      <c r="A556" s="153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</row>
    <row r="557" spans="1:60" ht="15.75" customHeight="1">
      <c r="A557" s="153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</row>
    <row r="558" spans="1:60" ht="15.75" customHeight="1">
      <c r="A558" s="153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</row>
    <row r="559" spans="1:60" ht="15.75" customHeight="1">
      <c r="A559" s="153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</row>
    <row r="560" spans="1:60" ht="15.75" customHeight="1">
      <c r="A560" s="153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</row>
    <row r="561" spans="1:60" ht="15.75" customHeight="1">
      <c r="A561" s="153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</row>
    <row r="562" spans="1:60" ht="15.75" customHeight="1">
      <c r="A562" s="153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</row>
    <row r="563" spans="1:60" ht="15.75" customHeight="1">
      <c r="A563" s="153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</row>
    <row r="564" spans="1:60" ht="15.75" customHeight="1">
      <c r="A564" s="153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</row>
    <row r="565" spans="1:60" ht="15.75" customHeight="1">
      <c r="A565" s="153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</row>
    <row r="566" spans="1:60" ht="15.75" customHeight="1">
      <c r="A566" s="153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</row>
    <row r="567" spans="1:60" ht="15.75" customHeight="1">
      <c r="A567" s="153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</row>
    <row r="568" spans="1:60" ht="15.75" customHeight="1">
      <c r="A568" s="153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</row>
    <row r="569" spans="1:60" ht="15.75" customHeight="1">
      <c r="A569" s="153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</row>
    <row r="570" spans="1:60" ht="15.75" customHeight="1">
      <c r="A570" s="153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</row>
    <row r="571" spans="1:60" ht="15.75" customHeight="1">
      <c r="A571" s="153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</row>
    <row r="572" spans="1:60" ht="15.75" customHeight="1">
      <c r="A572" s="153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</row>
    <row r="573" spans="1:60" ht="15.75" customHeight="1">
      <c r="A573" s="153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</row>
    <row r="574" spans="1:60" ht="15.75" customHeight="1">
      <c r="A574" s="153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</row>
    <row r="575" spans="1:60" ht="15.75" customHeight="1">
      <c r="A575" s="153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</row>
    <row r="576" spans="1:60" ht="15.75" customHeight="1">
      <c r="A576" s="153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</row>
    <row r="577" spans="1:60" ht="15.75" customHeight="1">
      <c r="A577" s="153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</row>
    <row r="578" spans="1:60" ht="15.75" customHeight="1">
      <c r="A578" s="153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</row>
    <row r="579" spans="1:60" ht="15.75" customHeight="1">
      <c r="A579" s="153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</row>
    <row r="580" spans="1:60" ht="15.75" customHeight="1">
      <c r="A580" s="153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</row>
    <row r="581" spans="1:60" ht="15.75" customHeight="1">
      <c r="A581" s="153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</row>
    <row r="582" spans="1:60" ht="15.75" customHeight="1">
      <c r="A582" s="153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</row>
    <row r="583" spans="1:60" ht="15.75" customHeight="1">
      <c r="A583" s="153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</row>
    <row r="584" spans="1:60" ht="15.75" customHeight="1">
      <c r="A584" s="153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</row>
    <row r="585" spans="1:60" ht="15.75" customHeight="1">
      <c r="A585" s="153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</row>
    <row r="586" spans="1:60" ht="15.75" customHeight="1">
      <c r="A586" s="153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</row>
    <row r="587" spans="1:60" ht="15.75" customHeight="1">
      <c r="A587" s="153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</row>
    <row r="588" spans="1:60" ht="15.75" customHeight="1">
      <c r="A588" s="153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</row>
    <row r="589" spans="1:60" ht="15.75" customHeight="1">
      <c r="A589" s="153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</row>
    <row r="590" spans="1:60" ht="15.75" customHeight="1">
      <c r="A590" s="153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</row>
    <row r="591" spans="1:60" ht="15.75" customHeight="1">
      <c r="A591" s="153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</row>
    <row r="592" spans="1:60" ht="15.75" customHeight="1">
      <c r="A592" s="153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</row>
    <row r="593" spans="1:60" ht="15.75" customHeight="1">
      <c r="A593" s="153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</row>
    <row r="594" spans="1:60" ht="15.75" customHeight="1">
      <c r="A594" s="153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</row>
    <row r="595" spans="1:60" ht="15.75" customHeight="1">
      <c r="A595" s="153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</row>
    <row r="596" spans="1:60" ht="15.75" customHeight="1">
      <c r="A596" s="153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</row>
    <row r="597" spans="1:60" ht="15.75" customHeight="1">
      <c r="A597" s="153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</row>
    <row r="598" spans="1:60" ht="15.75" customHeight="1">
      <c r="A598" s="153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</row>
    <row r="599" spans="1:60" ht="15.75" customHeight="1">
      <c r="A599" s="153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</row>
    <row r="600" spans="1:60" ht="15.75" customHeight="1">
      <c r="A600" s="153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</row>
    <row r="601" spans="1:60" ht="15.75" customHeight="1">
      <c r="A601" s="153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</row>
    <row r="602" spans="1:60" ht="15.75" customHeight="1">
      <c r="A602" s="153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</row>
    <row r="603" spans="1:60" ht="15.75" customHeight="1">
      <c r="A603" s="153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</row>
    <row r="604" spans="1:60" ht="15.75" customHeight="1">
      <c r="A604" s="153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</row>
    <row r="605" spans="1:60" ht="15.75" customHeight="1">
      <c r="A605" s="153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</row>
    <row r="606" spans="1:60" ht="15.75" customHeight="1">
      <c r="A606" s="153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</row>
    <row r="607" spans="1:60" ht="15.75" customHeight="1">
      <c r="A607" s="153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</row>
    <row r="608" spans="1:60" ht="15.75" customHeight="1">
      <c r="A608" s="153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</row>
    <row r="609" spans="1:60" ht="15.75" customHeight="1">
      <c r="A609" s="153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</row>
    <row r="610" spans="1:60" ht="15.75" customHeight="1">
      <c r="A610" s="153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</row>
    <row r="611" spans="1:60" ht="15.75" customHeight="1">
      <c r="A611" s="153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</row>
    <row r="612" spans="1:60" ht="15.75" customHeight="1">
      <c r="A612" s="153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</row>
    <row r="613" spans="1:60" ht="15.75" customHeight="1">
      <c r="A613" s="153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</row>
    <row r="614" spans="1:60" ht="15.75" customHeight="1">
      <c r="A614" s="153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</row>
    <row r="615" spans="1:60" ht="15.75" customHeight="1">
      <c r="A615" s="153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</row>
    <row r="616" spans="1:60" ht="15.75" customHeight="1">
      <c r="A616" s="153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</row>
    <row r="617" spans="1:60" ht="15.75" customHeight="1">
      <c r="A617" s="153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</row>
    <row r="618" spans="1:60" ht="15.75" customHeight="1">
      <c r="A618" s="153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</row>
    <row r="619" spans="1:60" ht="15.75" customHeight="1">
      <c r="A619" s="153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</row>
    <row r="620" spans="1:60" ht="15.75" customHeight="1">
      <c r="A620" s="153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</row>
    <row r="621" spans="1:60" ht="15.75" customHeight="1">
      <c r="A621" s="153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</row>
    <row r="622" spans="1:60" ht="15.75" customHeight="1">
      <c r="A622" s="153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</row>
    <row r="623" spans="1:60" ht="15.75" customHeight="1">
      <c r="A623" s="153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</row>
    <row r="624" spans="1:60" ht="15.75" customHeight="1">
      <c r="A624" s="153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</row>
    <row r="625" spans="1:60" ht="15.75" customHeight="1">
      <c r="A625" s="153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</row>
    <row r="626" spans="1:60" ht="15.75" customHeight="1">
      <c r="A626" s="153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</row>
    <row r="627" spans="1:60" ht="15.75" customHeight="1">
      <c r="A627" s="153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</row>
    <row r="628" spans="1:60" ht="15.75" customHeight="1">
      <c r="A628" s="153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</row>
    <row r="629" spans="1:60" ht="15.75" customHeight="1">
      <c r="A629" s="153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</row>
    <row r="630" spans="1:60" ht="15.75" customHeight="1">
      <c r="A630" s="153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</row>
    <row r="631" spans="1:60" ht="15.75" customHeight="1">
      <c r="A631" s="153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</row>
    <row r="632" spans="1:60" ht="15.75" customHeight="1">
      <c r="A632" s="153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</row>
    <row r="633" spans="1:60" ht="15.75" customHeight="1">
      <c r="A633" s="153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</row>
    <row r="634" spans="1:60" ht="15.75" customHeight="1">
      <c r="A634" s="153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</row>
    <row r="635" spans="1:60" ht="15.75" customHeight="1">
      <c r="A635" s="153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</row>
    <row r="636" spans="1:60" ht="15.75" customHeight="1">
      <c r="A636" s="153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</row>
    <row r="637" spans="1:60" ht="15.75" customHeight="1">
      <c r="A637" s="153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</row>
    <row r="638" spans="1:60" ht="15.75" customHeight="1">
      <c r="A638" s="153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</row>
    <row r="639" spans="1:60" ht="15.75" customHeight="1">
      <c r="A639" s="153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</row>
    <row r="640" spans="1:60" ht="15.75" customHeight="1">
      <c r="A640" s="153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</row>
    <row r="641" spans="1:60" ht="15.75" customHeight="1">
      <c r="A641" s="153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</row>
    <row r="642" spans="1:60" ht="15.75" customHeight="1">
      <c r="A642" s="153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</row>
    <row r="643" spans="1:60" ht="15.75" customHeight="1">
      <c r="A643" s="153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</row>
    <row r="644" spans="1:60" ht="15.75" customHeight="1">
      <c r="A644" s="153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</row>
    <row r="645" spans="1:60" ht="15.75" customHeight="1">
      <c r="A645" s="153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</row>
    <row r="646" spans="1:60" ht="15.75" customHeight="1">
      <c r="A646" s="153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</row>
    <row r="647" spans="1:60" ht="15.75" customHeight="1">
      <c r="A647" s="153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</row>
    <row r="648" spans="1:60" ht="15.75" customHeight="1">
      <c r="A648" s="153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</row>
    <row r="649" spans="1:60" ht="15.75" customHeight="1">
      <c r="A649" s="153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</row>
    <row r="650" spans="1:60" ht="15.75" customHeight="1">
      <c r="A650" s="153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</row>
    <row r="651" spans="1:60" ht="15.75" customHeight="1">
      <c r="A651" s="153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</row>
    <row r="652" spans="1:60" ht="15.75" customHeight="1">
      <c r="A652" s="153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</row>
    <row r="653" spans="1:60" ht="15.75" customHeight="1">
      <c r="A653" s="153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</row>
    <row r="654" spans="1:60" ht="15.75" customHeight="1">
      <c r="A654" s="153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</row>
    <row r="655" spans="1:60" ht="15.75" customHeight="1">
      <c r="A655" s="153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</row>
    <row r="656" spans="1:60" ht="15.75" customHeight="1">
      <c r="A656" s="153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</row>
    <row r="657" spans="1:60" ht="15.75" customHeight="1">
      <c r="A657" s="153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</row>
    <row r="658" spans="1:60" ht="15.75" customHeight="1">
      <c r="A658" s="153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</row>
    <row r="659" spans="1:60" ht="15.75" customHeight="1">
      <c r="A659" s="153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</row>
    <row r="660" spans="1:60" ht="15.75" customHeight="1">
      <c r="A660" s="153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</row>
    <row r="661" spans="1:60" ht="15.75" customHeight="1">
      <c r="A661" s="153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</row>
    <row r="662" spans="1:60" ht="15.75" customHeight="1">
      <c r="A662" s="153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</row>
    <row r="663" spans="1:60" ht="15.75" customHeight="1">
      <c r="A663" s="153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</row>
    <row r="664" spans="1:60" ht="15.75" customHeight="1">
      <c r="A664" s="153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</row>
    <row r="665" spans="1:60" ht="15.75" customHeight="1">
      <c r="A665" s="153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</row>
    <row r="666" spans="1:60" ht="15.75" customHeight="1">
      <c r="A666" s="153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</row>
    <row r="667" spans="1:60" ht="15.75" customHeight="1">
      <c r="A667" s="153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</row>
    <row r="668" spans="1:60" ht="15.75" customHeight="1">
      <c r="A668" s="153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</row>
    <row r="669" spans="1:60" ht="15.75" customHeight="1">
      <c r="A669" s="153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</row>
    <row r="670" spans="1:60" ht="15.75" customHeight="1">
      <c r="A670" s="153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</row>
    <row r="671" spans="1:60" ht="15.75" customHeight="1">
      <c r="A671" s="153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</row>
    <row r="672" spans="1:60" ht="15.75" customHeight="1">
      <c r="A672" s="153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</row>
    <row r="673" spans="1:60" ht="15.75" customHeight="1">
      <c r="A673" s="153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</row>
    <row r="674" spans="1:60" ht="15.75" customHeight="1">
      <c r="A674" s="153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</row>
    <row r="675" spans="1:60" ht="15.75" customHeight="1">
      <c r="A675" s="153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</row>
    <row r="676" spans="1:60" ht="15.75" customHeight="1">
      <c r="A676" s="153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</row>
    <row r="677" spans="1:60" ht="15.75" customHeight="1">
      <c r="A677" s="153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</row>
    <row r="678" spans="1:60" ht="15.75" customHeight="1">
      <c r="A678" s="153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</row>
    <row r="679" spans="1:60" ht="15.75" customHeight="1">
      <c r="A679" s="153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</row>
    <row r="680" spans="1:60" ht="15.75" customHeight="1">
      <c r="A680" s="153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</row>
    <row r="681" spans="1:60" ht="15.75" customHeight="1">
      <c r="A681" s="153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</row>
    <row r="682" spans="1:60" ht="15.75" customHeight="1">
      <c r="A682" s="153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</row>
    <row r="683" spans="1:60" ht="15.75" customHeight="1">
      <c r="A683" s="153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</row>
    <row r="684" spans="1:60" ht="15.75" customHeight="1">
      <c r="A684" s="153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</row>
    <row r="685" spans="1:60" ht="15.75" customHeight="1">
      <c r="A685" s="153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</row>
    <row r="686" spans="1:60" ht="15.75" customHeight="1">
      <c r="A686" s="153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</row>
    <row r="687" spans="1:60" ht="15.75" customHeight="1">
      <c r="A687" s="153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</row>
    <row r="688" spans="1:60" ht="15.75" customHeight="1">
      <c r="A688" s="153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</row>
    <row r="689" spans="1:60" ht="15.75" customHeight="1">
      <c r="A689" s="153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</row>
    <row r="690" spans="1:60" ht="15.75" customHeight="1">
      <c r="A690" s="153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</row>
    <row r="691" spans="1:60" ht="15.75" customHeight="1">
      <c r="A691" s="153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</row>
    <row r="692" spans="1:60" ht="15.75" customHeight="1">
      <c r="A692" s="153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</row>
    <row r="693" spans="1:60" ht="15.75" customHeight="1">
      <c r="A693" s="153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</row>
    <row r="694" spans="1:60" ht="15.75" customHeight="1">
      <c r="A694" s="153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</row>
    <row r="695" spans="1:60" ht="15.75" customHeight="1">
      <c r="A695" s="153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</row>
    <row r="696" spans="1:60" ht="15.75" customHeight="1">
      <c r="A696" s="153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</row>
    <row r="697" spans="1:60" ht="15.75" customHeight="1">
      <c r="A697" s="153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</row>
    <row r="698" spans="1:60" ht="15.75" customHeight="1">
      <c r="A698" s="153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</row>
    <row r="699" spans="1:60" ht="15.75" customHeight="1">
      <c r="A699" s="153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</row>
    <row r="700" spans="1:60" ht="15.75" customHeight="1">
      <c r="A700" s="153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</row>
    <row r="701" spans="1:60" ht="15.75" customHeight="1">
      <c r="A701" s="153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</row>
    <row r="702" spans="1:60" ht="15.75" customHeight="1">
      <c r="A702" s="153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</row>
    <row r="703" spans="1:60" ht="15.75" customHeight="1">
      <c r="A703" s="153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</row>
    <row r="704" spans="1:60" ht="15.75" customHeight="1">
      <c r="A704" s="153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</row>
    <row r="705" spans="1:60" ht="15.75" customHeight="1">
      <c r="A705" s="153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</row>
    <row r="706" spans="1:60" ht="15.75" customHeight="1">
      <c r="A706" s="153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</row>
    <row r="707" spans="1:60" ht="15.75" customHeight="1">
      <c r="A707" s="153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</row>
    <row r="708" spans="1:60" ht="15.75" customHeight="1">
      <c r="A708" s="153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</row>
    <row r="709" spans="1:60" ht="15.75" customHeight="1">
      <c r="A709" s="153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</row>
    <row r="710" spans="1:60" ht="15.75" customHeight="1">
      <c r="A710" s="153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</row>
    <row r="711" spans="1:60" ht="15.75" customHeight="1">
      <c r="A711" s="153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</row>
    <row r="712" spans="1:60" ht="15.75" customHeight="1">
      <c r="A712" s="153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</row>
    <row r="713" spans="1:60" ht="15.75" customHeight="1">
      <c r="A713" s="153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</row>
    <row r="714" spans="1:60" ht="15.75" customHeight="1">
      <c r="A714" s="153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</row>
    <row r="715" spans="1:60" ht="15.75" customHeight="1">
      <c r="A715" s="153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</row>
    <row r="716" spans="1:60" ht="15.75" customHeight="1">
      <c r="A716" s="153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</row>
    <row r="717" spans="1:60" ht="15.75" customHeight="1">
      <c r="A717" s="153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</row>
    <row r="718" spans="1:60" ht="15.75" customHeight="1">
      <c r="A718" s="153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</row>
    <row r="719" spans="1:60" ht="15.75" customHeight="1">
      <c r="A719" s="153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</row>
    <row r="720" spans="1:60" ht="15.75" customHeight="1">
      <c r="A720" s="153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</row>
    <row r="721" spans="1:60" ht="15.75" customHeight="1">
      <c r="A721" s="153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</row>
    <row r="722" spans="1:60" ht="15.75" customHeight="1">
      <c r="A722" s="153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</row>
    <row r="723" spans="1:60" ht="15.75" customHeight="1">
      <c r="A723" s="153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</row>
    <row r="724" spans="1:60" ht="15.75" customHeight="1">
      <c r="A724" s="153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</row>
    <row r="725" spans="1:60" ht="15.75" customHeight="1">
      <c r="A725" s="153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</row>
    <row r="726" spans="1:60" ht="15.75" customHeight="1">
      <c r="A726" s="153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</row>
    <row r="727" spans="1:60" ht="15.75" customHeight="1">
      <c r="A727" s="153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</row>
    <row r="728" spans="1:60" ht="15.75" customHeight="1">
      <c r="A728" s="153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</row>
    <row r="729" spans="1:60" ht="15.75" customHeight="1">
      <c r="A729" s="153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</row>
    <row r="730" spans="1:60" ht="15.75" customHeight="1">
      <c r="A730" s="153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</row>
    <row r="731" spans="1:60" ht="15.75" customHeight="1">
      <c r="A731" s="153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</row>
    <row r="732" spans="1:60" ht="15.75" customHeight="1">
      <c r="A732" s="153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</row>
    <row r="733" spans="1:60" ht="15.75" customHeight="1">
      <c r="A733" s="153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</row>
    <row r="734" spans="1:60" ht="15.75" customHeight="1">
      <c r="A734" s="153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</row>
    <row r="735" spans="1:60" ht="15.75" customHeight="1">
      <c r="A735" s="153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</row>
    <row r="736" spans="1:60" ht="15.75" customHeight="1">
      <c r="A736" s="153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</row>
    <row r="737" spans="1:60" ht="15.75" customHeight="1">
      <c r="A737" s="153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</row>
    <row r="738" spans="1:60" ht="15.75" customHeight="1">
      <c r="A738" s="153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</row>
    <row r="739" spans="1:60" ht="15.75" customHeight="1">
      <c r="A739" s="153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</row>
    <row r="740" spans="1:60" ht="15.75" customHeight="1">
      <c r="A740" s="153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</row>
    <row r="741" spans="1:60" ht="15.75" customHeight="1">
      <c r="A741" s="153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</row>
    <row r="742" spans="1:60" ht="15.75" customHeight="1">
      <c r="A742" s="153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</row>
    <row r="743" spans="1:60" ht="15.75" customHeight="1">
      <c r="A743" s="153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</row>
    <row r="744" spans="1:60" ht="15.75" customHeight="1">
      <c r="A744" s="153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</row>
    <row r="745" spans="1:60" ht="15.75" customHeight="1">
      <c r="A745" s="153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</row>
    <row r="746" spans="1:60" ht="15.75" customHeight="1">
      <c r="A746" s="153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</row>
    <row r="747" spans="1:60" ht="15.75" customHeight="1">
      <c r="A747" s="153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</row>
    <row r="748" spans="1:60" ht="15.75" customHeight="1">
      <c r="A748" s="153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</row>
    <row r="749" spans="1:60" ht="15.75" customHeight="1">
      <c r="A749" s="153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</row>
    <row r="750" spans="1:60" ht="15.75" customHeight="1">
      <c r="A750" s="153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</row>
    <row r="751" spans="1:60" ht="15.75" customHeight="1">
      <c r="A751" s="153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</row>
    <row r="752" spans="1:60" ht="15.75" customHeight="1">
      <c r="A752" s="153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</row>
    <row r="753" spans="1:60" ht="15.75" customHeight="1">
      <c r="A753" s="153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</row>
    <row r="754" spans="1:60" ht="15.75" customHeight="1">
      <c r="A754" s="153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</row>
    <row r="755" spans="1:60" ht="15.75" customHeight="1">
      <c r="A755" s="153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</row>
    <row r="756" spans="1:60" ht="15.75" customHeight="1">
      <c r="A756" s="153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</row>
    <row r="757" spans="1:60" ht="15.75" customHeight="1">
      <c r="A757" s="153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</row>
    <row r="758" spans="1:60" ht="15.75" customHeight="1">
      <c r="A758" s="153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</row>
    <row r="759" spans="1:60" ht="15.75" customHeight="1">
      <c r="A759" s="153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</row>
    <row r="760" spans="1:60" ht="15.75" customHeight="1">
      <c r="A760" s="153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</row>
    <row r="761" spans="1:60" ht="15.75" customHeight="1">
      <c r="A761" s="153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</row>
    <row r="762" spans="1:60" ht="15.75" customHeight="1">
      <c r="A762" s="153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</row>
    <row r="763" spans="1:60" ht="15.75" customHeight="1">
      <c r="A763" s="153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</row>
    <row r="764" spans="1:60" ht="15.75" customHeight="1">
      <c r="A764" s="153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</row>
    <row r="765" spans="1:60" ht="15.75" customHeight="1">
      <c r="A765" s="153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</row>
    <row r="766" spans="1:60" ht="15.75" customHeight="1">
      <c r="A766" s="153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</row>
    <row r="767" spans="1:60" ht="15.75" customHeight="1">
      <c r="A767" s="153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</row>
    <row r="768" spans="1:60" ht="15.75" customHeight="1">
      <c r="A768" s="153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</row>
    <row r="769" spans="1:60" ht="15.75" customHeight="1">
      <c r="A769" s="153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</row>
    <row r="770" spans="1:60" ht="15.75" customHeight="1">
      <c r="A770" s="153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</row>
    <row r="771" spans="1:60" ht="15.75" customHeight="1">
      <c r="A771" s="153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</row>
    <row r="772" spans="1:60" ht="15.75" customHeight="1">
      <c r="A772" s="153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</row>
    <row r="773" spans="1:60" ht="15.75" customHeight="1">
      <c r="A773" s="153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</row>
    <row r="774" spans="1:60" ht="15.75" customHeight="1">
      <c r="A774" s="153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</row>
    <row r="775" spans="1:60" ht="15.75" customHeight="1">
      <c r="A775" s="153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</row>
    <row r="776" spans="1:60" ht="15.75" customHeight="1">
      <c r="A776" s="153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</row>
    <row r="777" spans="1:60" ht="15.75" customHeight="1">
      <c r="A777" s="153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</row>
    <row r="778" spans="1:60" ht="15.75" customHeight="1">
      <c r="A778" s="153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</row>
    <row r="779" spans="1:60" ht="15.75" customHeight="1">
      <c r="A779" s="153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</row>
    <row r="780" spans="1:60" ht="15.75" customHeight="1">
      <c r="A780" s="153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</row>
    <row r="781" spans="1:60" ht="15.75" customHeight="1">
      <c r="A781" s="153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</row>
    <row r="782" spans="1:60" ht="15.75" customHeight="1">
      <c r="A782" s="153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</row>
    <row r="783" spans="1:60" ht="15.75" customHeight="1">
      <c r="A783" s="153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</row>
    <row r="784" spans="1:60" ht="15.75" customHeight="1">
      <c r="A784" s="153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</row>
    <row r="785" spans="1:60" ht="15.75" customHeight="1">
      <c r="A785" s="153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</row>
    <row r="786" spans="1:60" ht="15.75" customHeight="1">
      <c r="A786" s="153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</row>
    <row r="787" spans="1:60" ht="15.75" customHeight="1">
      <c r="A787" s="153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</row>
    <row r="788" spans="1:60" ht="15.75" customHeight="1">
      <c r="A788" s="153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</row>
    <row r="789" spans="1:60" ht="15.75" customHeight="1">
      <c r="A789" s="153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</row>
    <row r="790" spans="1:60" ht="15.75" customHeight="1">
      <c r="A790" s="153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</row>
    <row r="791" spans="1:60" ht="15.75" customHeight="1">
      <c r="A791" s="153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</row>
    <row r="792" spans="1:60" ht="15.75" customHeight="1">
      <c r="A792" s="153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</row>
    <row r="793" spans="1:60" ht="15.75" customHeight="1">
      <c r="A793" s="153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</row>
    <row r="794" spans="1:60" ht="15.75" customHeight="1">
      <c r="A794" s="153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</row>
    <row r="795" spans="1:60" ht="15.75" customHeight="1">
      <c r="A795" s="153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</row>
    <row r="796" spans="1:60" ht="15.75" customHeight="1">
      <c r="A796" s="153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</row>
    <row r="797" spans="1:60" ht="15.75" customHeight="1">
      <c r="A797" s="153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</row>
    <row r="798" spans="1:60" ht="15.75" customHeight="1">
      <c r="A798" s="153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</row>
    <row r="799" spans="1:60" ht="15.75" customHeight="1">
      <c r="A799" s="153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</row>
    <row r="800" spans="1:60" ht="15.75" customHeight="1">
      <c r="A800" s="153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</row>
    <row r="801" spans="1:60" ht="15.75" customHeight="1">
      <c r="A801" s="153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</row>
    <row r="802" spans="1:60" ht="15.75" customHeight="1">
      <c r="A802" s="153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</row>
    <row r="803" spans="1:60" ht="15.75" customHeight="1">
      <c r="A803" s="153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</row>
    <row r="804" spans="1:60" ht="15.75" customHeight="1">
      <c r="A804" s="153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</row>
    <row r="805" spans="1:60" ht="15.75" customHeight="1">
      <c r="A805" s="153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</row>
    <row r="806" spans="1:60" ht="15.75" customHeight="1">
      <c r="A806" s="153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</row>
    <row r="807" spans="1:60" ht="15.75" customHeight="1">
      <c r="A807" s="153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</row>
    <row r="808" spans="1:60" ht="15.75" customHeight="1">
      <c r="A808" s="153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</row>
    <row r="809" spans="1:60" ht="15.75" customHeight="1">
      <c r="A809" s="153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</row>
    <row r="810" spans="1:60" ht="15.75" customHeight="1">
      <c r="A810" s="153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</row>
    <row r="811" spans="1:60" ht="15.75" customHeight="1">
      <c r="A811" s="153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</row>
    <row r="812" spans="1:60" ht="15.75" customHeight="1">
      <c r="A812" s="153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</row>
    <row r="813" spans="1:60" ht="15.75" customHeight="1">
      <c r="A813" s="153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</row>
    <row r="814" spans="1:60" ht="15.75" customHeight="1">
      <c r="A814" s="153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</row>
    <row r="815" spans="1:60" ht="15.75" customHeight="1">
      <c r="A815" s="153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</row>
    <row r="816" spans="1:60" ht="15.75" customHeight="1">
      <c r="A816" s="153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</row>
    <row r="817" spans="1:60" ht="15.75" customHeight="1">
      <c r="A817" s="153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</row>
    <row r="818" spans="1:60" ht="15.75" customHeight="1">
      <c r="A818" s="153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</row>
    <row r="819" spans="1:60" ht="15.75" customHeight="1">
      <c r="A819" s="153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</row>
    <row r="820" spans="1:60" ht="15.75" customHeight="1">
      <c r="A820" s="153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</row>
    <row r="821" spans="1:60" ht="15.75" customHeight="1">
      <c r="A821" s="153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</row>
    <row r="822" spans="1:60" ht="15.75" customHeight="1">
      <c r="A822" s="153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</row>
    <row r="823" spans="1:60" ht="15.75" customHeight="1">
      <c r="A823" s="153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</row>
    <row r="824" spans="1:60" ht="15.75" customHeight="1">
      <c r="A824" s="153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</row>
    <row r="825" spans="1:60" ht="15.75" customHeight="1">
      <c r="A825" s="153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</row>
    <row r="826" spans="1:60" ht="15.75" customHeight="1">
      <c r="A826" s="153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</row>
    <row r="827" spans="1:60" ht="15.75" customHeight="1">
      <c r="A827" s="153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</row>
    <row r="828" spans="1:60" ht="15.75" customHeight="1">
      <c r="A828" s="153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</row>
    <row r="829" spans="1:60" ht="15.75" customHeight="1">
      <c r="A829" s="153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</row>
    <row r="830" spans="1:60" ht="15.75" customHeight="1">
      <c r="A830" s="153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</row>
    <row r="831" spans="1:60" ht="15.75" customHeight="1">
      <c r="A831" s="153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</row>
    <row r="832" spans="1:60" ht="15.75" customHeight="1">
      <c r="A832" s="153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</row>
    <row r="833" spans="1:60" ht="15.75" customHeight="1">
      <c r="A833" s="153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</row>
    <row r="834" spans="1:60" ht="15.75" customHeight="1">
      <c r="A834" s="153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</row>
    <row r="835" spans="1:60" ht="15.75" customHeight="1">
      <c r="A835" s="153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</row>
    <row r="836" spans="1:60" ht="15.75" customHeight="1">
      <c r="A836" s="153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</row>
    <row r="837" spans="1:60" ht="15.75" customHeight="1">
      <c r="A837" s="153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</row>
    <row r="838" spans="1:60" ht="15.75" customHeight="1">
      <c r="A838" s="153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</row>
    <row r="839" spans="1:60" ht="15.75" customHeight="1">
      <c r="A839" s="153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</row>
    <row r="840" spans="1:60" ht="15.75" customHeight="1">
      <c r="A840" s="153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</row>
    <row r="841" spans="1:60" ht="15.75" customHeight="1">
      <c r="A841" s="153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</row>
    <row r="842" spans="1:60" ht="15.75" customHeight="1">
      <c r="A842" s="153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</row>
    <row r="843" spans="1:60" ht="15.75" customHeight="1">
      <c r="A843" s="153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</row>
    <row r="844" spans="1:60" ht="15.75" customHeight="1">
      <c r="A844" s="153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</row>
    <row r="845" spans="1:60" ht="15.75" customHeight="1">
      <c r="A845" s="153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</row>
    <row r="846" spans="1:60" ht="15.75" customHeight="1">
      <c r="A846" s="153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</row>
    <row r="847" spans="1:60" ht="15.75" customHeight="1">
      <c r="A847" s="153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</row>
    <row r="848" spans="1:60" ht="15.75" customHeight="1">
      <c r="A848" s="153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</row>
    <row r="849" spans="1:60" ht="15.75" customHeight="1">
      <c r="A849" s="153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</row>
    <row r="850" spans="1:60" ht="15.75" customHeight="1">
      <c r="A850" s="153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</row>
    <row r="851" spans="1:60" ht="15.75" customHeight="1">
      <c r="A851" s="153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</row>
    <row r="852" spans="1:60" ht="15.75" customHeight="1">
      <c r="A852" s="153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</row>
    <row r="853" spans="1:60" ht="15.75" customHeight="1">
      <c r="A853" s="153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</row>
    <row r="854" spans="1:60" ht="15.75" customHeight="1">
      <c r="A854" s="153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</row>
    <row r="855" spans="1:60" ht="15.75" customHeight="1">
      <c r="A855" s="153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</row>
    <row r="856" spans="1:60" ht="15.75" customHeight="1">
      <c r="A856" s="153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</row>
    <row r="857" spans="1:60" ht="15.75" customHeight="1">
      <c r="A857" s="153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</row>
    <row r="858" spans="1:60" ht="15.75" customHeight="1">
      <c r="A858" s="153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</row>
    <row r="859" spans="1:60" ht="15.75" customHeight="1">
      <c r="A859" s="153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</row>
    <row r="860" spans="1:60" ht="15.75" customHeight="1">
      <c r="A860" s="153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</row>
    <row r="861" spans="1:60" ht="15.75" customHeight="1">
      <c r="A861" s="153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</row>
    <row r="862" spans="1:60" ht="15.75" customHeight="1">
      <c r="A862" s="153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</row>
    <row r="863" spans="1:60" ht="15.75" customHeight="1">
      <c r="A863" s="153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</row>
    <row r="864" spans="1:60" ht="15.75" customHeight="1">
      <c r="A864" s="153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</row>
    <row r="865" spans="1:60" ht="15.75" customHeight="1">
      <c r="A865" s="153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</row>
    <row r="866" spans="1:60" ht="15.75" customHeight="1">
      <c r="A866" s="153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</row>
    <row r="867" spans="1:60" ht="15.75" customHeight="1">
      <c r="A867" s="153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</row>
    <row r="868" spans="1:60" ht="15.75" customHeight="1">
      <c r="A868" s="153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</row>
    <row r="869" spans="1:60" ht="15.75" customHeight="1">
      <c r="A869" s="153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</row>
    <row r="870" spans="1:60" ht="15.75" customHeight="1">
      <c r="A870" s="153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</row>
    <row r="871" spans="1:60" ht="15.75" customHeight="1">
      <c r="A871" s="153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</row>
    <row r="872" spans="1:60" ht="15.75" customHeight="1">
      <c r="A872" s="153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</row>
    <row r="873" spans="1:60" ht="15.75" customHeight="1">
      <c r="A873" s="153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</row>
    <row r="874" spans="1:60" ht="15.75" customHeight="1">
      <c r="A874" s="153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</row>
    <row r="875" spans="1:60" ht="15.75" customHeight="1">
      <c r="A875" s="153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</row>
    <row r="876" spans="1:60" ht="15.75" customHeight="1">
      <c r="A876" s="153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</row>
    <row r="877" spans="1:60" ht="15.75" customHeight="1">
      <c r="A877" s="153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</row>
    <row r="878" spans="1:60" ht="15.75" customHeight="1">
      <c r="A878" s="153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</row>
    <row r="879" spans="1:60" ht="15.75" customHeight="1">
      <c r="A879" s="153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</row>
    <row r="880" spans="1:60" ht="15.75" customHeight="1">
      <c r="A880" s="153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</row>
    <row r="881" spans="1:60" ht="15.75" customHeight="1">
      <c r="A881" s="153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</row>
    <row r="882" spans="1:60" ht="15.75" customHeight="1">
      <c r="A882" s="153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</row>
    <row r="883" spans="1:60" ht="15.75" customHeight="1">
      <c r="A883" s="153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</row>
    <row r="884" spans="1:60" ht="15.75" customHeight="1">
      <c r="A884" s="153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</row>
    <row r="885" spans="1:60" ht="15.75" customHeight="1">
      <c r="A885" s="153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</row>
    <row r="886" spans="1:60" ht="15.75" customHeight="1">
      <c r="A886" s="153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</row>
    <row r="887" spans="1:60" ht="15.75" customHeight="1">
      <c r="A887" s="153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</row>
    <row r="888" spans="1:60" ht="15.75" customHeight="1">
      <c r="A888" s="153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</row>
    <row r="889" spans="1:60" ht="15.75" customHeight="1">
      <c r="A889" s="153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</row>
    <row r="890" spans="1:60" ht="15.75" customHeight="1">
      <c r="A890" s="153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</row>
    <row r="891" spans="1:60" ht="15.75" customHeight="1">
      <c r="A891" s="153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</row>
    <row r="892" spans="1:60" ht="15.75" customHeight="1">
      <c r="A892" s="153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</row>
    <row r="893" spans="1:60" ht="15.75" customHeight="1">
      <c r="A893" s="153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</row>
    <row r="894" spans="1:60" ht="15.75" customHeight="1">
      <c r="A894" s="153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</row>
    <row r="895" spans="1:60" ht="15.75" customHeight="1">
      <c r="A895" s="153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</row>
    <row r="896" spans="1:60" ht="15.75" customHeight="1">
      <c r="A896" s="153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</row>
    <row r="897" spans="1:60" ht="15.75" customHeight="1">
      <c r="A897" s="153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</row>
    <row r="898" spans="1:60" ht="15.75" customHeight="1">
      <c r="A898" s="153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</row>
    <row r="899" spans="1:60" ht="15.75" customHeight="1">
      <c r="A899" s="153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</row>
    <row r="900" spans="1:60" ht="15.75" customHeight="1">
      <c r="A900" s="153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</row>
    <row r="901" spans="1:60" ht="15.75" customHeight="1">
      <c r="A901" s="153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</row>
    <row r="902" spans="1:60" ht="15.75" customHeight="1">
      <c r="A902" s="153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</row>
    <row r="903" spans="1:60" ht="15.75" customHeight="1">
      <c r="A903" s="153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</row>
    <row r="904" spans="1:60" ht="15.75" customHeight="1">
      <c r="A904" s="153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</row>
    <row r="905" spans="1:60" ht="15.75" customHeight="1">
      <c r="A905" s="153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</row>
    <row r="906" spans="1:60" ht="15.75" customHeight="1">
      <c r="A906" s="153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</row>
    <row r="907" spans="1:60" ht="15.75" customHeight="1">
      <c r="A907" s="153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</row>
    <row r="908" spans="1:60" ht="15.75" customHeight="1">
      <c r="A908" s="153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</row>
    <row r="909" spans="1:60" ht="15.75" customHeight="1">
      <c r="A909" s="153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</row>
    <row r="910" spans="1:60" ht="15.75" customHeight="1">
      <c r="A910" s="153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</row>
    <row r="911" spans="1:60" ht="15.75" customHeight="1">
      <c r="A911" s="153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</row>
    <row r="912" spans="1:60" ht="15.75" customHeight="1">
      <c r="A912" s="153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</row>
    <row r="913" spans="1:60" ht="15.75" customHeight="1">
      <c r="A913" s="153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</row>
    <row r="914" spans="1:60" ht="15.75" customHeight="1">
      <c r="A914" s="153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</row>
    <row r="915" spans="1:60" ht="15.75" customHeight="1">
      <c r="A915" s="153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</row>
    <row r="916" spans="1:60" ht="15.75" customHeight="1">
      <c r="A916" s="153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</row>
    <row r="917" spans="1:60" ht="15.75" customHeight="1">
      <c r="A917" s="153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</row>
    <row r="918" spans="1:60" ht="15.75" customHeight="1">
      <c r="A918" s="153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</row>
    <row r="919" spans="1:60" ht="15.75" customHeight="1">
      <c r="A919" s="153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</row>
    <row r="920" spans="1:60" ht="15.75" customHeight="1">
      <c r="A920" s="153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</row>
    <row r="921" spans="1:60" ht="15.75" customHeight="1">
      <c r="A921" s="153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</row>
    <row r="922" spans="1:60" ht="15.75" customHeight="1">
      <c r="A922" s="153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</row>
    <row r="923" spans="1:60" ht="15.75" customHeight="1">
      <c r="A923" s="153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</row>
    <row r="924" spans="1:60" ht="15.75" customHeight="1">
      <c r="A924" s="153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</row>
    <row r="925" spans="1:60" ht="15.75" customHeight="1">
      <c r="A925" s="153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</row>
    <row r="926" spans="1:60" ht="15.75" customHeight="1">
      <c r="A926" s="153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</row>
    <row r="927" spans="1:60" ht="15.75" customHeight="1">
      <c r="A927" s="153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</row>
    <row r="928" spans="1:60" ht="15.75" customHeight="1">
      <c r="A928" s="153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</row>
    <row r="929" spans="1:60" ht="15.75" customHeight="1">
      <c r="A929" s="153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</row>
    <row r="930" spans="1:60" ht="15.75" customHeight="1">
      <c r="A930" s="153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</row>
    <row r="931" spans="1:60" ht="15.75" customHeight="1">
      <c r="A931" s="153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</row>
    <row r="932" spans="1:60" ht="15.75" customHeight="1">
      <c r="A932" s="153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</row>
    <row r="933" spans="1:60" ht="15.75" customHeight="1">
      <c r="A933" s="153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</row>
    <row r="934" spans="1:60" ht="15.75" customHeight="1">
      <c r="A934" s="153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</row>
    <row r="935" spans="1:60" ht="15.75" customHeight="1">
      <c r="A935" s="153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</row>
    <row r="936" spans="1:60" ht="15.75" customHeight="1">
      <c r="A936" s="153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</row>
    <row r="937" spans="1:60" ht="15.75" customHeight="1">
      <c r="A937" s="153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</row>
    <row r="938" spans="1:60" ht="15.75" customHeight="1">
      <c r="A938" s="153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</row>
    <row r="939" spans="1:60" ht="15.75" customHeight="1">
      <c r="A939" s="153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</row>
    <row r="940" spans="1:60" ht="15.75" customHeight="1">
      <c r="A940" s="153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</row>
    <row r="941" spans="1:60" ht="15.75" customHeight="1">
      <c r="A941" s="153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</row>
    <row r="942" spans="1:60" ht="15.75" customHeight="1">
      <c r="A942" s="153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</row>
    <row r="943" spans="1:60" ht="15.75" customHeight="1">
      <c r="A943" s="153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</row>
    <row r="944" spans="1:60" ht="15.75" customHeight="1">
      <c r="A944" s="153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</row>
    <row r="945" spans="1:60" ht="15.75" customHeight="1">
      <c r="A945" s="153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</row>
    <row r="946" spans="1:60" ht="15.75" customHeight="1">
      <c r="A946" s="153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</row>
    <row r="947" spans="1:60" ht="15.75" customHeight="1">
      <c r="A947" s="153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</row>
    <row r="948" spans="1:60" ht="15.75" customHeight="1">
      <c r="A948" s="153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</row>
    <row r="949" spans="1:60" ht="15.75" customHeight="1">
      <c r="A949" s="153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</row>
    <row r="950" spans="1:60" ht="15.75" customHeight="1">
      <c r="A950" s="153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</row>
    <row r="951" spans="1:60" ht="15.75" customHeight="1">
      <c r="A951" s="153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</row>
    <row r="952" spans="1:60" ht="15.75" customHeight="1">
      <c r="A952" s="153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</row>
    <row r="953" spans="1:60" ht="15.75" customHeight="1">
      <c r="A953" s="153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</row>
    <row r="954" spans="1:60" ht="15.75" customHeight="1">
      <c r="A954" s="153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</row>
    <row r="955" spans="1:60" ht="15.75" customHeight="1">
      <c r="A955" s="153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</row>
    <row r="956" spans="1:60" ht="15.75" customHeight="1">
      <c r="A956" s="153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</row>
    <row r="957" spans="1:60" ht="15.75" customHeight="1">
      <c r="A957" s="153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</row>
    <row r="958" spans="1:60" ht="15.75" customHeight="1">
      <c r="A958" s="153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</row>
    <row r="959" spans="1:60" ht="15.75" customHeight="1">
      <c r="A959" s="153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</row>
    <row r="960" spans="1:60" ht="15.75" customHeight="1">
      <c r="A960" s="153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</row>
    <row r="961" spans="1:60" ht="15.75" customHeight="1">
      <c r="A961" s="153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</row>
    <row r="962" spans="1:60" ht="15.75" customHeight="1">
      <c r="A962" s="153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</row>
    <row r="963" spans="1:60" ht="15.75" customHeight="1">
      <c r="A963" s="153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</row>
    <row r="964" spans="1:60" ht="15.75" customHeight="1">
      <c r="A964" s="153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</row>
    <row r="965" spans="1:60" ht="15.75" customHeight="1">
      <c r="A965" s="153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</row>
    <row r="966" spans="1:60" ht="15.75" customHeight="1">
      <c r="A966" s="153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</row>
    <row r="967" spans="1:60" ht="15.75" customHeight="1">
      <c r="A967" s="153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</row>
    <row r="968" spans="1:60" ht="15.75" customHeight="1">
      <c r="A968" s="153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</row>
    <row r="969" spans="1:60" ht="15.75" customHeight="1">
      <c r="A969" s="153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</row>
    <row r="970" spans="1:60" ht="15.75" customHeight="1">
      <c r="A970" s="153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</row>
    <row r="971" spans="1:60" ht="15.75" customHeight="1">
      <c r="A971" s="153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</row>
    <row r="972" spans="1:60" ht="15.75" customHeight="1">
      <c r="A972" s="153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</row>
    <row r="973" spans="1:60" ht="15.75" customHeight="1">
      <c r="A973" s="153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</row>
    <row r="974" spans="1:60" ht="15.75" customHeight="1">
      <c r="A974" s="153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</row>
    <row r="975" spans="1:60" ht="15.75" customHeight="1">
      <c r="A975" s="153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</row>
    <row r="976" spans="1:60" ht="15.75" customHeight="1">
      <c r="A976" s="153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</row>
    <row r="977" spans="1:60" ht="15.75" customHeight="1">
      <c r="A977" s="153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</row>
    <row r="978" spans="1:60" ht="15.75" customHeight="1">
      <c r="A978" s="153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</row>
    <row r="979" spans="1:60" ht="15.75" customHeight="1">
      <c r="A979" s="153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</row>
    <row r="980" spans="1:60" ht="15.75" customHeight="1">
      <c r="A980" s="153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</row>
    <row r="981" spans="1:60" ht="15.75" customHeight="1">
      <c r="A981" s="153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</row>
    <row r="982" spans="1:60" ht="15.75" customHeight="1">
      <c r="A982" s="153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</row>
    <row r="983" spans="1:60" ht="15.75" customHeight="1">
      <c r="A983" s="153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</row>
    <row r="984" spans="1:60" ht="15.75" customHeight="1">
      <c r="A984" s="153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</row>
    <row r="985" spans="1:60" ht="15.75" customHeight="1">
      <c r="A985" s="153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</row>
    <row r="986" spans="1:60" ht="15.75" customHeight="1">
      <c r="A986" s="153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</row>
    <row r="987" spans="1:60" ht="15.75" customHeight="1">
      <c r="A987" s="153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</row>
    <row r="988" spans="1:60" ht="15.75" customHeight="1">
      <c r="A988" s="153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</row>
    <row r="989" spans="1:60" ht="15.75" customHeight="1">
      <c r="A989" s="153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</row>
    <row r="990" spans="1:60" ht="15.75" customHeight="1">
      <c r="A990" s="153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</row>
    <row r="991" spans="1:60" ht="15.75" customHeight="1">
      <c r="A991" s="153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</row>
    <row r="992" spans="1:60" ht="15.75" customHeight="1">
      <c r="A992" s="153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</row>
    <row r="993" spans="1:60" ht="15.75" customHeight="1">
      <c r="A993" s="153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</row>
    <row r="994" spans="1:60" ht="15.75" customHeight="1">
      <c r="A994" s="153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</row>
    <row r="995" spans="1:60" ht="15.75" customHeight="1">
      <c r="A995" s="153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</row>
    <row r="996" spans="1:60" ht="15.75" customHeight="1">
      <c r="A996" s="153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</row>
    <row r="997" spans="1:60" ht="15.75" customHeight="1">
      <c r="A997" s="153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</row>
    <row r="998" spans="1:60" ht="15.75" customHeight="1">
      <c r="A998" s="153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</row>
    <row r="999" spans="1:60" ht="15.75" customHeight="1">
      <c r="A999" s="153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</row>
    <row r="1000" spans="1:60" ht="15.75" customHeight="1">
      <c r="A1000" s="153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</row>
    <row r="1001" spans="1:60" ht="15.75" customHeight="1">
      <c r="A1001" s="153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54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54"/>
      <c r="BC1001" s="154"/>
      <c r="BD1001" s="154"/>
      <c r="BE1001" s="154"/>
      <c r="BF1001" s="154"/>
      <c r="BG1001" s="154"/>
      <c r="BH1001" s="154"/>
    </row>
  </sheetData>
  <mergeCells count="8">
    <mergeCell ref="BF1:BF2"/>
    <mergeCell ref="BG1:BG2"/>
    <mergeCell ref="BH1:BH2"/>
    <mergeCell ref="A1:A2"/>
    <mergeCell ref="B1:C1"/>
    <mergeCell ref="D1:BC1"/>
    <mergeCell ref="BD1:BD2"/>
    <mergeCell ref="BE1:BE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E67"/>
  <sheetViews>
    <sheetView zoomScale="150" zoomScaleNormal="150" workbookViewId="0">
      <pane xSplit="3" ySplit="2" topLeftCell="T36" activePane="bottomRight" state="frozen"/>
      <selection pane="topRight" activeCell="D1" sqref="D1"/>
      <selection pane="bottomLeft" activeCell="A3" sqref="A3"/>
      <selection pane="bottomRight" activeCell="Y62" sqref="Y62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44" bestFit="1" customWidth="1"/>
    <col min="4" max="4" width="23.5" style="231" customWidth="1"/>
    <col min="5" max="18" width="23.5" customWidth="1"/>
    <col min="19" max="20" width="29" customWidth="1"/>
    <col min="21" max="54" width="23.5" customWidth="1"/>
    <col min="55" max="56" width="30.5" customWidth="1"/>
    <col min="57" max="57" width="19" customWidth="1"/>
  </cols>
  <sheetData>
    <row r="1" spans="1:57" ht="39" customHeight="1">
      <c r="A1" s="155"/>
      <c r="B1" s="156"/>
      <c r="C1" s="156" t="s">
        <v>321</v>
      </c>
      <c r="D1" s="228" t="s">
        <v>550</v>
      </c>
      <c r="E1" s="240">
        <v>45748</v>
      </c>
      <c r="F1" s="238"/>
      <c r="G1" s="238"/>
      <c r="H1" s="239"/>
      <c r="I1" s="241">
        <v>45778</v>
      </c>
      <c r="J1" s="238"/>
      <c r="K1" s="238"/>
      <c r="L1" s="239"/>
      <c r="M1" s="242">
        <v>45809</v>
      </c>
      <c r="N1" s="238"/>
      <c r="O1" s="238"/>
      <c r="P1" s="239"/>
      <c r="Q1" s="237">
        <v>45839</v>
      </c>
      <c r="R1" s="238"/>
      <c r="S1" s="238"/>
      <c r="T1" s="239"/>
      <c r="U1" s="242">
        <v>45870</v>
      </c>
      <c r="V1" s="238"/>
      <c r="W1" s="238"/>
      <c r="X1" s="239"/>
      <c r="Y1" s="237">
        <v>45901</v>
      </c>
      <c r="Z1" s="238"/>
      <c r="AA1" s="238"/>
      <c r="AB1" s="239"/>
      <c r="AC1" s="237">
        <v>45931</v>
      </c>
      <c r="AD1" s="238"/>
      <c r="AE1" s="238"/>
      <c r="AF1" s="239"/>
      <c r="AG1" s="237">
        <v>45962</v>
      </c>
      <c r="AH1" s="238"/>
      <c r="AI1" s="238"/>
      <c r="AJ1" s="239"/>
      <c r="AK1" s="237">
        <v>45992</v>
      </c>
      <c r="AL1" s="238"/>
      <c r="AM1" s="238"/>
      <c r="AN1" s="239"/>
      <c r="AO1" s="237">
        <v>46023</v>
      </c>
      <c r="AP1" s="238"/>
      <c r="AQ1" s="238"/>
      <c r="AR1" s="239"/>
      <c r="AS1" s="237">
        <v>46054</v>
      </c>
      <c r="AT1" s="238"/>
      <c r="AU1" s="238"/>
      <c r="AV1" s="239"/>
      <c r="AW1" s="237">
        <v>46082</v>
      </c>
      <c r="AX1" s="238"/>
      <c r="AY1" s="238"/>
      <c r="AZ1" s="239"/>
      <c r="BA1" s="159" t="s">
        <v>324</v>
      </c>
      <c r="BB1" s="159" t="s">
        <v>325</v>
      </c>
      <c r="BC1" s="159" t="s">
        <v>326</v>
      </c>
      <c r="BD1" s="159" t="s">
        <v>327</v>
      </c>
      <c r="BE1" s="229" t="s">
        <v>551</v>
      </c>
    </row>
    <row r="2" spans="1:57">
      <c r="A2" s="161" t="s">
        <v>329</v>
      </c>
      <c r="B2" s="161" t="s">
        <v>330</v>
      </c>
      <c r="C2" s="161" t="s">
        <v>331</v>
      </c>
      <c r="D2" s="163"/>
      <c r="E2" s="164" t="s">
        <v>332</v>
      </c>
      <c r="F2" s="165" t="s">
        <v>333</v>
      </c>
      <c r="G2" s="165" t="s">
        <v>334</v>
      </c>
      <c r="H2" s="165" t="s">
        <v>335</v>
      </c>
      <c r="I2" s="166" t="s">
        <v>332</v>
      </c>
      <c r="J2" s="166" t="s">
        <v>333</v>
      </c>
      <c r="K2" s="166" t="s">
        <v>334</v>
      </c>
      <c r="L2" s="166" t="s">
        <v>335</v>
      </c>
      <c r="M2" s="165" t="s">
        <v>332</v>
      </c>
      <c r="N2" s="165" t="s">
        <v>333</v>
      </c>
      <c r="O2" s="165" t="s">
        <v>334</v>
      </c>
      <c r="P2" s="165" t="s">
        <v>335</v>
      </c>
      <c r="Q2" s="166" t="s">
        <v>332</v>
      </c>
      <c r="R2" s="166" t="s">
        <v>333</v>
      </c>
      <c r="S2" s="166" t="s">
        <v>334</v>
      </c>
      <c r="T2" s="166" t="s">
        <v>335</v>
      </c>
      <c r="U2" s="165" t="s">
        <v>332</v>
      </c>
      <c r="V2" s="165" t="s">
        <v>333</v>
      </c>
      <c r="W2" s="165" t="s">
        <v>334</v>
      </c>
      <c r="X2" s="165" t="s">
        <v>335</v>
      </c>
      <c r="Y2" s="166" t="s">
        <v>332</v>
      </c>
      <c r="Z2" s="166" t="s">
        <v>333</v>
      </c>
      <c r="AA2" s="166" t="s">
        <v>334</v>
      </c>
      <c r="AB2" s="166" t="s">
        <v>335</v>
      </c>
      <c r="AC2" s="166" t="s">
        <v>332</v>
      </c>
      <c r="AD2" s="166" t="s">
        <v>333</v>
      </c>
      <c r="AE2" s="166" t="s">
        <v>334</v>
      </c>
      <c r="AF2" s="166" t="s">
        <v>335</v>
      </c>
      <c r="AG2" s="166" t="s">
        <v>332</v>
      </c>
      <c r="AH2" s="166" t="s">
        <v>333</v>
      </c>
      <c r="AI2" s="166" t="s">
        <v>334</v>
      </c>
      <c r="AJ2" s="166" t="s">
        <v>335</v>
      </c>
      <c r="AK2" s="166" t="s">
        <v>332</v>
      </c>
      <c r="AL2" s="166" t="s">
        <v>333</v>
      </c>
      <c r="AM2" s="166" t="s">
        <v>334</v>
      </c>
      <c r="AN2" s="166" t="s">
        <v>335</v>
      </c>
      <c r="AO2" s="166" t="s">
        <v>332</v>
      </c>
      <c r="AP2" s="166" t="s">
        <v>333</v>
      </c>
      <c r="AQ2" s="166" t="s">
        <v>334</v>
      </c>
      <c r="AR2" s="166" t="s">
        <v>335</v>
      </c>
      <c r="AS2" s="166" t="s">
        <v>332</v>
      </c>
      <c r="AT2" s="166" t="s">
        <v>333</v>
      </c>
      <c r="AU2" s="166" t="s">
        <v>334</v>
      </c>
      <c r="AV2" s="166" t="s">
        <v>335</v>
      </c>
      <c r="AW2" s="166" t="s">
        <v>332</v>
      </c>
      <c r="AX2" s="166" t="s">
        <v>333</v>
      </c>
      <c r="AY2" s="166" t="s">
        <v>334</v>
      </c>
      <c r="AZ2" s="166" t="s">
        <v>335</v>
      </c>
      <c r="BA2" s="167"/>
      <c r="BB2" s="167"/>
      <c r="BC2" s="167"/>
      <c r="BD2" s="232"/>
      <c r="BE2" s="235"/>
    </row>
    <row r="3" spans="1:57" ht="16">
      <c r="A3" s="169" t="s">
        <v>24</v>
      </c>
      <c r="B3" s="13"/>
      <c r="C3" s="13" t="s">
        <v>25</v>
      </c>
      <c r="D3" s="136"/>
      <c r="E3" s="171">
        <f>'Apr2025-COLLECTION'!K2</f>
        <v>4944</v>
      </c>
      <c r="F3" s="172">
        <f>'Apr2025-EXPENSE'!R6</f>
        <v>5554.8317805190336</v>
      </c>
      <c r="G3" s="172"/>
      <c r="H3" s="172">
        <f t="shared" ref="H3:H66" si="0">E3-(F3+G3)</f>
        <v>-610.8317805190336</v>
      </c>
      <c r="I3" s="173">
        <f>'May2025-COLLECTION'!K2</f>
        <v>5513</v>
      </c>
      <c r="J3" s="174">
        <f>'May2025-EXPENSE'!R6</f>
        <v>4390.7598342494257</v>
      </c>
      <c r="K3" s="174"/>
      <c r="L3" s="174">
        <f t="shared" ref="L3:L66" si="1">I3-(J3+K3)</f>
        <v>1122.2401657505743</v>
      </c>
      <c r="M3" s="172">
        <f>'June2025-COLLECTION'!K2</f>
        <v>4374</v>
      </c>
      <c r="N3" s="172">
        <f>'June2025-EXPENSE'!R6</f>
        <v>4546.3443403691026</v>
      </c>
      <c r="O3" s="172"/>
      <c r="P3" s="172">
        <f t="shared" ref="P3:P66" si="2">M3-(N3+O3)</f>
        <v>-172.34434036910261</v>
      </c>
      <c r="Q3" s="41">
        <f>'July2025-COLLECTION'!K2</f>
        <v>0</v>
      </c>
      <c r="R3" s="174">
        <f>'July2025-EXPENSE'!R6</f>
        <v>5496.7149229277738</v>
      </c>
      <c r="S3" s="174"/>
      <c r="T3" s="174">
        <f t="shared" ref="T3:T66" si="3">Q3-(R3+S3)</f>
        <v>-5496.7149229277738</v>
      </c>
      <c r="U3" s="167">
        <f>'Aug2025-COLLECTION'!K2</f>
        <v>5497</v>
      </c>
      <c r="V3" s="172">
        <f>'Aug2025-EXPENSE'!R6</f>
        <v>5912.5585020588342</v>
      </c>
      <c r="W3" s="172"/>
      <c r="X3" s="172">
        <f t="shared" ref="X3:X66" si="4">U3-(V3+W3)</f>
        <v>-415.55850205883416</v>
      </c>
      <c r="Y3" s="41">
        <f>'Sep2025-COLLECTION'!K2</f>
        <v>5497</v>
      </c>
      <c r="Z3" s="174">
        <f>'Sep2025-EXPENSE'!R6</f>
        <v>4939.9383686384699</v>
      </c>
      <c r="AA3" s="174"/>
      <c r="AB3" s="174">
        <f t="shared" ref="AB3:AB66" si="5">Y3-(Z3+AA3)</f>
        <v>557.06163136153009</v>
      </c>
      <c r="AC3" s="41">
        <f>'Oct2025-COLLECTION'!K2</f>
        <v>0</v>
      </c>
      <c r="AD3" s="174">
        <f>'Oct2025-EXPENSE'!R6</f>
        <v>6395.8022097327339</v>
      </c>
      <c r="AE3" s="174"/>
      <c r="AF3" s="174">
        <f t="shared" ref="AF3:AF66" si="6">AC3-(AD3+AE3)</f>
        <v>-6395.8022097327339</v>
      </c>
      <c r="AG3" s="41">
        <f>'Nov2025-COLLECTION'!K2</f>
        <v>0</v>
      </c>
      <c r="AH3" s="174">
        <f>'Nov2025-EXPENSE'!R6</f>
        <v>6623.2939565329443</v>
      </c>
      <c r="AI3" s="174"/>
      <c r="AJ3" s="174">
        <f t="shared" ref="AJ3:AJ66" si="7">AG3-(AH3+AI3)</f>
        <v>-6623.2939565329443</v>
      </c>
      <c r="AK3" s="41">
        <f>'Dec2025-COLLECTION'!K2</f>
        <v>13099</v>
      </c>
      <c r="AL3" s="174">
        <f>'Dec2025-EXPENSE'!R6</f>
        <v>5110.5418091419069</v>
      </c>
      <c r="AM3" s="174"/>
      <c r="AN3" s="174">
        <f t="shared" ref="AN3:AN66" si="8">AK3-(AL3+AM3)</f>
        <v>7988.4581908580931</v>
      </c>
      <c r="AO3" s="7">
        <f>'Jan2026-COLLECTION'!K2</f>
        <v>5555</v>
      </c>
      <c r="AP3" s="10">
        <f>'Jan2026-EXPENSE'!R6</f>
        <v>5091.3398017781528</v>
      </c>
      <c r="AQ3" s="10"/>
      <c r="AR3" s="174">
        <f t="shared" ref="AR3:AR66" si="9">AO3-(AP3+AQ3)</f>
        <v>463.66019822184717</v>
      </c>
      <c r="AS3" s="7">
        <f>'Feb2026-COLLECTION'!K2</f>
        <v>5108</v>
      </c>
      <c r="AT3" s="10">
        <f>'Feb2026-EXPENSE'!R6</f>
        <v>4755.0297466168404</v>
      </c>
      <c r="AU3" s="10"/>
      <c r="AV3" s="174">
        <f t="shared" ref="AV3:AV66" si="10">AS3-(AT3+AU3)</f>
        <v>352.97025338315962</v>
      </c>
      <c r="AW3" s="7">
        <f>'Mar2026-COLLECTION'!K2</f>
        <v>4755</v>
      </c>
      <c r="AX3" s="10">
        <f>'Mar2026-EXPENSE'!R6</f>
        <v>4967.5509648418965</v>
      </c>
      <c r="AY3" s="10"/>
      <c r="AZ3" s="174">
        <f t="shared" ref="AZ3:AZ66" si="11">AW3-(AX3+AY3)</f>
        <v>-212.55096484189653</v>
      </c>
      <c r="BA3" s="172">
        <f t="shared" ref="BA3:BC3" si="12">SUM(E3,I3,M3,Q3,U3,Y3,AC3,AG3,AK3,AO3,AS3,AW3)</f>
        <v>54342</v>
      </c>
      <c r="BB3" s="172">
        <f t="shared" si="12"/>
        <v>63784.70623740711</v>
      </c>
      <c r="BC3" s="172">
        <f t="shared" si="12"/>
        <v>0</v>
      </c>
      <c r="BD3" s="233">
        <f t="shared" ref="BD3:BD66" si="13">BA3-(BB3+BC3)</f>
        <v>-9442.7062374071102</v>
      </c>
      <c r="BE3" s="236">
        <f>BD3+D3</f>
        <v>-9442.7062374071102</v>
      </c>
    </row>
    <row r="4" spans="1:57" ht="16">
      <c r="A4" s="169" t="s">
        <v>26</v>
      </c>
      <c r="B4" s="13" t="s">
        <v>336</v>
      </c>
      <c r="C4" s="13" t="s">
        <v>337</v>
      </c>
      <c r="D4" s="230">
        <v>-25006</v>
      </c>
      <c r="E4" s="171">
        <f>'Apr2025-COLLECTION'!K3</f>
        <v>0</v>
      </c>
      <c r="F4" s="172">
        <f>'Apr2025-EXPENSE'!R7</f>
        <v>6880.662487778387</v>
      </c>
      <c r="G4" s="172"/>
      <c r="H4" s="172">
        <f t="shared" si="0"/>
        <v>-6880.662487778387</v>
      </c>
      <c r="I4" s="173">
        <f>'May2025-COLLECTION'!K3</f>
        <v>9182</v>
      </c>
      <c r="J4" s="174">
        <f>'May2025-EXPENSE'!R7</f>
        <v>5570.8484697871882</v>
      </c>
      <c r="K4" s="174">
        <v>500</v>
      </c>
      <c r="L4" s="174">
        <f t="shared" si="1"/>
        <v>3111.1515302128118</v>
      </c>
      <c r="M4" s="172">
        <f>'June2025-COLLECTION'!K3</f>
        <v>41625</v>
      </c>
      <c r="N4" s="172">
        <f>'June2025-EXPENSE'!R7</f>
        <v>5614.1063573144438</v>
      </c>
      <c r="O4" s="172"/>
      <c r="P4" s="172">
        <f t="shared" si="2"/>
        <v>36010.893642685558</v>
      </c>
      <c r="Q4" s="41">
        <f>'July2025-COLLECTION'!K3</f>
        <v>0</v>
      </c>
      <c r="R4" s="174">
        <f>'July2025-EXPENSE'!R7</f>
        <v>6759.7325735036775</v>
      </c>
      <c r="S4" s="174">
        <v>500</v>
      </c>
      <c r="T4" s="174">
        <f t="shared" si="3"/>
        <v>-7259.7325735036775</v>
      </c>
      <c r="U4" s="167">
        <f>'Aug2025-COLLECTION'!K3</f>
        <v>0</v>
      </c>
      <c r="V4" s="172">
        <f>'Aug2025-EXPENSE'!R7</f>
        <v>7197.266234898143</v>
      </c>
      <c r="W4" s="172"/>
      <c r="X4" s="172">
        <f t="shared" si="4"/>
        <v>-7197.266234898143</v>
      </c>
      <c r="Y4" s="41">
        <f>'Sep2025-COLLECTION'!K3</f>
        <v>26147</v>
      </c>
      <c r="Z4" s="174">
        <f>'Sep2025-EXPENSE'!R7</f>
        <v>5914.7005440788471</v>
      </c>
      <c r="AA4" s="174"/>
      <c r="AB4" s="174">
        <f t="shared" si="5"/>
        <v>20232.299455921151</v>
      </c>
      <c r="AC4" s="41">
        <f>'Oct2025-COLLECTION'!K3</f>
        <v>0</v>
      </c>
      <c r="AD4" s="174">
        <f>'Oct2025-EXPENSE'!R7</f>
        <v>7049.7450594742113</v>
      </c>
      <c r="AE4" s="174"/>
      <c r="AF4" s="174">
        <f t="shared" si="6"/>
        <v>-7049.7450594742113</v>
      </c>
      <c r="AG4" s="41">
        <f>'Nov2025-COLLECTION'!K3</f>
        <v>0</v>
      </c>
      <c r="AH4" s="174">
        <f>'Nov2025-EXPENSE'!R7</f>
        <v>7177.8978606280371</v>
      </c>
      <c r="AI4" s="174"/>
      <c r="AJ4" s="174">
        <f t="shared" si="7"/>
        <v>-7177.8978606280371</v>
      </c>
      <c r="AK4" s="41">
        <f>'Dec2025-COLLECTION'!K3</f>
        <v>0</v>
      </c>
      <c r="AL4" s="174">
        <f>'Dec2025-EXPENSE'!R7</f>
        <v>5885.353860360573</v>
      </c>
      <c r="AM4" s="174"/>
      <c r="AN4" s="174">
        <f t="shared" si="8"/>
        <v>-5885.353860360573</v>
      </c>
      <c r="AO4" s="7">
        <f>'Jan2026-COLLECTION'!K3</f>
        <v>26087</v>
      </c>
      <c r="AP4" s="10">
        <f>'Jan2026-EXPENSE'!R7</f>
        <v>5677.1014727727388</v>
      </c>
      <c r="AQ4" s="10"/>
      <c r="AR4" s="174">
        <f t="shared" si="9"/>
        <v>20409.898527227262</v>
      </c>
      <c r="AS4" s="7">
        <f>'Feb2026-COLLECTION'!K3</f>
        <v>0</v>
      </c>
      <c r="AT4" s="10">
        <f>'Feb2026-EXPENSE'!R7</f>
        <v>5234.6504794412285</v>
      </c>
      <c r="AU4" s="10"/>
      <c r="AV4" s="174">
        <f t="shared" si="10"/>
        <v>-5234.6504794412285</v>
      </c>
      <c r="AW4" s="7">
        <f>'Mar2026-COLLECTION'!K3</f>
        <v>0</v>
      </c>
      <c r="AX4" s="10">
        <f>'Mar2026-EXPENSE'!R7</f>
        <v>5467.4166296917683</v>
      </c>
      <c r="AY4" s="10"/>
      <c r="AZ4" s="174">
        <f t="shared" si="11"/>
        <v>-5467.4166296917683</v>
      </c>
      <c r="BA4" s="172">
        <f t="shared" ref="BA4:BC4" si="14">SUM(E4,I4,M4,Q4,U4,Y4,AC4,AG4,AK4,AO4,AS4,AW4)</f>
        <v>103041</v>
      </c>
      <c r="BB4" s="172">
        <f t="shared" si="14"/>
        <v>74429.482029729232</v>
      </c>
      <c r="BC4" s="172">
        <f t="shared" si="14"/>
        <v>1000</v>
      </c>
      <c r="BD4" s="233">
        <f t="shared" si="13"/>
        <v>27611.517970270768</v>
      </c>
      <c r="BE4" s="236">
        <f t="shared" ref="BE4:BE67" si="15">BD4+D4</f>
        <v>2605.5179702707683</v>
      </c>
    </row>
    <row r="5" spans="1:57" ht="16">
      <c r="A5" s="169" t="s">
        <v>29</v>
      </c>
      <c r="B5" s="13"/>
      <c r="C5" s="13" t="s">
        <v>30</v>
      </c>
      <c r="D5" s="230"/>
      <c r="E5" s="171">
        <f>'Apr2025-COLLECTION'!K4</f>
        <v>12317</v>
      </c>
      <c r="F5" s="172">
        <f>'Apr2025-EXPENSE'!R8</f>
        <v>7497.9990789697631</v>
      </c>
      <c r="G5" s="172"/>
      <c r="H5" s="172">
        <f t="shared" si="0"/>
        <v>4819.0009210302369</v>
      </c>
      <c r="I5" s="173">
        <f>'May2025-COLLECTION'!K4</f>
        <v>6000</v>
      </c>
      <c r="J5" s="174">
        <f>'May2025-EXPENSE'!R8</f>
        <v>5970.6440644010081</v>
      </c>
      <c r="K5" s="174"/>
      <c r="L5" s="174">
        <f t="shared" si="1"/>
        <v>29.355935598991891</v>
      </c>
      <c r="M5" s="172">
        <f>'June2025-COLLECTION'!K4</f>
        <v>6000</v>
      </c>
      <c r="N5" s="172">
        <f>'June2025-EXPENSE'!R8</f>
        <v>6093.3847186040921</v>
      </c>
      <c r="O5" s="172"/>
      <c r="P5" s="172">
        <f t="shared" si="2"/>
        <v>-93.384718604092086</v>
      </c>
      <c r="Q5" s="41">
        <f>'July2025-COLLECTION'!K4</f>
        <v>6000</v>
      </c>
      <c r="R5" s="174">
        <f>'July2025-EXPENSE'!R8</f>
        <v>7529.5715685937757</v>
      </c>
      <c r="S5" s="174"/>
      <c r="T5" s="174">
        <f t="shared" si="3"/>
        <v>-1529.5715685937757</v>
      </c>
      <c r="U5" s="167">
        <f>'Aug2025-COLLECTION'!K4</f>
        <v>6000</v>
      </c>
      <c r="V5" s="172">
        <f>'Aug2025-EXPENSE'!R8</f>
        <v>7722.728017861873</v>
      </c>
      <c r="W5" s="172"/>
      <c r="X5" s="172">
        <f t="shared" si="4"/>
        <v>-1722.728017861873</v>
      </c>
      <c r="Y5" s="41">
        <f>'Sep2025-COLLECTION'!K4</f>
        <v>6000</v>
      </c>
      <c r="Z5" s="174">
        <f>'Sep2025-EXPENSE'!R8</f>
        <v>6599.6905049006118</v>
      </c>
      <c r="AA5" s="174"/>
      <c r="AB5" s="174">
        <f t="shared" si="5"/>
        <v>-599.69050490061181</v>
      </c>
      <c r="AC5" s="41">
        <f>'Oct2025-COLLECTION'!K4</f>
        <v>6000</v>
      </c>
      <c r="AD5" s="174">
        <f>'Oct2025-EXPENSE'!R8</f>
        <v>8217.5034137305029</v>
      </c>
      <c r="AE5" s="174"/>
      <c r="AF5" s="174">
        <f t="shared" si="6"/>
        <v>-2217.5034137305029</v>
      </c>
      <c r="AG5" s="41">
        <f>'Nov2025-COLLECTION'!K4</f>
        <v>6000</v>
      </c>
      <c r="AH5" s="174">
        <f>'Nov2025-EXPENSE'!R8</f>
        <v>8585.2408957029729</v>
      </c>
      <c r="AI5" s="174"/>
      <c r="AJ5" s="174">
        <f t="shared" si="7"/>
        <v>-2585.2408957029729</v>
      </c>
      <c r="AK5" s="41">
        <f>'Dec2025-COLLECTION'!K4</f>
        <v>6000</v>
      </c>
      <c r="AL5" s="174">
        <f>'Dec2025-EXPENSE'!R8</f>
        <v>6916.4336347933668</v>
      </c>
      <c r="AM5" s="174"/>
      <c r="AN5" s="174">
        <f t="shared" si="8"/>
        <v>-916.43363479336676</v>
      </c>
      <c r="AO5" s="7">
        <f>'Jan2026-COLLECTION'!K4</f>
        <v>6000</v>
      </c>
      <c r="AP5" s="10">
        <f>'Jan2026-EXPENSE'!R8</f>
        <v>6594.2688945702976</v>
      </c>
      <c r="AQ5" s="10"/>
      <c r="AR5" s="174">
        <f t="shared" si="9"/>
        <v>-594.26889457029756</v>
      </c>
      <c r="AS5" s="7">
        <f>'Feb2026-COLLECTION'!K4</f>
        <v>6000</v>
      </c>
      <c r="AT5" s="10">
        <f>'Feb2026-EXPENSE'!R8</f>
        <v>6667.5707103832701</v>
      </c>
      <c r="AU5" s="10"/>
      <c r="AV5" s="174">
        <f t="shared" si="10"/>
        <v>-667.57071038327013</v>
      </c>
      <c r="AW5" s="7">
        <f>'Mar2026-COLLECTION'!K4</f>
        <v>6000</v>
      </c>
      <c r="AX5" s="10">
        <f>'Mar2026-EXPENSE'!R8</f>
        <v>6559.2233185039722</v>
      </c>
      <c r="AY5" s="10"/>
      <c r="AZ5" s="174">
        <f t="shared" si="11"/>
        <v>-559.22331850397222</v>
      </c>
      <c r="BA5" s="172">
        <f t="shared" ref="BA5:BC5" si="16">SUM(E5,I5,M5,Q5,U5,Y5,AC5,AG5,AK5,AO5,AS5,AW5)</f>
        <v>78317</v>
      </c>
      <c r="BB5" s="172">
        <f t="shared" si="16"/>
        <v>84954.258821015508</v>
      </c>
      <c r="BC5" s="172">
        <f t="shared" si="16"/>
        <v>0</v>
      </c>
      <c r="BD5" s="233">
        <f t="shared" si="13"/>
        <v>-6637.2588210155081</v>
      </c>
      <c r="BE5" s="236">
        <f t="shared" si="15"/>
        <v>-6637.2588210155081</v>
      </c>
    </row>
    <row r="6" spans="1:57" ht="16">
      <c r="A6" s="169" t="s">
        <v>32</v>
      </c>
      <c r="B6" s="13"/>
      <c r="C6" s="13" t="s">
        <v>33</v>
      </c>
      <c r="D6" s="230"/>
      <c r="E6" s="171">
        <f>'Apr2025-COLLECTION'!K5</f>
        <v>5000</v>
      </c>
      <c r="F6" s="172">
        <f>'Apr2025-EXPENSE'!R9</f>
        <v>5749.6027619606166</v>
      </c>
      <c r="G6" s="172"/>
      <c r="H6" s="172">
        <f t="shared" si="0"/>
        <v>-749.60276196061659</v>
      </c>
      <c r="I6" s="173">
        <f>'May2025-COLLECTION'!K5</f>
        <v>5710</v>
      </c>
      <c r="J6" s="174">
        <f>'May2025-EXPENSE'!R9</f>
        <v>4456.7649575650421</v>
      </c>
      <c r="K6" s="174"/>
      <c r="L6" s="174">
        <f t="shared" si="1"/>
        <v>1253.2350424349579</v>
      </c>
      <c r="M6" s="172">
        <f>'June2025-COLLECTION'!K5</f>
        <v>4434</v>
      </c>
      <c r="N6" s="172">
        <f>'June2025-EXPENSE'!R9</f>
        <v>4663.6125495075776</v>
      </c>
      <c r="O6" s="172"/>
      <c r="P6" s="172">
        <f t="shared" si="2"/>
        <v>-229.61254950757757</v>
      </c>
      <c r="Q6" s="41">
        <f>'July2025-COLLECTION'!K5</f>
        <v>0</v>
      </c>
      <c r="R6" s="174">
        <f>'July2025-EXPENSE'!R9</f>
        <v>5553.5667606509269</v>
      </c>
      <c r="S6" s="174"/>
      <c r="T6" s="174">
        <f t="shared" si="3"/>
        <v>-5553.5667606509269</v>
      </c>
      <c r="U6" s="167">
        <f>'Aug2025-COLLECTION'!K5</f>
        <v>5554</v>
      </c>
      <c r="V6" s="172">
        <f>'Aug2025-EXPENSE'!R9</f>
        <v>6049.9822334915916</v>
      </c>
      <c r="W6" s="172"/>
      <c r="X6" s="172">
        <f t="shared" si="4"/>
        <v>-495.98223349159161</v>
      </c>
      <c r="Y6" s="41">
        <f>'Sep2025-COLLECTION'!K5</f>
        <v>5554</v>
      </c>
      <c r="Z6" s="174">
        <f>'Sep2025-EXPENSE'!R9</f>
        <v>5147.5820817756676</v>
      </c>
      <c r="AA6" s="174"/>
      <c r="AB6" s="174">
        <f t="shared" si="5"/>
        <v>406.41791822433242</v>
      </c>
      <c r="AC6" s="41">
        <f>'Oct2025-COLLECTION'!K5</f>
        <v>5148</v>
      </c>
      <c r="AD6" s="174">
        <f>'Oct2025-EXPENSE'!R9</f>
        <v>6692.7138830018375</v>
      </c>
      <c r="AE6" s="174"/>
      <c r="AF6" s="174">
        <f t="shared" si="6"/>
        <v>-1544.7138830018375</v>
      </c>
      <c r="AG6" s="41">
        <f>'Nov2025-COLLECTION'!K5</f>
        <v>6231</v>
      </c>
      <c r="AH6" s="174">
        <f>'Nov2025-EXPENSE'!R9</f>
        <v>6982.2831094713838</v>
      </c>
      <c r="AI6" s="174"/>
      <c r="AJ6" s="174">
        <f t="shared" si="7"/>
        <v>-751.2831094713838</v>
      </c>
      <c r="AK6" s="41">
        <f>'Dec2025-COLLECTION'!K5</f>
        <v>7064</v>
      </c>
      <c r="AL6" s="174">
        <f>'Dec2025-EXPENSE'!R9</f>
        <v>5286.8803137914201</v>
      </c>
      <c r="AM6" s="174"/>
      <c r="AN6" s="174">
        <f t="shared" si="8"/>
        <v>1777.1196862085799</v>
      </c>
      <c r="AO6" s="7">
        <f>'Jan2026-COLLECTION'!K5</f>
        <v>5264</v>
      </c>
      <c r="AP6" s="10">
        <f>'Jan2026-EXPENSE'!R9</f>
        <v>5176.1559372483944</v>
      </c>
      <c r="AQ6" s="10"/>
      <c r="AR6" s="174">
        <f t="shared" si="9"/>
        <v>87.844062751605634</v>
      </c>
      <c r="AS6" s="7">
        <f>'Feb2026-COLLECTION'!K5</f>
        <v>5176</v>
      </c>
      <c r="AT6" s="10">
        <f>'Feb2026-EXPENSE'!R9</f>
        <v>4924.6682933636912</v>
      </c>
      <c r="AU6" s="10"/>
      <c r="AV6" s="174">
        <f t="shared" si="10"/>
        <v>251.33170663630881</v>
      </c>
      <c r="AW6" s="7">
        <f>'Mar2026-COLLECTION'!K5</f>
        <v>4925</v>
      </c>
      <c r="AX6" s="10">
        <f>'Mar2026-EXPENSE'!R9</f>
        <v>5011.4090000781798</v>
      </c>
      <c r="AY6" s="10"/>
      <c r="AZ6" s="174">
        <f t="shared" si="11"/>
        <v>-86.409000078179815</v>
      </c>
      <c r="BA6" s="172">
        <f t="shared" ref="BA6:BC6" si="17">SUM(E6,I6,M6,Q6,U6,Y6,AC6,AG6,AK6,AO6,AS6,AW6)</f>
        <v>60060</v>
      </c>
      <c r="BB6" s="172">
        <f t="shared" si="17"/>
        <v>65695.221881906327</v>
      </c>
      <c r="BC6" s="172">
        <f t="shared" si="17"/>
        <v>0</v>
      </c>
      <c r="BD6" s="233">
        <f t="shared" si="13"/>
        <v>-5635.2218819063273</v>
      </c>
      <c r="BE6" s="236">
        <f t="shared" si="15"/>
        <v>-5635.2218819063273</v>
      </c>
    </row>
    <row r="7" spans="1:57" ht="16">
      <c r="A7" s="169" t="s">
        <v>35</v>
      </c>
      <c r="B7" s="13"/>
      <c r="C7" s="13" t="s">
        <v>36</v>
      </c>
      <c r="D7" s="230">
        <v>-9442.43</v>
      </c>
      <c r="E7" s="171">
        <f>'Apr2025-COLLECTION'!K6</f>
        <v>9457</v>
      </c>
      <c r="F7" s="172">
        <f>'Apr2025-EXPENSE'!R10</f>
        <v>5400.9237079500517</v>
      </c>
      <c r="G7" s="172"/>
      <c r="H7" s="172">
        <f t="shared" si="0"/>
        <v>4056.0762920499483</v>
      </c>
      <c r="I7" s="173">
        <f>'May2025-COLLECTION'!K6</f>
        <v>5354</v>
      </c>
      <c r="J7" s="174">
        <f>'May2025-EXPENSE'!R10</f>
        <v>4039.0488598142633</v>
      </c>
      <c r="K7" s="174"/>
      <c r="L7" s="174">
        <f t="shared" si="1"/>
        <v>1314.9511401857367</v>
      </c>
      <c r="M7" s="172">
        <f>'June2025-COLLECTION'!K6</f>
        <v>8022</v>
      </c>
      <c r="N7" s="172">
        <f>'June2025-EXPENSE'!R10</f>
        <v>4272.8636485156248</v>
      </c>
      <c r="O7" s="172"/>
      <c r="P7" s="172">
        <f t="shared" si="2"/>
        <v>3749.1363514843752</v>
      </c>
      <c r="Q7" s="41">
        <f>'July2025-COLLECTION'!K6</f>
        <v>323</v>
      </c>
      <c r="R7" s="174">
        <f>'July2025-EXPENSE'!R10</f>
        <v>5172.3924418298766</v>
      </c>
      <c r="S7" s="174"/>
      <c r="T7" s="174">
        <f t="shared" si="3"/>
        <v>-4849.3924418298766</v>
      </c>
      <c r="U7" s="167">
        <f>'Aug2025-COLLECTION'!K6</f>
        <v>5172</v>
      </c>
      <c r="V7" s="172">
        <f>'Aug2025-EXPENSE'!R10</f>
        <v>7049.5761781706869</v>
      </c>
      <c r="W7" s="172"/>
      <c r="X7" s="172">
        <f t="shared" si="4"/>
        <v>-1877.5761781706869</v>
      </c>
      <c r="Y7" s="41">
        <f>'Sep2025-COLLECTION'!K6</f>
        <v>7050</v>
      </c>
      <c r="Z7" s="174">
        <f>'Sep2025-EXPENSE'!R10</f>
        <v>5209.9861313824858</v>
      </c>
      <c r="AA7" s="174"/>
      <c r="AB7" s="174">
        <f t="shared" si="5"/>
        <v>1840.0138686175142</v>
      </c>
      <c r="AC7" s="41">
        <f>'Oct2025-COLLECTION'!K6</f>
        <v>5209.99</v>
      </c>
      <c r="AD7" s="174">
        <f>'Oct2025-EXPENSE'!R10</f>
        <v>6530.4327158608585</v>
      </c>
      <c r="AE7" s="174"/>
      <c r="AF7" s="174">
        <f t="shared" si="6"/>
        <v>-1320.4427158608587</v>
      </c>
      <c r="AG7" s="41">
        <f>'Nov2025-COLLECTION'!K6</f>
        <v>6114</v>
      </c>
      <c r="AH7" s="174">
        <f>'Nov2025-EXPENSE'!R10</f>
        <v>6987.9895767586668</v>
      </c>
      <c r="AI7" s="174"/>
      <c r="AJ7" s="174">
        <f t="shared" si="7"/>
        <v>-873.98957675866677</v>
      </c>
      <c r="AK7" s="41">
        <f>'Dec2025-COLLECTION'!K6</f>
        <v>7069</v>
      </c>
      <c r="AL7" s="174">
        <f>'Dec2025-EXPENSE'!R10</f>
        <v>5357.4769935261529</v>
      </c>
      <c r="AM7" s="174"/>
      <c r="AN7" s="174">
        <f t="shared" si="8"/>
        <v>1711.5230064738471</v>
      </c>
      <c r="AO7" s="7">
        <f>'Jan2026-COLLECTION'!K6</f>
        <v>5340.41</v>
      </c>
      <c r="AP7" s="10">
        <f>'Jan2026-EXPENSE'!R10</f>
        <v>5143.8208706995001</v>
      </c>
      <c r="AQ7" s="10"/>
      <c r="AR7" s="174">
        <f t="shared" si="9"/>
        <v>196.58912930049974</v>
      </c>
      <c r="AS7" s="7">
        <f>'Feb2026-COLLECTION'!K6</f>
        <v>5161</v>
      </c>
      <c r="AT7" s="10">
        <f>'Feb2026-EXPENSE'!R10</f>
        <v>4698.8491844943001</v>
      </c>
      <c r="AU7" s="10"/>
      <c r="AV7" s="174">
        <f t="shared" si="10"/>
        <v>462.15081550569994</v>
      </c>
      <c r="AW7" s="7">
        <f>'Mar2026-COLLECTION'!K6</f>
        <v>4699</v>
      </c>
      <c r="AX7" s="10">
        <f>'Mar2026-EXPENSE'!R10</f>
        <v>5020.4938487068302</v>
      </c>
      <c r="AY7" s="10"/>
      <c r="AZ7" s="174">
        <f t="shared" si="11"/>
        <v>-321.49384870683025</v>
      </c>
      <c r="BA7" s="172">
        <f t="shared" ref="BA7:BC7" si="18">SUM(E7,I7,M7,Q7,U7,Y7,AC7,AG7,AK7,AO7,AS7,AW7)</f>
        <v>68971.399999999994</v>
      </c>
      <c r="BB7" s="172">
        <f t="shared" si="18"/>
        <v>64883.854157709284</v>
      </c>
      <c r="BC7" s="172">
        <f t="shared" si="18"/>
        <v>0</v>
      </c>
      <c r="BD7" s="233">
        <f t="shared" si="13"/>
        <v>4087.5458422907104</v>
      </c>
      <c r="BE7" s="236">
        <f t="shared" si="15"/>
        <v>-5354.8841577092899</v>
      </c>
    </row>
    <row r="8" spans="1:57" ht="32">
      <c r="A8" s="169" t="s">
        <v>37</v>
      </c>
      <c r="B8" s="13"/>
      <c r="C8" s="13" t="s">
        <v>38</v>
      </c>
      <c r="D8" s="230"/>
      <c r="E8" s="171">
        <f>'Apr2025-COLLECTION'!K7</f>
        <v>9026</v>
      </c>
      <c r="F8" s="172">
        <f>'Apr2025-EXPENSE'!R11</f>
        <v>5895.4151189144977</v>
      </c>
      <c r="G8" s="172"/>
      <c r="H8" s="172">
        <f t="shared" si="0"/>
        <v>3130.5848810855023</v>
      </c>
      <c r="I8" s="173">
        <f>'May2025-COLLECTION'!K7</f>
        <v>5864</v>
      </c>
      <c r="J8" s="174">
        <f>'May2025-EXPENSE'!R11</f>
        <v>4348.4787028747414</v>
      </c>
      <c r="K8" s="174"/>
      <c r="L8" s="174">
        <f t="shared" si="1"/>
        <v>1515.5212971252586</v>
      </c>
      <c r="M8" s="172">
        <f>'June2025-COLLECTION'!K7</f>
        <v>4331</v>
      </c>
      <c r="N8" s="172">
        <f>'June2025-EXPENSE'!R11</f>
        <v>4628.2798579528408</v>
      </c>
      <c r="O8" s="172"/>
      <c r="P8" s="172">
        <f t="shared" si="2"/>
        <v>-297.27985795284076</v>
      </c>
      <c r="Q8" s="41">
        <f>'July2025-COLLECTION'!K7</f>
        <v>1288</v>
      </c>
      <c r="R8" s="174">
        <f>'July2025-EXPENSE'!R11</f>
        <v>5465.1979739096405</v>
      </c>
      <c r="S8" s="174"/>
      <c r="T8" s="174">
        <f t="shared" si="3"/>
        <v>-4177.1979739096405</v>
      </c>
      <c r="U8" s="167">
        <f>'Aug2025-COLLECTION'!K7</f>
        <v>5465</v>
      </c>
      <c r="V8" s="172">
        <f>'Aug2025-EXPENSE'!R11</f>
        <v>6089.5563439689849</v>
      </c>
      <c r="W8" s="172"/>
      <c r="X8" s="172">
        <f t="shared" si="4"/>
        <v>-624.55634396898495</v>
      </c>
      <c r="Y8" s="41">
        <f>'Sep2025-COLLECTION'!K7</f>
        <v>0</v>
      </c>
      <c r="Z8" s="174">
        <f>'Sep2025-EXPENSE'!R11</f>
        <v>5134.8502861019433</v>
      </c>
      <c r="AA8" s="174"/>
      <c r="AB8" s="174">
        <f t="shared" si="5"/>
        <v>-5134.8502861019433</v>
      </c>
      <c r="AC8" s="41">
        <f>'Oct2025-COLLECTION'!K7</f>
        <v>5135</v>
      </c>
      <c r="AD8" s="174">
        <f>'Oct2025-EXPENSE'!R11</f>
        <v>6606.8862668941538</v>
      </c>
      <c r="AE8" s="174"/>
      <c r="AF8" s="174">
        <f t="shared" si="6"/>
        <v>-1471.8862668941538</v>
      </c>
      <c r="AG8" s="41">
        <f>'Nov2025-COLLECTION'!K7</f>
        <v>0</v>
      </c>
      <c r="AH8" s="174">
        <f>'Nov2025-EXPENSE'!R11</f>
        <v>6993.2188819876064</v>
      </c>
      <c r="AI8" s="174"/>
      <c r="AJ8" s="174">
        <f t="shared" si="7"/>
        <v>-6993.2188819876064</v>
      </c>
      <c r="AK8" s="41">
        <f>'Dec2025-COLLECTION'!K7</f>
        <v>6114</v>
      </c>
      <c r="AL8" s="174">
        <f>'Dec2025-EXPENSE'!R11</f>
        <v>5157.9386503004571</v>
      </c>
      <c r="AM8" s="174"/>
      <c r="AN8" s="174">
        <f t="shared" si="8"/>
        <v>956.06134969954292</v>
      </c>
      <c r="AO8" s="7">
        <f>'Jan2026-COLLECTION'!K7</f>
        <v>12215.81</v>
      </c>
      <c r="AP8" s="10">
        <f>'Jan2026-EXPENSE'!R11</f>
        <v>5083.582698946072</v>
      </c>
      <c r="AQ8" s="10"/>
      <c r="AR8" s="174">
        <f t="shared" si="9"/>
        <v>7132.2273010539275</v>
      </c>
      <c r="AS8" s="7">
        <f>'Feb2026-COLLECTION'!K7</f>
        <v>5101</v>
      </c>
      <c r="AT8" s="10">
        <f>'Feb2026-EXPENSE'!R11</f>
        <v>4867.3414161417422</v>
      </c>
      <c r="AU8" s="10"/>
      <c r="AV8" s="174">
        <f t="shared" si="10"/>
        <v>233.65858385825777</v>
      </c>
      <c r="AW8" s="7">
        <f>'Mar2026-COLLECTION'!K7</f>
        <v>0</v>
      </c>
      <c r="AX8" s="10">
        <f>'Mar2026-EXPENSE'!R11</f>
        <v>4863.0805457199467</v>
      </c>
      <c r="AY8" s="10"/>
      <c r="AZ8" s="174">
        <f t="shared" si="11"/>
        <v>-4863.0805457199467</v>
      </c>
      <c r="BA8" s="172">
        <f t="shared" ref="BA8:BC8" si="19">SUM(E8,I8,M8,Q8,U8,Y8,AC8,AG8,AK8,AO8,AS8,AW8)</f>
        <v>54539.81</v>
      </c>
      <c r="BB8" s="172">
        <f t="shared" si="19"/>
        <v>65133.82674371262</v>
      </c>
      <c r="BC8" s="172">
        <f t="shared" si="19"/>
        <v>0</v>
      </c>
      <c r="BD8" s="233">
        <f t="shared" si="13"/>
        <v>-10594.016743712622</v>
      </c>
      <c r="BE8" s="236">
        <f t="shared" si="15"/>
        <v>-10594.016743712622</v>
      </c>
    </row>
    <row r="9" spans="1:57" ht="16">
      <c r="A9" s="169" t="s">
        <v>40</v>
      </c>
      <c r="B9" s="13"/>
      <c r="C9" s="13" t="s">
        <v>41</v>
      </c>
      <c r="D9" s="230"/>
      <c r="E9" s="171">
        <f>'Apr2025-COLLECTION'!K8</f>
        <v>0</v>
      </c>
      <c r="F9" s="172">
        <f>'Apr2025-EXPENSE'!R12</f>
        <v>6181.0160282885727</v>
      </c>
      <c r="G9" s="172"/>
      <c r="H9" s="172">
        <f t="shared" si="0"/>
        <v>-6181.0160282885727</v>
      </c>
      <c r="I9" s="173">
        <f>'May2025-COLLECTION'!K8</f>
        <v>11602</v>
      </c>
      <c r="J9" s="174">
        <f>'May2025-EXPENSE'!R12</f>
        <v>4817.23628073072</v>
      </c>
      <c r="K9" s="174"/>
      <c r="L9" s="174">
        <f t="shared" si="1"/>
        <v>6784.76371926928</v>
      </c>
      <c r="M9" s="172">
        <f>'June2025-COLLECTION'!K8</f>
        <v>4800.17</v>
      </c>
      <c r="N9" s="172">
        <f>'June2025-EXPENSE'!R12</f>
        <v>5050.9140221374046</v>
      </c>
      <c r="O9" s="172"/>
      <c r="P9" s="172">
        <f t="shared" si="2"/>
        <v>-250.7440221374045</v>
      </c>
      <c r="Q9" s="41">
        <f>'July2025-COLLECTION'!K8</f>
        <v>5050.91</v>
      </c>
      <c r="R9" s="174">
        <f>'July2025-EXPENSE'!R12</f>
        <v>5938.6243469035935</v>
      </c>
      <c r="S9" s="174"/>
      <c r="T9" s="174">
        <f t="shared" si="3"/>
        <v>-887.71434690359365</v>
      </c>
      <c r="U9" s="167">
        <f>'Aug2025-COLLECTION'!K8</f>
        <v>5938.62</v>
      </c>
      <c r="V9" s="172">
        <f>'Aug2025-EXPENSE'!R12</f>
        <v>6331.9105235156248</v>
      </c>
      <c r="W9" s="172"/>
      <c r="X9" s="172">
        <f t="shared" si="4"/>
        <v>-393.29052351562495</v>
      </c>
      <c r="Y9" s="41">
        <f>'Sep2025-COLLECTION'!K8</f>
        <v>5939</v>
      </c>
      <c r="Z9" s="174">
        <f>'Sep2025-EXPENSE'!R12</f>
        <v>5504.8370570873485</v>
      </c>
      <c r="AA9" s="174"/>
      <c r="AB9" s="174">
        <f t="shared" si="5"/>
        <v>434.16294291265149</v>
      </c>
      <c r="AC9" s="41">
        <f>'Oct2025-COLLECTION'!K8</f>
        <v>0</v>
      </c>
      <c r="AD9" s="174">
        <f>'Oct2025-EXPENSE'!R12</f>
        <v>6883.1824023959862</v>
      </c>
      <c r="AE9" s="174"/>
      <c r="AF9" s="174">
        <f t="shared" si="6"/>
        <v>-6883.1824023959862</v>
      </c>
      <c r="AG9" s="41">
        <f>'Nov2025-COLLECTION'!K8</f>
        <v>5505</v>
      </c>
      <c r="AH9" s="174">
        <f>'Nov2025-EXPENSE'!R12</f>
        <v>7220.6757150364656</v>
      </c>
      <c r="AI9" s="174"/>
      <c r="AJ9" s="174">
        <f t="shared" si="7"/>
        <v>-1715.6757150364656</v>
      </c>
      <c r="AK9" s="41">
        <f>'Dec2025-COLLECTION'!K8</f>
        <v>7303</v>
      </c>
      <c r="AL9" s="174">
        <f>'Dec2025-EXPENSE'!R12</f>
        <v>5568.9922847218513</v>
      </c>
      <c r="AM9" s="174"/>
      <c r="AN9" s="174">
        <f t="shared" si="8"/>
        <v>1734.0077152781487</v>
      </c>
      <c r="AO9" s="7">
        <f>'Jan2026-COLLECTION'!K8</f>
        <v>5551.92</v>
      </c>
      <c r="AP9" s="10">
        <f>'Jan2026-EXPENSE'!R12</f>
        <v>5486.7399909757823</v>
      </c>
      <c r="AQ9" s="10"/>
      <c r="AR9" s="174">
        <f t="shared" si="9"/>
        <v>65.180009024217725</v>
      </c>
      <c r="AS9" s="7">
        <f>'Feb2026-COLLECTION'!K8</f>
        <v>0</v>
      </c>
      <c r="AT9" s="10">
        <f>'Feb2026-EXPENSE'!R12</f>
        <v>5213.0985334043789</v>
      </c>
      <c r="AU9" s="10"/>
      <c r="AV9" s="174">
        <f t="shared" si="10"/>
        <v>-5213.0985334043789</v>
      </c>
      <c r="AW9" s="7">
        <f>'Mar2026-COLLECTION'!K8</f>
        <v>10717</v>
      </c>
      <c r="AX9" s="10">
        <f>'Mar2026-EXPENSE'!R12</f>
        <v>5384.1479083892063</v>
      </c>
      <c r="AY9" s="10"/>
      <c r="AZ9" s="174">
        <f t="shared" si="11"/>
        <v>5332.8520916107937</v>
      </c>
      <c r="BA9" s="172">
        <f t="shared" ref="BA9:BC9" si="20">SUM(E9,I9,M9,Q9,U9,Y9,AC9,AG9,AK9,AO9,AS9,AW9)</f>
        <v>62407.619999999995</v>
      </c>
      <c r="BB9" s="172">
        <f t="shared" si="20"/>
        <v>69581.375093586932</v>
      </c>
      <c r="BC9" s="172">
        <f t="shared" si="20"/>
        <v>0</v>
      </c>
      <c r="BD9" s="233">
        <f t="shared" si="13"/>
        <v>-7173.7550935869367</v>
      </c>
      <c r="BE9" s="236">
        <f t="shared" si="15"/>
        <v>-7173.7550935869367</v>
      </c>
    </row>
    <row r="10" spans="1:57" ht="16">
      <c r="A10" s="169" t="s">
        <v>43</v>
      </c>
      <c r="B10" s="13"/>
      <c r="C10" s="13" t="s">
        <v>44</v>
      </c>
      <c r="D10" s="230"/>
      <c r="E10" s="171">
        <f>'Apr2025-COLLECTION'!K9</f>
        <v>4603</v>
      </c>
      <c r="F10" s="172">
        <f>'Apr2025-EXPENSE'!R13</f>
        <v>5360.1318959356122</v>
      </c>
      <c r="G10" s="172"/>
      <c r="H10" s="172">
        <f t="shared" si="0"/>
        <v>-757.13189593561219</v>
      </c>
      <c r="I10" s="173">
        <f>'May2025-COLLECTION'!K9</f>
        <v>5312</v>
      </c>
      <c r="J10" s="174">
        <f>'May2025-EXPENSE'!R13</f>
        <v>4061.2586035363679</v>
      </c>
      <c r="K10" s="174"/>
      <c r="L10" s="174">
        <f t="shared" si="1"/>
        <v>1250.7413964636321</v>
      </c>
      <c r="M10" s="172">
        <f>'June2025-COLLECTION'!K9</f>
        <v>4044</v>
      </c>
      <c r="N10" s="172">
        <f>'June2025-EXPENSE'!R13</f>
        <v>4291.2991399719658</v>
      </c>
      <c r="O10" s="172"/>
      <c r="P10" s="172">
        <f t="shared" si="2"/>
        <v>-247.29913997196581</v>
      </c>
      <c r="Q10" s="41">
        <f>'July2025-COLLECTION'!K9</f>
        <v>4291</v>
      </c>
      <c r="R10" s="174">
        <f>'July2025-EXPENSE'!R13</f>
        <v>5121.2619408476694</v>
      </c>
      <c r="S10" s="174"/>
      <c r="T10" s="174">
        <f t="shared" si="3"/>
        <v>-830.26194084766939</v>
      </c>
      <c r="U10" s="167">
        <f>'Aug2025-COLLECTION'!K9</f>
        <v>5121</v>
      </c>
      <c r="V10" s="172">
        <f>'Aug2025-EXPENSE'!R13</f>
        <v>5608.3712561629964</v>
      </c>
      <c r="W10" s="172"/>
      <c r="X10" s="172">
        <f t="shared" si="4"/>
        <v>-487.37125616299636</v>
      </c>
      <c r="Y10" s="41">
        <f>'Sep2025-COLLECTION'!K9</f>
        <v>5121</v>
      </c>
      <c r="Z10" s="174">
        <f>'Sep2025-EXPENSE'!R13</f>
        <v>4769.0998656828151</v>
      </c>
      <c r="AA10" s="174"/>
      <c r="AB10" s="174">
        <f t="shared" si="5"/>
        <v>351.90013431718489</v>
      </c>
      <c r="AC10" s="41">
        <f>'Oct2025-COLLECTION'!K9</f>
        <v>4769</v>
      </c>
      <c r="AD10" s="174">
        <f>'Oct2025-EXPENSE'!R13</f>
        <v>6140.6205519058276</v>
      </c>
      <c r="AE10" s="174"/>
      <c r="AF10" s="174">
        <f t="shared" si="6"/>
        <v>-1371.6205519058276</v>
      </c>
      <c r="AG10" s="41">
        <f>'Nov2025-COLLECTION'!K9</f>
        <v>6114</v>
      </c>
      <c r="AH10" s="174">
        <f>'Nov2025-EXPENSE'!R13</f>
        <v>7447.3937250196404</v>
      </c>
      <c r="AI10" s="174"/>
      <c r="AJ10" s="174">
        <f t="shared" si="7"/>
        <v>-1333.3937250196404</v>
      </c>
      <c r="AK10" s="41">
        <f>'Dec2025-COLLECTION'!K9</f>
        <v>7529</v>
      </c>
      <c r="AL10" s="174">
        <f>'Dec2025-EXPENSE'!R13</f>
        <v>6953.6894172597667</v>
      </c>
      <c r="AM10" s="174"/>
      <c r="AN10" s="174">
        <f t="shared" si="8"/>
        <v>575.31058274023326</v>
      </c>
      <c r="AO10" s="7">
        <f>'Jan2026-COLLECTION'!K9</f>
        <v>6937</v>
      </c>
      <c r="AP10" s="10">
        <f>'Jan2026-EXPENSE'!R13</f>
        <v>6136.3588799602257</v>
      </c>
      <c r="AQ10" s="10"/>
      <c r="AR10" s="174">
        <f t="shared" si="9"/>
        <v>800.64112003977425</v>
      </c>
      <c r="AS10" s="7">
        <f>'Feb2026-COLLECTION'!K9</f>
        <v>6153</v>
      </c>
      <c r="AT10" s="10">
        <f>'Feb2026-EXPENSE'!R13</f>
        <v>6094.9064804073205</v>
      </c>
      <c r="AU10" s="10"/>
      <c r="AV10" s="174">
        <f t="shared" si="10"/>
        <v>58.093519592679513</v>
      </c>
      <c r="AW10" s="7">
        <f>'Mar2026-COLLECTION'!K9</f>
        <v>6095</v>
      </c>
      <c r="AX10" s="10">
        <f>'Mar2026-EXPENSE'!R13</f>
        <v>6070.1075304100395</v>
      </c>
      <c r="AY10" s="10"/>
      <c r="AZ10" s="174">
        <f t="shared" si="11"/>
        <v>24.892469589960456</v>
      </c>
      <c r="BA10" s="172">
        <f t="shared" ref="BA10:BC10" si="21">SUM(E10,I10,M10,Q10,U10,Y10,AC10,AG10,AK10,AO10,AS10,AW10)</f>
        <v>66089</v>
      </c>
      <c r="BB10" s="172">
        <f t="shared" si="21"/>
        <v>68054.499287100247</v>
      </c>
      <c r="BC10" s="172">
        <f t="shared" si="21"/>
        <v>0</v>
      </c>
      <c r="BD10" s="233">
        <f t="shared" si="13"/>
        <v>-1965.4992871002469</v>
      </c>
      <c r="BE10" s="236">
        <f t="shared" si="15"/>
        <v>-1965.4992871002469</v>
      </c>
    </row>
    <row r="11" spans="1:57" ht="16">
      <c r="A11" s="169" t="s">
        <v>46</v>
      </c>
      <c r="B11" s="13"/>
      <c r="C11" s="13" t="s">
        <v>47</v>
      </c>
      <c r="D11" s="230"/>
      <c r="E11" s="171">
        <f>'Apr2025-COLLECTION'!K10</f>
        <v>4943</v>
      </c>
      <c r="F11" s="172">
        <f>'Apr2025-EXPENSE'!R14</f>
        <v>5560.8699015810726</v>
      </c>
      <c r="G11" s="172"/>
      <c r="H11" s="172">
        <f t="shared" si="0"/>
        <v>-617.86990158107255</v>
      </c>
      <c r="I11" s="173">
        <f>'May2025-COLLECTION'!K10</f>
        <v>5516</v>
      </c>
      <c r="J11" s="174">
        <f>'May2025-EXPENSE'!R14</f>
        <v>4332.2057165152537</v>
      </c>
      <c r="K11" s="174"/>
      <c r="L11" s="174">
        <f t="shared" si="1"/>
        <v>1183.7942834847463</v>
      </c>
      <c r="M11" s="172">
        <f>'June2025-COLLECTION'!K10</f>
        <v>4310</v>
      </c>
      <c r="N11" s="172">
        <f>'June2025-EXPENSE'!R14</f>
        <v>4566.8366703206621</v>
      </c>
      <c r="O11" s="172"/>
      <c r="P11" s="172">
        <f t="shared" si="2"/>
        <v>-256.83667032066205</v>
      </c>
      <c r="Q11" s="41">
        <f>'July2025-COLLECTION'!K10</f>
        <v>4567</v>
      </c>
      <c r="R11" s="174">
        <f>'July2025-EXPENSE'!R14</f>
        <v>5433.8113721070631</v>
      </c>
      <c r="S11" s="174"/>
      <c r="T11" s="174">
        <f t="shared" si="3"/>
        <v>-866.81137210706311</v>
      </c>
      <c r="U11" s="167">
        <f>'Aug2025-COLLECTION'!K10</f>
        <v>5434</v>
      </c>
      <c r="V11" s="172">
        <f>'Aug2025-EXPENSE'!R14</f>
        <v>5943.9169438042272</v>
      </c>
      <c r="W11" s="172"/>
      <c r="X11" s="172">
        <f t="shared" si="4"/>
        <v>-509.91694380422723</v>
      </c>
      <c r="Y11" s="41">
        <f>'Sep2025-COLLECTION'!K10</f>
        <v>5434</v>
      </c>
      <c r="Z11" s="174">
        <f>'Sep2025-EXPENSE'!R14</f>
        <v>5031.0762115635207</v>
      </c>
      <c r="AA11" s="174"/>
      <c r="AB11" s="174">
        <f t="shared" si="5"/>
        <v>402.9237884364793</v>
      </c>
      <c r="AC11" s="41">
        <f>'Oct2025-COLLECTION'!K10</f>
        <v>5031</v>
      </c>
      <c r="AD11" s="174">
        <f>'Oct2025-EXPENSE'!R14</f>
        <v>6457.3495806547216</v>
      </c>
      <c r="AE11" s="174"/>
      <c r="AF11" s="174">
        <f t="shared" si="6"/>
        <v>-1426.3495806547216</v>
      </c>
      <c r="AG11" s="41">
        <f>'Nov2025-COLLECTION'!K10</f>
        <v>6231</v>
      </c>
      <c r="AH11" s="174">
        <f>'Nov2025-EXPENSE'!R14</f>
        <v>6751.7579039622669</v>
      </c>
      <c r="AI11" s="174"/>
      <c r="AJ11" s="174">
        <f t="shared" si="7"/>
        <v>-520.75790396226694</v>
      </c>
      <c r="AK11" s="41">
        <f>'Dec2025-COLLECTION'!K10</f>
        <v>6883</v>
      </c>
      <c r="AL11" s="174">
        <f>'Dec2025-EXPENSE'!R14</f>
        <v>5113.0447351740913</v>
      </c>
      <c r="AM11" s="174"/>
      <c r="AN11" s="174">
        <f t="shared" si="8"/>
        <v>1769.9552648259087</v>
      </c>
      <c r="AO11" s="7">
        <f>'Jan2026-COLLECTION'!K10</f>
        <v>5090</v>
      </c>
      <c r="AP11" s="10">
        <f>'Jan2026-EXPENSE'!R14</f>
        <v>5018.7498458089085</v>
      </c>
      <c r="AQ11" s="10"/>
      <c r="AR11" s="174">
        <f t="shared" si="9"/>
        <v>71.250154191091497</v>
      </c>
      <c r="AS11" s="7">
        <f>'Feb2026-COLLECTION'!K10</f>
        <v>5041</v>
      </c>
      <c r="AT11" s="10">
        <f>'Feb2026-EXPENSE'!R14</f>
        <v>4824.3741208421134</v>
      </c>
      <c r="AU11" s="10"/>
      <c r="AV11" s="174">
        <f t="shared" si="10"/>
        <v>216.62587915788663</v>
      </c>
      <c r="AW11" s="7">
        <f>'Mar2026-COLLECTION'!K10</f>
        <v>4824</v>
      </c>
      <c r="AX11" s="10">
        <f>'Mar2026-EXPENSE'!R14</f>
        <v>4867.2645902905278</v>
      </c>
      <c r="AY11" s="10"/>
      <c r="AZ11" s="174">
        <f t="shared" si="11"/>
        <v>-43.264590290527849</v>
      </c>
      <c r="BA11" s="172">
        <f t="shared" ref="BA11:BC11" si="22">SUM(E11,I11,M11,Q11,U11,Y11,AC11,AG11,AK11,AO11,AS11,AW11)</f>
        <v>63304</v>
      </c>
      <c r="BB11" s="172">
        <f t="shared" si="22"/>
        <v>63901.257592624424</v>
      </c>
      <c r="BC11" s="172">
        <f t="shared" si="22"/>
        <v>0</v>
      </c>
      <c r="BD11" s="233">
        <f t="shared" si="13"/>
        <v>-597.25759262442443</v>
      </c>
      <c r="BE11" s="236">
        <f t="shared" si="15"/>
        <v>-597.25759262442443</v>
      </c>
    </row>
    <row r="12" spans="1:57" ht="16">
      <c r="A12" s="169" t="s">
        <v>49</v>
      </c>
      <c r="B12" s="13"/>
      <c r="C12" s="13" t="s">
        <v>50</v>
      </c>
      <c r="D12" s="230"/>
      <c r="E12" s="171">
        <f>'Apr2025-COLLECTION'!K11</f>
        <v>5314</v>
      </c>
      <c r="F12" s="172">
        <f>'Apr2025-EXPENSE'!R15</f>
        <v>6639.1417173307182</v>
      </c>
      <c r="G12" s="172"/>
      <c r="H12" s="172">
        <f t="shared" si="0"/>
        <v>-1325.1417173307182</v>
      </c>
      <c r="I12" s="173">
        <f>'May2025-COLLECTION'!K11</f>
        <v>5600</v>
      </c>
      <c r="J12" s="174">
        <f>'May2025-EXPENSE'!R15</f>
        <v>4263.0902570985108</v>
      </c>
      <c r="K12" s="174"/>
      <c r="L12" s="174">
        <f t="shared" si="1"/>
        <v>1336.9097429014892</v>
      </c>
      <c r="M12" s="172">
        <f>'June2025-COLLECTION'!K11</f>
        <v>4246</v>
      </c>
      <c r="N12" s="172">
        <f>'June2025-EXPENSE'!R15</f>
        <v>4536.4368313551504</v>
      </c>
      <c r="O12" s="172"/>
      <c r="P12" s="172">
        <f t="shared" si="2"/>
        <v>-290.43683135515039</v>
      </c>
      <c r="Q12" s="41">
        <f>'July2025-COLLECTION'!K11</f>
        <v>4536</v>
      </c>
      <c r="R12" s="174">
        <f>'July2025-EXPENSE'!R15</f>
        <v>5398.3315427309699</v>
      </c>
      <c r="S12" s="174"/>
      <c r="T12" s="174">
        <f t="shared" si="3"/>
        <v>-862.33154273096989</v>
      </c>
      <c r="U12" s="167">
        <f>'Aug2025-COLLECTION'!K11</f>
        <v>1057</v>
      </c>
      <c r="V12" s="172">
        <f>'Aug2025-EXPENSE'!R15</f>
        <v>5793.8187437924762</v>
      </c>
      <c r="W12" s="172"/>
      <c r="X12" s="172">
        <f t="shared" si="4"/>
        <v>-4736.8187437924762</v>
      </c>
      <c r="Y12" s="41">
        <f>'Sep2025-COLLECTION'!K11</f>
        <v>0</v>
      </c>
      <c r="Z12" s="174">
        <f>'Sep2025-EXPENSE'!R15</f>
        <v>5053.9620373547205</v>
      </c>
      <c r="AA12" s="174"/>
      <c r="AB12" s="174">
        <f t="shared" si="5"/>
        <v>-5053.9620373547205</v>
      </c>
      <c r="AC12" s="41">
        <f>'Oct2025-COLLECTION'!K11</f>
        <v>5794</v>
      </c>
      <c r="AD12" s="174">
        <f>'Oct2025-EXPENSE'!R15</f>
        <v>6328.3275677506035</v>
      </c>
      <c r="AE12" s="174"/>
      <c r="AF12" s="174">
        <f t="shared" si="6"/>
        <v>-534.32756775060352</v>
      </c>
      <c r="AG12" s="41">
        <f>'Nov2025-COLLECTION'!K11</f>
        <v>0</v>
      </c>
      <c r="AH12" s="174">
        <f>'Nov2025-EXPENSE'!R15</f>
        <v>6735.5787604765783</v>
      </c>
      <c r="AI12" s="174"/>
      <c r="AJ12" s="174">
        <f t="shared" si="7"/>
        <v>-6735.5787604765783</v>
      </c>
      <c r="AK12" s="41">
        <f>'Dec2025-COLLECTION'!K11</f>
        <v>0</v>
      </c>
      <c r="AL12" s="174">
        <f>'Dec2025-EXPENSE'!R15</f>
        <v>5048.5722078659519</v>
      </c>
      <c r="AM12" s="174"/>
      <c r="AN12" s="174">
        <f t="shared" si="8"/>
        <v>-5048.5722078659519</v>
      </c>
      <c r="AO12" s="7">
        <f>'Jan2026-COLLECTION'!K11</f>
        <v>6114</v>
      </c>
      <c r="AP12" s="10">
        <f>'Jan2026-EXPENSE'!R15</f>
        <v>5596.4422536527027</v>
      </c>
      <c r="AQ12" s="10"/>
      <c r="AR12" s="174">
        <f t="shared" si="9"/>
        <v>517.55774634729732</v>
      </c>
      <c r="AS12" s="7">
        <f>'Feb2026-COLLECTION'!K11</f>
        <v>0</v>
      </c>
      <c r="AT12" s="10">
        <f>'Feb2026-EXPENSE'!R15</f>
        <v>5596.5512651706667</v>
      </c>
      <c r="AU12" s="10"/>
      <c r="AV12" s="174">
        <f t="shared" si="10"/>
        <v>-5596.5512651706667</v>
      </c>
      <c r="AW12" s="7">
        <f>'Mar2026-COLLECTION'!K11</f>
        <v>5614</v>
      </c>
      <c r="AX12" s="10">
        <f>'Mar2026-EXPENSE'!R15</f>
        <v>5107.2724102298043</v>
      </c>
      <c r="AY12" s="10"/>
      <c r="AZ12" s="174">
        <f t="shared" si="11"/>
        <v>506.72758977019566</v>
      </c>
      <c r="BA12" s="172">
        <f t="shared" ref="BA12:BC12" si="23">SUM(E12,I12,M12,Q12,U12,Y12,AC12,AG12,AK12,AO12,AS12,AW12)</f>
        <v>38275</v>
      </c>
      <c r="BB12" s="172">
        <f t="shared" si="23"/>
        <v>66097.52559480886</v>
      </c>
      <c r="BC12" s="172">
        <f t="shared" si="23"/>
        <v>0</v>
      </c>
      <c r="BD12" s="233">
        <f t="shared" si="13"/>
        <v>-27822.52559480886</v>
      </c>
      <c r="BE12" s="236">
        <f t="shared" si="15"/>
        <v>-27822.52559480886</v>
      </c>
    </row>
    <row r="13" spans="1:57" ht="16">
      <c r="A13" s="169" t="s">
        <v>52</v>
      </c>
      <c r="B13" s="13"/>
      <c r="C13" s="13" t="s">
        <v>53</v>
      </c>
      <c r="D13" s="230"/>
      <c r="E13" s="171">
        <f>'Apr2025-COLLECTION'!K12</f>
        <v>4632</v>
      </c>
      <c r="F13" s="172">
        <f>'Apr2025-EXPENSE'!R16</f>
        <v>5386.8806251254091</v>
      </c>
      <c r="G13" s="172"/>
      <c r="H13" s="172">
        <f t="shared" si="0"/>
        <v>-754.8806251254091</v>
      </c>
      <c r="I13" s="173">
        <f>'May2025-COLLECTION'!K12</f>
        <v>5340</v>
      </c>
      <c r="J13" s="174">
        <f>'May2025-EXPENSE'!R16</f>
        <v>4288.7505299328022</v>
      </c>
      <c r="K13" s="174"/>
      <c r="L13" s="174">
        <f t="shared" si="1"/>
        <v>1051.2494700671978</v>
      </c>
      <c r="M13" s="172">
        <f>'June2025-COLLECTION'!K12</f>
        <v>4272</v>
      </c>
      <c r="N13" s="172">
        <f>'June2025-EXPENSE'!R16</f>
        <v>4584.2604191693326</v>
      </c>
      <c r="O13" s="172"/>
      <c r="P13" s="172">
        <f t="shared" si="2"/>
        <v>-312.26041916933264</v>
      </c>
      <c r="Q13" s="41">
        <f>'July2025-COLLECTION'!K12</f>
        <v>4584</v>
      </c>
      <c r="R13" s="174">
        <f>'July2025-EXPENSE'!R16</f>
        <v>5217.931953286693</v>
      </c>
      <c r="S13" s="174"/>
      <c r="T13" s="174">
        <f t="shared" si="3"/>
        <v>-633.93195328669299</v>
      </c>
      <c r="U13" s="167">
        <f>'Aug2025-COLLECTION'!K12</f>
        <v>5218</v>
      </c>
      <c r="V13" s="172">
        <f>'Aug2025-EXPENSE'!R16</f>
        <v>5706.2982028680599</v>
      </c>
      <c r="W13" s="172"/>
      <c r="X13" s="172">
        <f t="shared" si="4"/>
        <v>-488.29820286805989</v>
      </c>
      <c r="Y13" s="41">
        <f>'Sep2025-COLLECTION'!K12</f>
        <v>5218</v>
      </c>
      <c r="Z13" s="174">
        <f>'Sep2025-EXPENSE'!R16</f>
        <v>4795.7736817577643</v>
      </c>
      <c r="AA13" s="174"/>
      <c r="AB13" s="174">
        <f t="shared" si="5"/>
        <v>422.22631824223572</v>
      </c>
      <c r="AC13" s="41">
        <f>'Oct2025-COLLECTION'!K12</f>
        <v>4780</v>
      </c>
      <c r="AD13" s="174">
        <f>'Oct2025-EXPENSE'!R16</f>
        <v>6113.683824752331</v>
      </c>
      <c r="AE13" s="174"/>
      <c r="AF13" s="174">
        <f t="shared" si="6"/>
        <v>-1333.683824752331</v>
      </c>
      <c r="AG13" s="41">
        <f>'Nov2025-COLLECTION'!K12</f>
        <v>6114</v>
      </c>
      <c r="AH13" s="174">
        <f>'Nov2025-EXPENSE'!R16</f>
        <v>6521.8551189900754</v>
      </c>
      <c r="AI13" s="174"/>
      <c r="AJ13" s="174">
        <f t="shared" si="7"/>
        <v>-407.85511899007543</v>
      </c>
      <c r="AK13" s="41">
        <f>'Dec2025-COLLECTION'!K12</f>
        <v>6604</v>
      </c>
      <c r="AL13" s="174">
        <f>'Dec2025-EXPENSE'!R16</f>
        <v>4910.8619828082747</v>
      </c>
      <c r="AM13" s="174"/>
      <c r="AN13" s="174">
        <f t="shared" si="8"/>
        <v>1693.1380171917253</v>
      </c>
      <c r="AO13" s="7">
        <f>'Jan2026-COLLECTION'!K12</f>
        <v>4894</v>
      </c>
      <c r="AP13" s="10">
        <f>'Jan2026-EXPENSE'!R16</f>
        <v>4777.6410786358429</v>
      </c>
      <c r="AQ13" s="10"/>
      <c r="AR13" s="174">
        <f t="shared" si="9"/>
        <v>116.35892136415714</v>
      </c>
      <c r="AS13" s="7">
        <f>'Feb2026-COLLECTION'!K12</f>
        <v>4778</v>
      </c>
      <c r="AT13" s="10">
        <f>'Feb2026-EXPENSE'!R16</f>
        <v>4568.9316345859252</v>
      </c>
      <c r="AU13" s="10"/>
      <c r="AV13" s="174">
        <f t="shared" si="10"/>
        <v>209.06836541407483</v>
      </c>
      <c r="AW13" s="7">
        <f>'Mar2026-COLLECTION'!K12</f>
        <v>4569</v>
      </c>
      <c r="AX13" s="10">
        <f>'Mar2026-EXPENSE'!R16</f>
        <v>4690.0984080459657</v>
      </c>
      <c r="AY13" s="10"/>
      <c r="AZ13" s="174">
        <f t="shared" si="11"/>
        <v>-121.0984080459657</v>
      </c>
      <c r="BA13" s="172">
        <f t="shared" ref="BA13:BC13" si="24">SUM(E13,I13,M13,Q13,U13,Y13,AC13,AG13,AK13,AO13,AS13,AW13)</f>
        <v>61003</v>
      </c>
      <c r="BB13" s="172">
        <f t="shared" si="24"/>
        <v>61562.967459958476</v>
      </c>
      <c r="BC13" s="172">
        <f t="shared" si="24"/>
        <v>0</v>
      </c>
      <c r="BD13" s="233">
        <f t="shared" si="13"/>
        <v>-559.96745995847596</v>
      </c>
      <c r="BE13" s="236">
        <f t="shared" si="15"/>
        <v>-559.96745995847596</v>
      </c>
    </row>
    <row r="14" spans="1:57" ht="16">
      <c r="A14" s="169" t="s">
        <v>55</v>
      </c>
      <c r="B14" s="13"/>
      <c r="C14" s="13" t="s">
        <v>56</v>
      </c>
      <c r="D14" s="230"/>
      <c r="E14" s="171">
        <f>'Apr2025-COLLECTION'!K13</f>
        <v>4603</v>
      </c>
      <c r="F14" s="172">
        <f>'Apr2025-EXPENSE'!R17</f>
        <v>5334.5148437500002</v>
      </c>
      <c r="G14" s="172"/>
      <c r="H14" s="172">
        <f t="shared" si="0"/>
        <v>-731.51484375000018</v>
      </c>
      <c r="I14" s="173">
        <f>'May2025-COLLECTION'!K13</f>
        <v>5286</v>
      </c>
      <c r="J14" s="174">
        <f>'May2025-EXPENSE'!R17</f>
        <v>4030.495435536166</v>
      </c>
      <c r="K14" s="174"/>
      <c r="L14" s="174">
        <f t="shared" si="1"/>
        <v>1255.504564463834</v>
      </c>
      <c r="M14" s="172">
        <f>'June2025-COLLECTION'!K13</f>
        <v>4013</v>
      </c>
      <c r="N14" s="172">
        <f>'June2025-EXPENSE'!R17</f>
        <v>4272.8636485156248</v>
      </c>
      <c r="O14" s="172"/>
      <c r="P14" s="172">
        <f t="shared" si="2"/>
        <v>-259.86364851562485</v>
      </c>
      <c r="Q14" s="41">
        <f>'July2025-COLLECTION'!K13</f>
        <v>4273</v>
      </c>
      <c r="R14" s="174">
        <f>'July2025-EXPENSE'!R17</f>
        <v>5108.005885037468</v>
      </c>
      <c r="S14" s="174"/>
      <c r="T14" s="174">
        <f t="shared" si="3"/>
        <v>-835.00588503746803</v>
      </c>
      <c r="U14" s="167">
        <f>'Aug2025-COLLECTION'!K13</f>
        <v>5108</v>
      </c>
      <c r="V14" s="172">
        <f>'Aug2025-EXPENSE'!R17</f>
        <v>5588.0031627974568</v>
      </c>
      <c r="W14" s="172"/>
      <c r="X14" s="172">
        <f t="shared" si="4"/>
        <v>-480.00316279745675</v>
      </c>
      <c r="Y14" s="41">
        <f>'Sep2025-COLLECTION'!K13</f>
        <v>5108</v>
      </c>
      <c r="Z14" s="174">
        <f>'Sep2025-EXPENSE'!R17</f>
        <v>4740.6530485393696</v>
      </c>
      <c r="AA14" s="174"/>
      <c r="AB14" s="174">
        <f t="shared" si="5"/>
        <v>367.34695146063041</v>
      </c>
      <c r="AC14" s="41">
        <f>'Oct2025-COLLECTION'!K13</f>
        <v>4741</v>
      </c>
      <c r="AD14" s="174">
        <f>'Oct2025-EXPENSE'!R17</f>
        <v>6113.683824752331</v>
      </c>
      <c r="AE14" s="174"/>
      <c r="AF14" s="174">
        <f t="shared" si="6"/>
        <v>-1372.683824752331</v>
      </c>
      <c r="AG14" s="41">
        <f>'Nov2025-COLLECTION'!K13</f>
        <v>6114</v>
      </c>
      <c r="AH14" s="174">
        <f>'Nov2025-EXPENSE'!R17</f>
        <v>7232.8469521545085</v>
      </c>
      <c r="AI14" s="174"/>
      <c r="AJ14" s="174">
        <f t="shared" si="7"/>
        <v>-1118.8469521545085</v>
      </c>
      <c r="AK14" s="41">
        <f>'Dec2025-COLLECTION'!K13</f>
        <v>7315</v>
      </c>
      <c r="AL14" s="174">
        <f>'Dec2025-EXPENSE'!R17</f>
        <v>4867.992601103676</v>
      </c>
      <c r="AM14" s="174"/>
      <c r="AN14" s="174">
        <f t="shared" si="8"/>
        <v>2447.007398896324</v>
      </c>
      <c r="AO14" s="7">
        <f>'Jan2026-COLLECTION'!K13</f>
        <v>4851</v>
      </c>
      <c r="AP14" s="10">
        <f>'Jan2026-EXPENSE'!R17</f>
        <v>4735.218262669011</v>
      </c>
      <c r="AQ14" s="10"/>
      <c r="AR14" s="174">
        <f t="shared" si="9"/>
        <v>115.78173733098902</v>
      </c>
      <c r="AS14" s="7">
        <f>'Feb2026-COLLECTION'!K13</f>
        <v>5215</v>
      </c>
      <c r="AT14" s="10">
        <f>'Feb2026-EXPENSE'!R17</f>
        <v>4448.9544834333874</v>
      </c>
      <c r="AU14" s="10"/>
      <c r="AV14" s="174">
        <f t="shared" si="10"/>
        <v>766.0455165666126</v>
      </c>
      <c r="AW14" s="7">
        <f>'Mar2026-COLLECTION'!K13</f>
        <v>4449</v>
      </c>
      <c r="AX14" s="10">
        <f>'Mar2026-EXPENSE'!R17</f>
        <v>5959.1596246376102</v>
      </c>
      <c r="AY14" s="10"/>
      <c r="AZ14" s="174">
        <f t="shared" si="11"/>
        <v>-1510.1596246376102</v>
      </c>
      <c r="BA14" s="172">
        <f t="shared" ref="BA14:BC14" si="25">SUM(E14,I14,M14,Q14,U14,Y14,AC14,AG14,AK14,AO14,AS14,AW14)</f>
        <v>61076</v>
      </c>
      <c r="BB14" s="172">
        <f t="shared" si="25"/>
        <v>62432.39177292661</v>
      </c>
      <c r="BC14" s="172">
        <f t="shared" si="25"/>
        <v>0</v>
      </c>
      <c r="BD14" s="233">
        <f t="shared" si="13"/>
        <v>-1356.3917729266104</v>
      </c>
      <c r="BE14" s="236">
        <f t="shared" si="15"/>
        <v>-1356.3917729266104</v>
      </c>
    </row>
    <row r="15" spans="1:57" ht="16">
      <c r="A15" s="169" t="s">
        <v>58</v>
      </c>
      <c r="B15" s="13"/>
      <c r="C15" s="13" t="s">
        <v>59</v>
      </c>
      <c r="D15" s="230"/>
      <c r="E15" s="171">
        <f>'Apr2025-COLLECTION'!K14</f>
        <v>4730</v>
      </c>
      <c r="F15" s="172">
        <f>'Apr2025-EXPENSE'!R18</f>
        <v>5473.6278925312763</v>
      </c>
      <c r="G15" s="172"/>
      <c r="H15" s="172">
        <f t="shared" si="0"/>
        <v>-743.6278925312763</v>
      </c>
      <c r="I15" s="173">
        <f>'May2025-COLLECTION'!K14</f>
        <v>5426</v>
      </c>
      <c r="J15" s="174">
        <f>'May2025-EXPENSE'!R18</f>
        <v>6298.0136749165231</v>
      </c>
      <c r="K15" s="174">
        <v>500</v>
      </c>
      <c r="L15" s="174">
        <f t="shared" si="1"/>
        <v>-1372.0136749165231</v>
      </c>
      <c r="M15" s="172">
        <f>'June2025-COLLECTION'!K14</f>
        <v>6275</v>
      </c>
      <c r="N15" s="172">
        <f>'June2025-EXPENSE'!R18</f>
        <v>5598.2208998237193</v>
      </c>
      <c r="O15" s="172"/>
      <c r="P15" s="172">
        <f t="shared" si="2"/>
        <v>676.77910017628074</v>
      </c>
      <c r="Q15" s="41">
        <f>'July2025-COLLECTION'!K14</f>
        <v>5598.22</v>
      </c>
      <c r="R15" s="174">
        <f>'July2025-EXPENSE'!R18</f>
        <v>6235.7125713738633</v>
      </c>
      <c r="S15" s="174"/>
      <c r="T15" s="174">
        <f t="shared" si="3"/>
        <v>-637.49257137386303</v>
      </c>
      <c r="U15" s="167">
        <f>'Aug2025-COLLECTION'!K14</f>
        <v>0</v>
      </c>
      <c r="V15" s="172">
        <f>'Aug2025-EXPENSE'!R18</f>
        <v>6252.7737307554835</v>
      </c>
      <c r="W15" s="172"/>
      <c r="X15" s="172">
        <f t="shared" si="4"/>
        <v>-6252.7737307554835</v>
      </c>
      <c r="Y15" s="41">
        <f>'Sep2025-COLLECTION'!K14</f>
        <v>12506.48</v>
      </c>
      <c r="Z15" s="174">
        <f>'Sep2025-EXPENSE'!R18</f>
        <v>5225.7911289082722</v>
      </c>
      <c r="AA15" s="174"/>
      <c r="AB15" s="174">
        <f t="shared" si="5"/>
        <v>7280.6888710917274</v>
      </c>
      <c r="AC15" s="41">
        <f>'Oct2025-COLLECTION'!K14</f>
        <v>5226</v>
      </c>
      <c r="AD15" s="174">
        <f>'Oct2025-EXPENSE'!R18</f>
        <v>6402.9448299541691</v>
      </c>
      <c r="AE15" s="174"/>
      <c r="AF15" s="174">
        <f t="shared" si="6"/>
        <v>-1176.9448299541691</v>
      </c>
      <c r="AG15" s="41">
        <f>'Nov2025-COLLECTION'!K14</f>
        <v>0</v>
      </c>
      <c r="AH15" s="174">
        <f>'Nov2025-EXPENSE'!R18</f>
        <v>7071.9560102491369</v>
      </c>
      <c r="AI15" s="174"/>
      <c r="AJ15" s="174">
        <f t="shared" si="7"/>
        <v>-7071.9560102491369</v>
      </c>
      <c r="AK15" s="41">
        <f>'Dec2025-COLLECTION'!K14</f>
        <v>13384.67</v>
      </c>
      <c r="AL15" s="174">
        <f>'Dec2025-EXPENSE'!R18</f>
        <v>5145.8688162152366</v>
      </c>
      <c r="AM15" s="174"/>
      <c r="AN15" s="174">
        <f t="shared" si="8"/>
        <v>8238.8011837847625</v>
      </c>
      <c r="AO15" s="7">
        <f>'Jan2026-COLLECTION'!K14</f>
        <v>0</v>
      </c>
      <c r="AP15" s="10">
        <f>'Jan2026-EXPENSE'!R18</f>
        <v>4968.0131971416658</v>
      </c>
      <c r="AQ15" s="10"/>
      <c r="AR15" s="174">
        <f t="shared" si="9"/>
        <v>-4968.0131971416658</v>
      </c>
      <c r="AS15" s="7">
        <f>'Feb2026-COLLECTION'!K14</f>
        <v>5123.2</v>
      </c>
      <c r="AT15" s="10">
        <f>'Feb2026-EXPENSE'!R18</f>
        <v>4751.230589698419</v>
      </c>
      <c r="AU15" s="10"/>
      <c r="AV15" s="174">
        <f t="shared" si="10"/>
        <v>371.96941030158087</v>
      </c>
      <c r="AW15" s="7">
        <f>'Mar2026-COLLECTION'!K14</f>
        <v>9742</v>
      </c>
      <c r="AX15" s="10">
        <f>'Mar2026-EXPENSE'!R18</f>
        <v>4933.6975155746804</v>
      </c>
      <c r="AY15" s="10"/>
      <c r="AZ15" s="174">
        <f t="shared" si="11"/>
        <v>4808.3024844253196</v>
      </c>
      <c r="BA15" s="172">
        <f t="shared" ref="BA15:BC15" si="26">SUM(E15,I15,M15,Q15,U15,Y15,AC15,AG15,AK15,AO15,AS15,AW15)</f>
        <v>68011.569999999992</v>
      </c>
      <c r="BB15" s="172">
        <f t="shared" si="26"/>
        <v>68357.850857142446</v>
      </c>
      <c r="BC15" s="172">
        <f t="shared" si="26"/>
        <v>500</v>
      </c>
      <c r="BD15" s="233">
        <f t="shared" si="13"/>
        <v>-846.2808571424539</v>
      </c>
      <c r="BE15" s="236">
        <f t="shared" si="15"/>
        <v>-846.2808571424539</v>
      </c>
    </row>
    <row r="16" spans="1:57" ht="16">
      <c r="A16" s="169" t="s">
        <v>61</v>
      </c>
      <c r="B16" s="13"/>
      <c r="C16" s="13" t="s">
        <v>62</v>
      </c>
      <c r="D16" s="230"/>
      <c r="E16" s="171">
        <f>'Apr2025-COLLECTION'!K15</f>
        <v>5727</v>
      </c>
      <c r="F16" s="172">
        <f>'Apr2025-EXPENSE'!R19</f>
        <v>6196.8277234776533</v>
      </c>
      <c r="G16" s="172"/>
      <c r="H16" s="172">
        <f t="shared" si="0"/>
        <v>-469.82772347765331</v>
      </c>
      <c r="I16" s="173">
        <f>'May2025-COLLECTION'!K15</f>
        <v>6148</v>
      </c>
      <c r="J16" s="174">
        <f>'May2025-EXPENSE'!R19</f>
        <v>4914.1017700496977</v>
      </c>
      <c r="K16" s="174"/>
      <c r="L16" s="174">
        <f t="shared" si="1"/>
        <v>1233.8982299503023</v>
      </c>
      <c r="M16" s="172">
        <f>'June2025-COLLECTION'!K15</f>
        <v>4891</v>
      </c>
      <c r="N16" s="172">
        <f>'June2025-EXPENSE'!R19</f>
        <v>5391.2056936785557</v>
      </c>
      <c r="O16" s="172"/>
      <c r="P16" s="172">
        <f t="shared" si="2"/>
        <v>-500.20569367855569</v>
      </c>
      <c r="Q16" s="41">
        <f>'July2025-COLLECTION'!K15</f>
        <v>5391</v>
      </c>
      <c r="R16" s="174">
        <f>'July2025-EXPENSE'!R19</f>
        <v>5438.8162095047919</v>
      </c>
      <c r="S16" s="174"/>
      <c r="T16" s="174">
        <f t="shared" si="3"/>
        <v>-47.816209504791914</v>
      </c>
      <c r="U16" s="167">
        <f>'Aug2025-COLLECTION'!K15</f>
        <v>5439</v>
      </c>
      <c r="V16" s="172">
        <f>'Aug2025-EXPENSE'!R19</f>
        <v>5882.5458327901551</v>
      </c>
      <c r="W16" s="172"/>
      <c r="X16" s="172">
        <f t="shared" si="4"/>
        <v>-443.54583279015515</v>
      </c>
      <c r="Y16" s="41">
        <f>'Sep2025-COLLECTION'!K15</f>
        <v>5439</v>
      </c>
      <c r="Z16" s="174">
        <f>'Sep2025-EXPENSE'!R19</f>
        <v>4974.8523776802831</v>
      </c>
      <c r="AA16" s="174"/>
      <c r="AB16" s="174">
        <f t="shared" si="5"/>
        <v>464.1476223197169</v>
      </c>
      <c r="AC16" s="41">
        <f>'Oct2025-COLLECTION'!K15</f>
        <v>4975</v>
      </c>
      <c r="AD16" s="174">
        <f>'Oct2025-EXPENSE'!R19</f>
        <v>6442.6326705531073</v>
      </c>
      <c r="AE16" s="174"/>
      <c r="AF16" s="174">
        <f t="shared" si="6"/>
        <v>-1467.6326705531073</v>
      </c>
      <c r="AG16" s="41">
        <f>'Nov2025-COLLECTION'!K15</f>
        <v>6231</v>
      </c>
      <c r="AH16" s="174">
        <f>'Nov2025-EXPENSE'!R19</f>
        <v>7102.4602907512881</v>
      </c>
      <c r="AI16" s="174"/>
      <c r="AJ16" s="174">
        <f t="shared" si="7"/>
        <v>-871.46029075128808</v>
      </c>
      <c r="AK16" s="41">
        <f>'Dec2025-COLLECTION'!K15</f>
        <v>0</v>
      </c>
      <c r="AL16" s="174">
        <f>'Dec2025-EXPENSE'!R19</f>
        <v>5657.0944462238749</v>
      </c>
      <c r="AM16" s="174"/>
      <c r="AN16" s="174">
        <f t="shared" si="8"/>
        <v>-5657.0944462238749</v>
      </c>
      <c r="AO16" s="7">
        <f>'Jan2026-COLLECTION'!K15</f>
        <v>5438</v>
      </c>
      <c r="AP16" s="10">
        <f>'Jan2026-EXPENSE'!R19</f>
        <v>5455.2631779050644</v>
      </c>
      <c r="AQ16" s="10"/>
      <c r="AR16" s="174">
        <f t="shared" si="9"/>
        <v>-17.263177905064367</v>
      </c>
      <c r="AS16" s="7">
        <f>'Feb2026-COLLECTION'!K15</f>
        <v>5478</v>
      </c>
      <c r="AT16" s="10">
        <f>'Feb2026-EXPENSE'!R19</f>
        <v>5270.0106043687083</v>
      </c>
      <c r="AU16" s="10"/>
      <c r="AV16" s="174">
        <f t="shared" si="10"/>
        <v>207.9893956312917</v>
      </c>
      <c r="AW16" s="7">
        <f>'Mar2026-COLLECTION'!K15</f>
        <v>0</v>
      </c>
      <c r="AX16" s="10">
        <f>'Mar2026-EXPENSE'!R19</f>
        <v>5305.4476733731499</v>
      </c>
      <c r="AY16" s="10"/>
      <c r="AZ16" s="174">
        <f t="shared" si="11"/>
        <v>-5305.4476733731499</v>
      </c>
      <c r="BA16" s="172">
        <f t="shared" ref="BA16:BC16" si="27">SUM(E16,I16,M16,Q16,U16,Y16,AC16,AG16,AK16,AO16,AS16,AW16)</f>
        <v>55157</v>
      </c>
      <c r="BB16" s="172">
        <f t="shared" si="27"/>
        <v>68031.258470356348</v>
      </c>
      <c r="BC16" s="172">
        <f t="shared" si="27"/>
        <v>0</v>
      </c>
      <c r="BD16" s="233">
        <f t="shared" si="13"/>
        <v>-12874.258470356348</v>
      </c>
      <c r="BE16" s="236">
        <f t="shared" si="15"/>
        <v>-12874.258470356348</v>
      </c>
    </row>
    <row r="17" spans="1:57" ht="16">
      <c r="A17" s="169" t="s">
        <v>63</v>
      </c>
      <c r="B17" s="13"/>
      <c r="C17" s="13" t="s">
        <v>64</v>
      </c>
      <c r="D17" s="230"/>
      <c r="E17" s="171">
        <f>'Apr2025-COLLECTION'!K16</f>
        <v>5709</v>
      </c>
      <c r="F17" s="172">
        <f>'Apr2025-EXPENSE'!R20</f>
        <v>6504.5924287517901</v>
      </c>
      <c r="G17" s="172"/>
      <c r="H17" s="172">
        <f t="shared" si="0"/>
        <v>-795.59242875179007</v>
      </c>
      <c r="I17" s="173">
        <f>'May2025-COLLECTION'!K16</f>
        <v>6465</v>
      </c>
      <c r="J17" s="174">
        <f>'May2025-EXPENSE'!R20</f>
        <v>5488.3475727201248</v>
      </c>
      <c r="K17" s="174"/>
      <c r="L17" s="174">
        <f t="shared" si="1"/>
        <v>976.65242727987516</v>
      </c>
      <c r="M17" s="172">
        <f>'June2025-COLLECTION'!K16</f>
        <v>5466</v>
      </c>
      <c r="N17" s="172">
        <f>'June2025-EXPENSE'!R20</f>
        <v>5711.6738966361772</v>
      </c>
      <c r="O17" s="172"/>
      <c r="P17" s="172">
        <f t="shared" si="2"/>
        <v>-245.67389663617723</v>
      </c>
      <c r="Q17" s="41">
        <f>'July2025-COLLECTION'!K16</f>
        <v>5712</v>
      </c>
      <c r="R17" s="174">
        <f>'July2025-EXPENSE'!R20</f>
        <v>6486.5364017318761</v>
      </c>
      <c r="S17" s="174"/>
      <c r="T17" s="174">
        <f t="shared" si="3"/>
        <v>-774.53640173187614</v>
      </c>
      <c r="U17" s="167">
        <f>'Aug2025-COLLECTION'!K16</f>
        <v>6487</v>
      </c>
      <c r="V17" s="172">
        <f>'Aug2025-EXPENSE'!R20</f>
        <v>6873.5386230693275</v>
      </c>
      <c r="W17" s="172"/>
      <c r="X17" s="172">
        <f t="shared" si="4"/>
        <v>-386.53862306932751</v>
      </c>
      <c r="Y17" s="41">
        <f>'Sep2025-COLLECTION'!K16</f>
        <v>6487</v>
      </c>
      <c r="Z17" s="174">
        <f>'Sep2025-EXPENSE'!R20</f>
        <v>5910.584089611315</v>
      </c>
      <c r="AA17" s="174"/>
      <c r="AB17" s="174">
        <f t="shared" si="5"/>
        <v>576.41591038868501</v>
      </c>
      <c r="AC17" s="41">
        <f>'Oct2025-COLLECTION'!K16</f>
        <v>5911</v>
      </c>
      <c r="AD17" s="174">
        <f>'Oct2025-EXPENSE'!R20</f>
        <v>6982.398687621383</v>
      </c>
      <c r="AE17" s="174"/>
      <c r="AF17" s="174">
        <f t="shared" si="6"/>
        <v>-1071.398687621383</v>
      </c>
      <c r="AG17" s="41">
        <f>'Nov2025-COLLECTION'!K16</f>
        <v>6981</v>
      </c>
      <c r="AH17" s="174">
        <f>'Nov2025-EXPENSE'!R20</f>
        <v>7556.7140283589997</v>
      </c>
      <c r="AI17" s="174"/>
      <c r="AJ17" s="174">
        <f t="shared" si="7"/>
        <v>-575.71402835899971</v>
      </c>
      <c r="AK17" s="41">
        <f>'Dec2025-COLLECTION'!K16</f>
        <v>7638.43</v>
      </c>
      <c r="AL17" s="174">
        <f>'Dec2025-EXPENSE'!R20</f>
        <v>6043.3413757204962</v>
      </c>
      <c r="AM17" s="174"/>
      <c r="AN17" s="174">
        <f t="shared" si="8"/>
        <v>1595.0886242795041</v>
      </c>
      <c r="AO17" s="7">
        <f>'Jan2026-COLLECTION'!K16</f>
        <v>6020</v>
      </c>
      <c r="AP17" s="10">
        <f>'Jan2026-EXPENSE'!R20</f>
        <v>5888.9292667193204</v>
      </c>
      <c r="AQ17" s="10"/>
      <c r="AR17" s="174">
        <f t="shared" si="9"/>
        <v>131.07073328067963</v>
      </c>
      <c r="AS17" s="7">
        <f>'Feb2026-COLLECTION'!K16</f>
        <v>5912</v>
      </c>
      <c r="AT17" s="10">
        <f>'Feb2026-EXPENSE'!R20</f>
        <v>5520.0233833661696</v>
      </c>
      <c r="AU17" s="10"/>
      <c r="AV17" s="174">
        <f t="shared" si="10"/>
        <v>391.97661663383042</v>
      </c>
      <c r="AW17" s="7">
        <f>'Mar2026-COLLECTION'!K16</f>
        <v>5520</v>
      </c>
      <c r="AX17" s="10">
        <f>'Mar2026-EXPENSE'!R20</f>
        <v>5764.1512380060203</v>
      </c>
      <c r="AY17" s="10"/>
      <c r="AZ17" s="174">
        <f t="shared" si="11"/>
        <v>-244.15123800602032</v>
      </c>
      <c r="BA17" s="172">
        <f t="shared" ref="BA17:BC17" si="28">SUM(E17,I17,M17,Q17,U17,Y17,AC17,AG17,AK17,AO17,AS17,AW17)</f>
        <v>74308.429999999993</v>
      </c>
      <c r="BB17" s="172">
        <f t="shared" si="28"/>
        <v>74730.830992312985</v>
      </c>
      <c r="BC17" s="172">
        <f t="shared" si="28"/>
        <v>0</v>
      </c>
      <c r="BD17" s="233">
        <f t="shared" si="13"/>
        <v>-422.40099231299246</v>
      </c>
      <c r="BE17" s="236">
        <f t="shared" si="15"/>
        <v>-422.40099231299246</v>
      </c>
    </row>
    <row r="18" spans="1:57" ht="16">
      <c r="A18" s="169" t="s">
        <v>65</v>
      </c>
      <c r="B18" s="13"/>
      <c r="C18" s="13" t="s">
        <v>66</v>
      </c>
      <c r="D18" s="230"/>
      <c r="E18" s="171">
        <f>'Apr2025-COLLECTION'!K17</f>
        <v>0</v>
      </c>
      <c r="F18" s="172">
        <f>'Apr2025-EXPENSE'!R21</f>
        <v>6525.0390521512418</v>
      </c>
      <c r="G18" s="172"/>
      <c r="H18" s="172">
        <f t="shared" si="0"/>
        <v>-6525.0390521512418</v>
      </c>
      <c r="I18" s="173">
        <f>'May2025-COLLECTION'!K17</f>
        <v>0</v>
      </c>
      <c r="J18" s="174">
        <f>'May2025-EXPENSE'!R21</f>
        <v>5395.8357859274129</v>
      </c>
      <c r="K18" s="174"/>
      <c r="L18" s="174">
        <f t="shared" si="1"/>
        <v>-5395.8357859274129</v>
      </c>
      <c r="M18" s="172">
        <f>'June2025-COLLECTION'!K17</f>
        <v>0</v>
      </c>
      <c r="N18" s="172">
        <f>'June2025-EXPENSE'!R21</f>
        <v>5474.6821153599576</v>
      </c>
      <c r="O18" s="172"/>
      <c r="P18" s="172">
        <f t="shared" si="2"/>
        <v>-5474.6821153599576</v>
      </c>
      <c r="Q18" s="41">
        <f>'July2025-COLLECTION'!K17</f>
        <v>0</v>
      </c>
      <c r="R18" s="174">
        <f>'July2025-EXPENSE'!R21</f>
        <v>6265.0701850422265</v>
      </c>
      <c r="S18" s="174"/>
      <c r="T18" s="174">
        <f t="shared" si="3"/>
        <v>-6265.0701850422265</v>
      </c>
      <c r="U18" s="167">
        <f>'Aug2025-COLLECTION'!K17</f>
        <v>0</v>
      </c>
      <c r="V18" s="172">
        <f>'Aug2025-EXPENSE'!R21</f>
        <v>7143.8497706433427</v>
      </c>
      <c r="W18" s="172"/>
      <c r="X18" s="172">
        <f t="shared" si="4"/>
        <v>-7143.8497706433427</v>
      </c>
      <c r="Y18" s="41">
        <f>'Sep2025-COLLECTION'!K17</f>
        <v>0</v>
      </c>
      <c r="Z18" s="174">
        <f>'Sep2025-EXPENSE'!R21</f>
        <v>5924.5843620343994</v>
      </c>
      <c r="AA18" s="174"/>
      <c r="AB18" s="174">
        <f t="shared" si="5"/>
        <v>-5924.5843620343994</v>
      </c>
      <c r="AC18" s="41">
        <f>'Oct2025-COLLECTION'!K17</f>
        <v>0</v>
      </c>
      <c r="AD18" s="174">
        <f>'Oct2025-EXPENSE'!R21</f>
        <v>7483.5784459076422</v>
      </c>
      <c r="AE18" s="174"/>
      <c r="AF18" s="174">
        <f t="shared" si="6"/>
        <v>-7483.5784459076422</v>
      </c>
      <c r="AG18" s="41">
        <f>'Nov2025-COLLECTION'!K17</f>
        <v>0</v>
      </c>
      <c r="AH18" s="174">
        <f>'Nov2025-EXPENSE'!R21</f>
        <v>7797.611916880056</v>
      </c>
      <c r="AI18" s="174"/>
      <c r="AJ18" s="174">
        <f t="shared" si="7"/>
        <v>-7797.611916880056</v>
      </c>
      <c r="AK18" s="41">
        <f>'Dec2025-COLLECTION'!K17</f>
        <v>7879.33</v>
      </c>
      <c r="AL18" s="174">
        <f>'Dec2025-EXPENSE'!R21</f>
        <v>6641.7663252969314</v>
      </c>
      <c r="AM18" s="174"/>
      <c r="AN18" s="174">
        <f t="shared" si="8"/>
        <v>1237.5636747030685</v>
      </c>
      <c r="AO18" s="7">
        <f>'Jan2026-COLLECTION'!K17</f>
        <v>6624.7</v>
      </c>
      <c r="AP18" s="10">
        <f>'Jan2026-EXPENSE'!R21</f>
        <v>6039.747690142498</v>
      </c>
      <c r="AQ18" s="10"/>
      <c r="AR18" s="174">
        <f t="shared" si="9"/>
        <v>584.95230985750186</v>
      </c>
      <c r="AS18" s="7">
        <f>'Feb2026-COLLECTION'!K17</f>
        <v>0</v>
      </c>
      <c r="AT18" s="10">
        <f>'Feb2026-EXPENSE'!R21</f>
        <v>5903.1210755559023</v>
      </c>
      <c r="AU18" s="10"/>
      <c r="AV18" s="174">
        <f t="shared" si="10"/>
        <v>-5903.1210755559023</v>
      </c>
      <c r="AW18" s="7">
        <f>'Mar2026-COLLECTION'!K17</f>
        <v>6057</v>
      </c>
      <c r="AX18" s="10">
        <f>'Mar2026-EXPENSE'!R21</f>
        <v>6071.9209458139348</v>
      </c>
      <c r="AY18" s="10"/>
      <c r="AZ18" s="174">
        <f t="shared" si="11"/>
        <v>-14.92094581393485</v>
      </c>
      <c r="BA18" s="172">
        <f t="shared" ref="BA18:BC18" si="29">SUM(E18,I18,M18,Q18,U18,Y18,AC18,AG18,AK18,AO18,AS18,AW18)</f>
        <v>20561.03</v>
      </c>
      <c r="BB18" s="172">
        <f t="shared" si="29"/>
        <v>76666.807670755545</v>
      </c>
      <c r="BC18" s="172">
        <f t="shared" si="29"/>
        <v>0</v>
      </c>
      <c r="BD18" s="233">
        <f t="shared" si="13"/>
        <v>-56105.777670755546</v>
      </c>
      <c r="BE18" s="236">
        <f t="shared" si="15"/>
        <v>-56105.777670755546</v>
      </c>
    </row>
    <row r="19" spans="1:57" ht="16">
      <c r="A19" s="169" t="s">
        <v>67</v>
      </c>
      <c r="B19" s="13" t="s">
        <v>338</v>
      </c>
      <c r="C19" s="13" t="s">
        <v>68</v>
      </c>
      <c r="D19" s="230"/>
      <c r="E19" s="171">
        <f>'Apr2025-COLLECTION'!K18</f>
        <v>5139</v>
      </c>
      <c r="F19" s="172">
        <f>'Apr2025-EXPENSE'!R22</f>
        <v>6324.8865420022075</v>
      </c>
      <c r="G19" s="172"/>
      <c r="H19" s="172">
        <f t="shared" si="0"/>
        <v>-1185.8865420022075</v>
      </c>
      <c r="I19" s="173">
        <f>'May2025-COLLECTION'!K18</f>
        <v>0</v>
      </c>
      <c r="J19" s="174">
        <f>'May2025-EXPENSE'!R22</f>
        <v>5006.4119862660955</v>
      </c>
      <c r="K19" s="174"/>
      <c r="L19" s="174">
        <f t="shared" si="1"/>
        <v>-5006.4119862660955</v>
      </c>
      <c r="M19" s="172">
        <f>'June2025-COLLECTION'!K18</f>
        <v>11295</v>
      </c>
      <c r="N19" s="172">
        <f>'June2025-EXPENSE'!R22</f>
        <v>5172.2731693391606</v>
      </c>
      <c r="O19" s="172"/>
      <c r="P19" s="172">
        <f t="shared" si="2"/>
        <v>6122.7268306608394</v>
      </c>
      <c r="Q19" s="41">
        <f>'July2025-COLLECTION'!K18</f>
        <v>4700</v>
      </c>
      <c r="R19" s="174">
        <f>'July2025-EXPENSE'!R22</f>
        <v>6041.7462244030103</v>
      </c>
      <c r="S19" s="174"/>
      <c r="T19" s="174">
        <f t="shared" si="3"/>
        <v>-1341.7462244030103</v>
      </c>
      <c r="U19" s="167">
        <f>'Aug2025-COLLECTION'!K18</f>
        <v>6042</v>
      </c>
      <c r="V19" s="172">
        <f>'Aug2025-EXPENSE'!R22</f>
        <v>6533.4740469707749</v>
      </c>
      <c r="W19" s="172"/>
      <c r="X19" s="172">
        <f t="shared" si="4"/>
        <v>-491.47404697077491</v>
      </c>
      <c r="Y19" s="41">
        <f>'Sep2025-COLLECTION'!K18</f>
        <v>6533</v>
      </c>
      <c r="Z19" s="174">
        <f>'Sep2025-EXPENSE'!R22</f>
        <v>5603.4347684939157</v>
      </c>
      <c r="AA19" s="174"/>
      <c r="AB19" s="174">
        <f t="shared" si="5"/>
        <v>929.56523150608427</v>
      </c>
      <c r="AC19" s="41">
        <f>'Oct2025-COLLECTION'!K18</f>
        <v>5603</v>
      </c>
      <c r="AD19" s="174">
        <f>'Oct2025-EXPENSE'!R22</f>
        <v>7205.1260060428049</v>
      </c>
      <c r="AE19" s="174"/>
      <c r="AF19" s="174">
        <f t="shared" si="6"/>
        <v>-1602.1260060428049</v>
      </c>
      <c r="AG19" s="41">
        <f>'Nov2025-COLLECTION'!K18</f>
        <v>0</v>
      </c>
      <c r="AH19" s="174">
        <f>'Nov2025-EXPENSE'!R22</f>
        <v>7153.9231787917988</v>
      </c>
      <c r="AI19" s="174"/>
      <c r="AJ19" s="174">
        <f t="shared" si="7"/>
        <v>-7153.9231787917988</v>
      </c>
      <c r="AK19" s="41">
        <f>'Dec2025-COLLECTION'!K18</f>
        <v>6114</v>
      </c>
      <c r="AL19" s="174">
        <f>'Dec2025-EXPENSE'!R22</f>
        <v>5557.7227522915291</v>
      </c>
      <c r="AM19" s="174"/>
      <c r="AN19" s="174">
        <f t="shared" si="8"/>
        <v>556.2772477084709</v>
      </c>
      <c r="AO19" s="7">
        <f>'Jan2026-COLLECTION'!K18</f>
        <v>7235</v>
      </c>
      <c r="AP19" s="10">
        <f>'Jan2026-EXPENSE'!R22</f>
        <v>5447.7211481591821</v>
      </c>
      <c r="AQ19" s="10"/>
      <c r="AR19" s="174">
        <f t="shared" si="9"/>
        <v>1787.2788518408179</v>
      </c>
      <c r="AS19" s="7">
        <f>'Feb2026-COLLECTION'!K18</f>
        <v>5541</v>
      </c>
      <c r="AT19" s="10">
        <f>'Feb2026-EXPENSE'!R22</f>
        <v>5468.3151757483538</v>
      </c>
      <c r="AU19" s="10"/>
      <c r="AV19" s="174">
        <f t="shared" si="10"/>
        <v>72.684824251646205</v>
      </c>
      <c r="AW19" s="7">
        <f>'Mar2026-COLLECTION'!K18</f>
        <v>12874</v>
      </c>
      <c r="AX19" s="10">
        <f>'Mar2026-EXPENSE'!R22</f>
        <v>7334.1912902983604</v>
      </c>
      <c r="AY19" s="10"/>
      <c r="AZ19" s="174">
        <f t="shared" si="11"/>
        <v>5539.8087097016396</v>
      </c>
      <c r="BA19" s="172">
        <f t="shared" ref="BA19:BC19" si="30">SUM(E19,I19,M19,Q19,U19,Y19,AC19,AG19,AK19,AO19,AS19,AW19)</f>
        <v>71076</v>
      </c>
      <c r="BB19" s="172">
        <f t="shared" si="30"/>
        <v>72849.226288807185</v>
      </c>
      <c r="BC19" s="172">
        <f t="shared" si="30"/>
        <v>0</v>
      </c>
      <c r="BD19" s="233">
        <f t="shared" si="13"/>
        <v>-1773.2262888071855</v>
      </c>
      <c r="BE19" s="236">
        <f t="shared" si="15"/>
        <v>-1773.2262888071855</v>
      </c>
    </row>
    <row r="20" spans="1:57" ht="16">
      <c r="A20" s="169" t="s">
        <v>69</v>
      </c>
      <c r="B20" s="13"/>
      <c r="C20" s="13" t="s">
        <v>70</v>
      </c>
      <c r="D20" s="230"/>
      <c r="E20" s="171">
        <f>'Apr2025-COLLECTION'!K19</f>
        <v>5645</v>
      </c>
      <c r="F20" s="172">
        <f>'Apr2025-EXPENSE'!R23</f>
        <v>7311.2141480064547</v>
      </c>
      <c r="G20" s="172"/>
      <c r="H20" s="172">
        <f t="shared" si="0"/>
        <v>-1666.2141480064547</v>
      </c>
      <c r="I20" s="173">
        <f>'May2025-COLLECTION'!K19</f>
        <v>0</v>
      </c>
      <c r="J20" s="174">
        <f>'May2025-EXPENSE'!R23</f>
        <v>5182.056457146411</v>
      </c>
      <c r="K20" s="174"/>
      <c r="L20" s="174">
        <f t="shared" si="1"/>
        <v>-5182.056457146411</v>
      </c>
      <c r="M20" s="172">
        <f>'June2025-COLLECTION'!K19</f>
        <v>12477</v>
      </c>
      <c r="N20" s="172">
        <f>'June2025-EXPENSE'!R23</f>
        <v>6087.9528327285634</v>
      </c>
      <c r="O20" s="172"/>
      <c r="P20" s="172">
        <f t="shared" si="2"/>
        <v>6389.0471672714366</v>
      </c>
      <c r="Q20" s="41">
        <f>'July2025-COLLECTION'!K19</f>
        <v>6087.95</v>
      </c>
      <c r="R20" s="174">
        <f>'July2025-EXPENSE'!R23</f>
        <v>6478.8755271031769</v>
      </c>
      <c r="S20" s="174"/>
      <c r="T20" s="174">
        <f t="shared" si="3"/>
        <v>-390.92552710317705</v>
      </c>
      <c r="U20" s="167">
        <f>'Aug2025-COLLECTION'!K19</f>
        <v>6478</v>
      </c>
      <c r="V20" s="172">
        <f>'Aug2025-EXPENSE'!R23</f>
        <v>6772.9161325095347</v>
      </c>
      <c r="W20" s="172"/>
      <c r="X20" s="172">
        <f t="shared" si="4"/>
        <v>-294.91613250953469</v>
      </c>
      <c r="Y20" s="41">
        <f>'Sep2025-COLLECTION'!K19</f>
        <v>6772.92</v>
      </c>
      <c r="Z20" s="174">
        <f>'Sep2025-EXPENSE'!R23</f>
        <v>5693.2330106116578</v>
      </c>
      <c r="AA20" s="174"/>
      <c r="AB20" s="174">
        <f t="shared" si="5"/>
        <v>1079.6869893883422</v>
      </c>
      <c r="AC20" s="41">
        <f>'Oct2025-COLLECTION'!K19</f>
        <v>7311.21</v>
      </c>
      <c r="AD20" s="174">
        <f>'Oct2025-EXPENSE'!R23</f>
        <v>7449.9706327430195</v>
      </c>
      <c r="AE20" s="174"/>
      <c r="AF20" s="174">
        <f t="shared" si="6"/>
        <v>-138.76063274301941</v>
      </c>
      <c r="AG20" s="41">
        <f>'Nov2025-COLLECTION'!K19</f>
        <v>6231.38</v>
      </c>
      <c r="AH20" s="174">
        <f>'Nov2025-EXPENSE'!R23</f>
        <v>8138.6858574600883</v>
      </c>
      <c r="AI20" s="174"/>
      <c r="AJ20" s="174">
        <f t="shared" si="7"/>
        <v>-1907.3058574600882</v>
      </c>
      <c r="AK20" s="41">
        <f>'Dec2025-COLLECTION'!K19</f>
        <v>8220</v>
      </c>
      <c r="AL20" s="174">
        <f>'Dec2025-EXPENSE'!R23</f>
        <v>5650.3504180789269</v>
      </c>
      <c r="AM20" s="174"/>
      <c r="AN20" s="174">
        <f t="shared" si="8"/>
        <v>2569.6495819210731</v>
      </c>
      <c r="AO20" s="7">
        <f>'Jan2026-COLLECTION'!K19</f>
        <v>5627.68</v>
      </c>
      <c r="AP20" s="10">
        <f>'Jan2026-EXPENSE'!R23</f>
        <v>5794.0889757713858</v>
      </c>
      <c r="AQ20" s="10"/>
      <c r="AR20" s="174">
        <f t="shared" si="9"/>
        <v>-166.40897577138549</v>
      </c>
      <c r="AS20" s="7">
        <f>'Feb2026-COLLECTION'!K19</f>
        <v>5817</v>
      </c>
      <c r="AT20" s="10">
        <f>'Feb2026-EXPENSE'!R23</f>
        <v>5984.5818562248569</v>
      </c>
      <c r="AU20" s="10"/>
      <c r="AV20" s="174">
        <f t="shared" si="10"/>
        <v>-167.58185622485689</v>
      </c>
      <c r="AW20" s="7">
        <f>'Mar2026-COLLECTION'!K19</f>
        <v>5984.58</v>
      </c>
      <c r="AX20" s="10">
        <f>'Mar2026-EXPENSE'!R23</f>
        <v>6120.5115529579434</v>
      </c>
      <c r="AY20" s="10"/>
      <c r="AZ20" s="174">
        <f t="shared" si="11"/>
        <v>-135.9315529579435</v>
      </c>
      <c r="BA20" s="172">
        <f t="shared" ref="BA20:BC20" si="31">SUM(E20,I20,M20,Q20,U20,Y20,AC20,AG20,AK20,AO20,AS20,AW20)</f>
        <v>76652.72</v>
      </c>
      <c r="BB20" s="172">
        <f t="shared" si="31"/>
        <v>76664.437401342017</v>
      </c>
      <c r="BC20" s="172">
        <f t="shared" si="31"/>
        <v>0</v>
      </c>
      <c r="BD20" s="233">
        <f t="shared" si="13"/>
        <v>-11.717401342015364</v>
      </c>
      <c r="BE20" s="236">
        <f t="shared" si="15"/>
        <v>-11.717401342015364</v>
      </c>
    </row>
    <row r="21" spans="1:57" ht="15.75" customHeight="1">
      <c r="A21" s="169" t="s">
        <v>71</v>
      </c>
      <c r="B21" s="13"/>
      <c r="C21" s="13" t="s">
        <v>72</v>
      </c>
      <c r="D21" s="230"/>
      <c r="E21" s="171">
        <f>'Apr2025-COLLECTION'!K20</f>
        <v>5364</v>
      </c>
      <c r="F21" s="172">
        <f>'Apr2025-EXPENSE'!R24</f>
        <v>6559.26621859022</v>
      </c>
      <c r="G21" s="172"/>
      <c r="H21" s="172">
        <f t="shared" si="0"/>
        <v>-1195.26621859022</v>
      </c>
      <c r="I21" s="173">
        <f>'May2025-COLLECTION'!K20</f>
        <v>6545</v>
      </c>
      <c r="J21" s="174">
        <f>'May2025-EXPENSE'!R24</f>
        <v>5171.8020678130106</v>
      </c>
      <c r="K21" s="174"/>
      <c r="L21" s="174">
        <f t="shared" si="1"/>
        <v>1373.1979321869894</v>
      </c>
      <c r="M21" s="172">
        <f>'June2025-COLLECTION'!K20</f>
        <v>5150</v>
      </c>
      <c r="N21" s="172">
        <f>'June2025-EXPENSE'!R24</f>
        <v>5119.190748807363</v>
      </c>
      <c r="O21" s="172"/>
      <c r="P21" s="172">
        <f t="shared" si="2"/>
        <v>30.809251192637021</v>
      </c>
      <c r="Q21" s="41">
        <f>'July2025-COLLECTION'!K20</f>
        <v>5120</v>
      </c>
      <c r="R21" s="174">
        <f>'July2025-EXPENSE'!R24</f>
        <v>6557.6904439611117</v>
      </c>
      <c r="S21" s="174"/>
      <c r="T21" s="174">
        <f t="shared" si="3"/>
        <v>-1437.6904439611117</v>
      </c>
      <c r="U21" s="167">
        <f>'Aug2025-COLLECTION'!K20</f>
        <v>6558</v>
      </c>
      <c r="V21" s="172">
        <f>'Aug2025-EXPENSE'!R24</f>
        <v>6768.8691969281717</v>
      </c>
      <c r="W21" s="172"/>
      <c r="X21" s="172">
        <f t="shared" si="4"/>
        <v>-210.86919692817173</v>
      </c>
      <c r="Y21" s="41">
        <f>'Sep2025-COLLECTION'!K20</f>
        <v>6558</v>
      </c>
      <c r="Z21" s="174">
        <f>'Sep2025-EXPENSE'!R24</f>
        <v>5741.0646394373416</v>
      </c>
      <c r="AA21" s="174"/>
      <c r="AB21" s="174">
        <f t="shared" si="5"/>
        <v>816.93536056265839</v>
      </c>
      <c r="AC21" s="41">
        <f>'Oct2025-COLLECTION'!K20</f>
        <v>5742</v>
      </c>
      <c r="AD21" s="174">
        <f>'Oct2025-EXPENSE'!R24</f>
        <v>7976.4291931423122</v>
      </c>
      <c r="AE21" s="174"/>
      <c r="AF21" s="174">
        <f t="shared" si="6"/>
        <v>-2234.4291931423122</v>
      </c>
      <c r="AG21" s="41">
        <f>'Nov2025-COLLECTION'!K20</f>
        <v>6731</v>
      </c>
      <c r="AH21" s="174">
        <f>'Nov2025-EXPENSE'!R24</f>
        <v>7286.5996220999896</v>
      </c>
      <c r="AI21" s="174"/>
      <c r="AJ21" s="174">
        <f t="shared" si="7"/>
        <v>-555.59962209998957</v>
      </c>
      <c r="AK21" s="41">
        <f>'Dec2025-COLLECTION'!K20</f>
        <v>7369</v>
      </c>
      <c r="AL21" s="174">
        <f>'Dec2025-EXPENSE'!R24</f>
        <v>5820.7432410698129</v>
      </c>
      <c r="AM21" s="174"/>
      <c r="AN21" s="174">
        <f t="shared" si="8"/>
        <v>1548.2567589301871</v>
      </c>
      <c r="AO21" s="7">
        <f>'Jan2026-COLLECTION'!K20</f>
        <v>5799</v>
      </c>
      <c r="AP21" s="10">
        <f>'Jan2026-EXPENSE'!R24</f>
        <v>5764.3224854779482</v>
      </c>
      <c r="AQ21" s="10"/>
      <c r="AR21" s="174">
        <f t="shared" si="9"/>
        <v>34.677514522051752</v>
      </c>
      <c r="AS21" s="7">
        <f>'Feb2026-COLLECTION'!K20</f>
        <v>5787</v>
      </c>
      <c r="AT21" s="10">
        <f>'Feb2026-EXPENSE'!R24</f>
        <v>5355.0232683551931</v>
      </c>
      <c r="AU21" s="10"/>
      <c r="AV21" s="174">
        <f t="shared" si="10"/>
        <v>431.97673164480693</v>
      </c>
      <c r="AW21" s="7">
        <f>'Mar2026-COLLECTION'!K20</f>
        <v>5355</v>
      </c>
      <c r="AX21" s="10">
        <f>'Mar2026-EXPENSE'!R24</f>
        <v>5796.4409513887131</v>
      </c>
      <c r="AY21" s="10"/>
      <c r="AZ21" s="174">
        <f t="shared" si="11"/>
        <v>-441.44095138871307</v>
      </c>
      <c r="BA21" s="172">
        <f t="shared" ref="BA21:BC21" si="32">SUM(E21,I21,M21,Q21,U21,Y21,AC21,AG21,AK21,AO21,AS21,AW21)</f>
        <v>72078</v>
      </c>
      <c r="BB21" s="172">
        <f t="shared" si="32"/>
        <v>73917.442077071188</v>
      </c>
      <c r="BC21" s="172">
        <f t="shared" si="32"/>
        <v>0</v>
      </c>
      <c r="BD21" s="233">
        <f t="shared" si="13"/>
        <v>-1839.4420770711877</v>
      </c>
      <c r="BE21" s="236">
        <f t="shared" si="15"/>
        <v>-1839.4420770711877</v>
      </c>
    </row>
    <row r="22" spans="1:57" ht="15.75" customHeight="1">
      <c r="A22" s="169" t="s">
        <v>73</v>
      </c>
      <c r="B22" s="13"/>
      <c r="C22" s="13" t="s">
        <v>74</v>
      </c>
      <c r="D22" s="230"/>
      <c r="E22" s="171">
        <f>'Apr2025-COLLECTION'!K21</f>
        <v>5441</v>
      </c>
      <c r="F22" s="172">
        <f>'Apr2025-EXPENSE'!R25</f>
        <v>6911.9379249849189</v>
      </c>
      <c r="G22" s="172"/>
      <c r="H22" s="172">
        <f t="shared" si="0"/>
        <v>-1470.9379249849189</v>
      </c>
      <c r="I22" s="173">
        <f>'May2025-COLLECTION'!K21</f>
        <v>6908</v>
      </c>
      <c r="J22" s="174">
        <f>'May2025-EXPENSE'!R25</f>
        <v>5128.9863474209451</v>
      </c>
      <c r="K22" s="174"/>
      <c r="L22" s="174">
        <f t="shared" si="1"/>
        <v>1779.0136525790549</v>
      </c>
      <c r="M22" s="172">
        <f>'June2025-COLLECTION'!K21</f>
        <v>5107</v>
      </c>
      <c r="N22" s="172">
        <f>'June2025-EXPENSE'!R25</f>
        <v>5139.9254512163097</v>
      </c>
      <c r="O22" s="172"/>
      <c r="P22" s="172">
        <f t="shared" si="2"/>
        <v>-32.925451216309739</v>
      </c>
      <c r="Q22" s="41">
        <f>'July2025-COLLECTION'!K21</f>
        <v>5140</v>
      </c>
      <c r="R22" s="174">
        <f>'July2025-EXPENSE'!R25</f>
        <v>7081.1693825884686</v>
      </c>
      <c r="S22" s="174"/>
      <c r="T22" s="174">
        <f t="shared" si="3"/>
        <v>-1941.1693825884686</v>
      </c>
      <c r="U22" s="167">
        <f>'Aug2025-COLLECTION'!K21</f>
        <v>7082</v>
      </c>
      <c r="V22" s="172">
        <f>'Aug2025-EXPENSE'!R25</f>
        <v>7397.3894229875086</v>
      </c>
      <c r="W22" s="172"/>
      <c r="X22" s="172">
        <f t="shared" si="4"/>
        <v>-315.38942298750862</v>
      </c>
      <c r="Y22" s="41">
        <f>'Sep2025-COLLECTION'!K21</f>
        <v>0</v>
      </c>
      <c r="Z22" s="174">
        <f>'Sep2025-EXPENSE'!R25</f>
        <v>6286.8337683445652</v>
      </c>
      <c r="AA22" s="174"/>
      <c r="AB22" s="174">
        <f t="shared" si="5"/>
        <v>-6286.8337683445652</v>
      </c>
      <c r="AC22" s="41">
        <f>'Oct2025-COLLECTION'!K21</f>
        <v>6287</v>
      </c>
      <c r="AD22" s="174">
        <f>'Oct2025-EXPENSE'!R25</f>
        <v>8237.0331101629235</v>
      </c>
      <c r="AE22" s="174"/>
      <c r="AF22" s="174">
        <f t="shared" si="6"/>
        <v>-1950.0331101629235</v>
      </c>
      <c r="AG22" s="41">
        <f>'Nov2025-COLLECTION'!K21</f>
        <v>0</v>
      </c>
      <c r="AH22" s="174">
        <f>'Nov2025-EXPENSE'!R25</f>
        <v>7944.0879156535066</v>
      </c>
      <c r="AI22" s="174"/>
      <c r="AJ22" s="174">
        <f t="shared" si="7"/>
        <v>-7944.0879156535066</v>
      </c>
      <c r="AK22" s="41">
        <f>'Dec2025-COLLECTION'!K21</f>
        <v>14257</v>
      </c>
      <c r="AL22" s="174">
        <f>'Dec2025-EXPENSE'!R25</f>
        <v>6521.7920408925447</v>
      </c>
      <c r="AM22" s="174"/>
      <c r="AN22" s="174">
        <f t="shared" si="8"/>
        <v>7735.2079591074553</v>
      </c>
      <c r="AO22" s="7">
        <f>'Jan2026-COLLECTION'!K21</f>
        <v>6500</v>
      </c>
      <c r="AP22" s="10">
        <f>'Jan2026-EXPENSE'!R25</f>
        <v>6265.3422516514038</v>
      </c>
      <c r="AQ22" s="10"/>
      <c r="AR22" s="174">
        <f t="shared" si="9"/>
        <v>234.65774834859621</v>
      </c>
      <c r="AS22" s="7">
        <f>'Feb2026-COLLECTION'!K21</f>
        <v>6288</v>
      </c>
      <c r="AT22" s="10">
        <f>'Feb2026-EXPENSE'!R25</f>
        <v>5479.0062518421728</v>
      </c>
      <c r="AU22" s="10"/>
      <c r="AV22" s="174">
        <f t="shared" si="10"/>
        <v>808.99374815782721</v>
      </c>
      <c r="AW22" s="7">
        <f>'Mar2026-COLLECTION'!K21</f>
        <v>5479</v>
      </c>
      <c r="AX22" s="10">
        <f>'Mar2026-EXPENSE'!R25</f>
        <v>5603.6881628478768</v>
      </c>
      <c r="AY22" s="10"/>
      <c r="AZ22" s="174">
        <f t="shared" si="11"/>
        <v>-124.68816284787681</v>
      </c>
      <c r="BA22" s="172">
        <f t="shared" ref="BA22:BC22" si="33">SUM(E22,I22,M22,Q22,U22,Y22,AC22,AG22,AK22,AO22,AS22,AW22)</f>
        <v>68489</v>
      </c>
      <c r="BB22" s="172">
        <f t="shared" si="33"/>
        <v>77997.192030593142</v>
      </c>
      <c r="BC22" s="172">
        <f t="shared" si="33"/>
        <v>0</v>
      </c>
      <c r="BD22" s="233">
        <f t="shared" si="13"/>
        <v>-9508.1920305931417</v>
      </c>
      <c r="BE22" s="236">
        <f t="shared" si="15"/>
        <v>-9508.1920305931417</v>
      </c>
    </row>
    <row r="23" spans="1:57" ht="15.75" customHeight="1">
      <c r="A23" s="169" t="s">
        <v>75</v>
      </c>
      <c r="B23" s="13"/>
      <c r="C23" s="13" t="s">
        <v>76</v>
      </c>
      <c r="D23" s="230"/>
      <c r="E23" s="171">
        <f>'Apr2025-COLLECTION'!K22</f>
        <v>0</v>
      </c>
      <c r="F23" s="172">
        <f>'Apr2025-EXPENSE'!R26</f>
        <v>5526.7456148697474</v>
      </c>
      <c r="G23" s="172"/>
      <c r="H23" s="172">
        <f t="shared" si="0"/>
        <v>-5526.7456148697474</v>
      </c>
      <c r="I23" s="173">
        <f>'May2025-COLLECTION'!K22</f>
        <v>6000</v>
      </c>
      <c r="J23" s="174">
        <f>'May2025-EXPENSE'!R26</f>
        <v>4343.0356146977701</v>
      </c>
      <c r="K23" s="174"/>
      <c r="L23" s="174">
        <f t="shared" si="1"/>
        <v>1656.9643853022299</v>
      </c>
      <c r="M23" s="172">
        <f>'June2025-COLLECTION'!K22</f>
        <v>0</v>
      </c>
      <c r="N23" s="172">
        <f>'June2025-EXPENSE'!R26</f>
        <v>4523.9374845400798</v>
      </c>
      <c r="O23" s="172"/>
      <c r="P23" s="172">
        <f t="shared" si="2"/>
        <v>-4523.9374845400798</v>
      </c>
      <c r="Q23" s="41">
        <f>'July2025-COLLECTION'!K22</f>
        <v>0</v>
      </c>
      <c r="R23" s="174">
        <f>'July2025-EXPENSE'!R26</f>
        <v>5495.9484162992921</v>
      </c>
      <c r="S23" s="174"/>
      <c r="T23" s="174">
        <f t="shared" si="3"/>
        <v>-5495.9484162992921</v>
      </c>
      <c r="U23" s="167">
        <f>'Aug2025-COLLECTION'!K22</f>
        <v>0</v>
      </c>
      <c r="V23" s="172">
        <f>'Aug2025-EXPENSE'!R26</f>
        <v>5873.4233008324691</v>
      </c>
      <c r="W23" s="172"/>
      <c r="X23" s="172">
        <f t="shared" si="4"/>
        <v>-5873.4233008324691</v>
      </c>
      <c r="Y23" s="41">
        <f>'Sep2025-COLLECTION'!K22</f>
        <v>11102.41</v>
      </c>
      <c r="Z23" s="174">
        <f>'Sep2025-EXPENSE'!R26</f>
        <v>5078.5476521712171</v>
      </c>
      <c r="AA23" s="174"/>
      <c r="AB23" s="174">
        <f t="shared" si="5"/>
        <v>6023.8623478287827</v>
      </c>
      <c r="AC23" s="41">
        <f>'Oct2025-COLLECTION'!K22</f>
        <v>6000</v>
      </c>
      <c r="AD23" s="174">
        <f>'Oct2025-EXPENSE'!R26</f>
        <v>6417.4259729506293</v>
      </c>
      <c r="AE23" s="174"/>
      <c r="AF23" s="174">
        <f t="shared" si="6"/>
        <v>-417.42597295062933</v>
      </c>
      <c r="AG23" s="41">
        <f>'Nov2025-COLLECTION'!K22</f>
        <v>6114</v>
      </c>
      <c r="AH23" s="174">
        <f>'Nov2025-EXPENSE'!R26</f>
        <v>6927.3199522043869</v>
      </c>
      <c r="AI23" s="174"/>
      <c r="AJ23" s="174">
        <f t="shared" si="7"/>
        <v>-813.31995220438694</v>
      </c>
      <c r="AK23" s="41">
        <f>'Dec2025-COLLECTION'!K22</f>
        <v>0</v>
      </c>
      <c r="AL23" s="174">
        <f>'Dec2025-EXPENSE'!R26</f>
        <v>6053.6682066430831</v>
      </c>
      <c r="AM23" s="174"/>
      <c r="AN23" s="174">
        <f t="shared" si="8"/>
        <v>-6053.6682066430831</v>
      </c>
      <c r="AO23" s="7">
        <f>'Jan2026-COLLECTION'!K22</f>
        <v>0</v>
      </c>
      <c r="AP23" s="10">
        <f>'Jan2026-EXPENSE'!R26</f>
        <v>5518.240264814458</v>
      </c>
      <c r="AQ23" s="10"/>
      <c r="AR23" s="174">
        <f t="shared" si="9"/>
        <v>-5518.240264814458</v>
      </c>
      <c r="AS23" s="7">
        <f>'Feb2026-COLLECTION'!K22</f>
        <v>27000</v>
      </c>
      <c r="AT23" s="10">
        <f>'Feb2026-EXPENSE'!R26</f>
        <v>5353.9264079759632</v>
      </c>
      <c r="AU23" s="10"/>
      <c r="AV23" s="174">
        <f t="shared" si="10"/>
        <v>21646.073592024037</v>
      </c>
      <c r="AW23" s="7">
        <f>'Mar2026-COLLECTION'!K22</f>
        <v>0</v>
      </c>
      <c r="AX23" s="10">
        <f>'Mar2026-EXPENSE'!R26</f>
        <v>5740.0659269011549</v>
      </c>
      <c r="AY23" s="10"/>
      <c r="AZ23" s="174">
        <f t="shared" si="11"/>
        <v>-5740.0659269011549</v>
      </c>
      <c r="BA23" s="172">
        <f t="shared" ref="BA23:BC23" si="34">SUM(E23,I23,M23,Q23,U23,Y23,AC23,AG23,AK23,AO23,AS23,AW23)</f>
        <v>56216.41</v>
      </c>
      <c r="BB23" s="172">
        <f t="shared" si="34"/>
        <v>66852.284814900238</v>
      </c>
      <c r="BC23" s="172">
        <f t="shared" si="34"/>
        <v>0</v>
      </c>
      <c r="BD23" s="233">
        <f t="shared" si="13"/>
        <v>-10635.874814900235</v>
      </c>
      <c r="BE23" s="236">
        <f t="shared" si="15"/>
        <v>-10635.874814900235</v>
      </c>
    </row>
    <row r="24" spans="1:57" ht="15.75" customHeight="1">
      <c r="A24" s="169" t="s">
        <v>77</v>
      </c>
      <c r="B24" s="13"/>
      <c r="C24" s="13" t="s">
        <v>339</v>
      </c>
      <c r="D24" s="230">
        <v>-81707.03</v>
      </c>
      <c r="E24" s="171">
        <f>'Apr2025-COLLECTION'!K23</f>
        <v>0</v>
      </c>
      <c r="F24" s="172">
        <f>'Apr2025-EXPENSE'!R27</f>
        <v>6489.0825873364956</v>
      </c>
      <c r="G24" s="172"/>
      <c r="H24" s="172">
        <f t="shared" si="0"/>
        <v>-6489.0825873364956</v>
      </c>
      <c r="I24" s="173">
        <f>'May2025-COLLECTION'!K23</f>
        <v>0</v>
      </c>
      <c r="J24" s="174">
        <f>'May2025-EXPENSE'!R27</f>
        <v>4470.4135978392051</v>
      </c>
      <c r="K24" s="174">
        <v>500</v>
      </c>
      <c r="L24" s="174">
        <f t="shared" si="1"/>
        <v>-4970.4135978392051</v>
      </c>
      <c r="M24" s="172">
        <f>'June2025-COLLECTION'!K23</f>
        <v>85000</v>
      </c>
      <c r="N24" s="172">
        <f>'June2025-EXPENSE'!R27</f>
        <v>5155.6352428094015</v>
      </c>
      <c r="O24" s="172"/>
      <c r="P24" s="172">
        <f t="shared" si="2"/>
        <v>79844.364757190604</v>
      </c>
      <c r="Q24" s="41">
        <f>'July2025-COLLECTION'!K23</f>
        <v>20000</v>
      </c>
      <c r="R24" s="174">
        <f>'July2025-EXPENSE'!R27</f>
        <v>5781.8103000975225</v>
      </c>
      <c r="S24" s="174"/>
      <c r="T24" s="174">
        <f t="shared" si="3"/>
        <v>14218.189699902478</v>
      </c>
      <c r="U24" s="167">
        <f>'Aug2025-COLLECTION'!K23</f>
        <v>0</v>
      </c>
      <c r="V24" s="172">
        <f>'Aug2025-EXPENSE'!R27</f>
        <v>6108.7236982059885</v>
      </c>
      <c r="W24" s="172"/>
      <c r="X24" s="172">
        <f t="shared" si="4"/>
        <v>-6108.7236982059885</v>
      </c>
      <c r="Y24" s="41">
        <f>'Sep2025-COLLECTION'!K23</f>
        <v>5212</v>
      </c>
      <c r="Z24" s="174">
        <f>'Sep2025-EXPENSE'!R27</f>
        <v>5213.2563333532698</v>
      </c>
      <c r="AA24" s="174"/>
      <c r="AB24" s="174">
        <f t="shared" si="5"/>
        <v>-1.256333353269838</v>
      </c>
      <c r="AC24" s="41">
        <f>'Oct2025-COLLECTION'!K23</f>
        <v>0</v>
      </c>
      <c r="AD24" s="174">
        <f>'Oct2025-EXPENSE'!R27</f>
        <v>6615.1213609943352</v>
      </c>
      <c r="AE24" s="174"/>
      <c r="AF24" s="174">
        <f t="shared" si="6"/>
        <v>-6615.1213609943352</v>
      </c>
      <c r="AG24" s="41">
        <f>'Nov2025-COLLECTION'!K23</f>
        <v>0</v>
      </c>
      <c r="AH24" s="174">
        <f>'Nov2025-EXPENSE'!R27</f>
        <v>6806.6101565030167</v>
      </c>
      <c r="AI24" s="174"/>
      <c r="AJ24" s="174">
        <f t="shared" si="7"/>
        <v>-6806.6101565030167</v>
      </c>
      <c r="AK24" s="41">
        <f>'Dec2025-COLLECTION'!K23</f>
        <v>18215</v>
      </c>
      <c r="AL24" s="174">
        <f>'Dec2025-EXPENSE'!R27</f>
        <v>5801.733952445099</v>
      </c>
      <c r="AM24" s="174"/>
      <c r="AN24" s="174">
        <f t="shared" si="8"/>
        <v>12413.266047554902</v>
      </c>
      <c r="AO24" s="7">
        <f>'Jan2026-COLLECTION'!K23</f>
        <v>5785</v>
      </c>
      <c r="AP24" s="10">
        <f>'Jan2026-EXPENSE'!R27</f>
        <v>5377.053570205685</v>
      </c>
      <c r="AQ24" s="10"/>
      <c r="AR24" s="174">
        <f t="shared" si="9"/>
        <v>407.94642979431501</v>
      </c>
      <c r="AS24" s="7">
        <f>'Feb2026-COLLECTION'!K23</f>
        <v>0</v>
      </c>
      <c r="AT24" s="10">
        <f>'Feb2026-EXPENSE'!R27</f>
        <v>5260.061349077564</v>
      </c>
      <c r="AU24" s="10"/>
      <c r="AV24" s="174">
        <f t="shared" si="10"/>
        <v>-5260.061349077564</v>
      </c>
      <c r="AW24" s="7">
        <f>'Mar2026-COLLECTION'!K23</f>
        <v>5394</v>
      </c>
      <c r="AX24" s="10">
        <f>'Mar2026-EXPENSE'!R27</f>
        <v>5487.4262003877866</v>
      </c>
      <c r="AY24" s="10"/>
      <c r="AZ24" s="174">
        <f t="shared" si="11"/>
        <v>-93.426200387786594</v>
      </c>
      <c r="BA24" s="172">
        <f t="shared" ref="BA24:BC24" si="35">SUM(E24,I24,M24,Q24,U24,Y24,AC24,AG24,AK24,AO24,AS24,AW24)</f>
        <v>139606</v>
      </c>
      <c r="BB24" s="172">
        <f t="shared" si="35"/>
        <v>68566.92834925538</v>
      </c>
      <c r="BC24" s="172">
        <f t="shared" si="35"/>
        <v>500</v>
      </c>
      <c r="BD24" s="233">
        <f t="shared" si="13"/>
        <v>70539.07165074462</v>
      </c>
      <c r="BE24" s="236">
        <f t="shared" si="15"/>
        <v>-11167.958349255379</v>
      </c>
    </row>
    <row r="25" spans="1:57" ht="15.75" customHeight="1">
      <c r="A25" s="169" t="s">
        <v>79</v>
      </c>
      <c r="B25" s="13"/>
      <c r="C25" s="13" t="s">
        <v>80</v>
      </c>
      <c r="D25" s="230"/>
      <c r="E25" s="171">
        <f>'Apr2025-COLLECTION'!K24</f>
        <v>9614</v>
      </c>
      <c r="F25" s="172">
        <f>'Apr2025-EXPENSE'!R28</f>
        <v>5787.4428447426089</v>
      </c>
      <c r="G25" s="172"/>
      <c r="H25" s="172">
        <f t="shared" si="0"/>
        <v>3826.5571552573911</v>
      </c>
      <c r="I25" s="173">
        <f>'May2025-COLLECTION'!K24</f>
        <v>5752</v>
      </c>
      <c r="J25" s="174">
        <f>'May2025-EXPENSE'!R28</f>
        <v>4099.8462107909645</v>
      </c>
      <c r="K25" s="174"/>
      <c r="L25" s="174">
        <f t="shared" si="1"/>
        <v>1652.1537892090355</v>
      </c>
      <c r="M25" s="172">
        <f>'June2025-COLLECTION'!K24</f>
        <v>0</v>
      </c>
      <c r="N25" s="172">
        <f>'June2025-EXPENSE'!R28</f>
        <v>4603.8246141842246</v>
      </c>
      <c r="O25" s="172"/>
      <c r="P25" s="172">
        <f t="shared" si="2"/>
        <v>-4603.8246141842246</v>
      </c>
      <c r="Q25" s="41">
        <f>'July2025-COLLECTION'!K24</f>
        <v>4083</v>
      </c>
      <c r="R25" s="174">
        <f>'July2025-EXPENSE'!R28</f>
        <v>5634.7762933047734</v>
      </c>
      <c r="S25" s="174"/>
      <c r="T25" s="174">
        <f t="shared" si="3"/>
        <v>-1551.7762933047734</v>
      </c>
      <c r="U25" s="167">
        <f>'Aug2025-COLLECTION'!K24</f>
        <v>0</v>
      </c>
      <c r="V25" s="172">
        <f>'Aug2025-EXPENSE'!R28</f>
        <v>6103.3426080373629</v>
      </c>
      <c r="W25" s="172"/>
      <c r="X25" s="172">
        <f t="shared" si="4"/>
        <v>-6103.3426080373629</v>
      </c>
      <c r="Y25" s="41">
        <f>'Sep2025-COLLECTION'!K24</f>
        <v>5635</v>
      </c>
      <c r="Z25" s="174">
        <f>'Sep2025-EXPENSE'!R28</f>
        <v>5263.8065638173157</v>
      </c>
      <c r="AA25" s="174"/>
      <c r="AB25" s="174">
        <f t="shared" si="5"/>
        <v>371.19343618268431</v>
      </c>
      <c r="AC25" s="41">
        <f>'Oct2025-COLLECTION'!K24</f>
        <v>5264</v>
      </c>
      <c r="AD25" s="174">
        <f>'Oct2025-EXPENSE'!R28</f>
        <v>6635.0449757528386</v>
      </c>
      <c r="AE25" s="174"/>
      <c r="AF25" s="174">
        <f t="shared" si="6"/>
        <v>-1371.0449757528386</v>
      </c>
      <c r="AG25" s="41">
        <f>'Nov2025-COLLECTION'!K24</f>
        <v>6114</v>
      </c>
      <c r="AH25" s="174">
        <f>'Nov2025-EXPENSE'!R28</f>
        <v>6756.0602059565936</v>
      </c>
      <c r="AI25" s="174"/>
      <c r="AJ25" s="174">
        <f t="shared" si="7"/>
        <v>-642.06020595659356</v>
      </c>
      <c r="AK25" s="41">
        <f>'Dec2025-COLLECTION'!K24</f>
        <v>0</v>
      </c>
      <c r="AL25" s="174">
        <f>'Dec2025-EXPENSE'!R28</f>
        <v>5367.9467435134147</v>
      </c>
      <c r="AM25" s="174"/>
      <c r="AN25" s="174">
        <f t="shared" si="8"/>
        <v>-5367.9467435134147</v>
      </c>
      <c r="AO25" s="7">
        <f>'Jan2026-COLLECTION'!K24</f>
        <v>6888</v>
      </c>
      <c r="AP25" s="10">
        <f>'Jan2026-EXPENSE'!R28</f>
        <v>5046.98698893444</v>
      </c>
      <c r="AQ25" s="10"/>
      <c r="AR25" s="174">
        <f t="shared" si="9"/>
        <v>1841.01301106556</v>
      </c>
      <c r="AS25" s="7">
        <f>'Feb2026-COLLECTION'!K24</f>
        <v>5350</v>
      </c>
      <c r="AT25" s="10">
        <f>'Feb2026-EXPENSE'!R28</f>
        <v>4840.6358672454644</v>
      </c>
      <c r="AU25" s="10"/>
      <c r="AV25" s="174">
        <f t="shared" si="10"/>
        <v>509.3641327545356</v>
      </c>
      <c r="AW25" s="7">
        <f>'Mar2026-COLLECTION'!K24</f>
        <v>0</v>
      </c>
      <c r="AX25" s="10">
        <f>'Mar2026-EXPENSE'!R28</f>
        <v>4816.9932566746156</v>
      </c>
      <c r="AY25" s="10"/>
      <c r="AZ25" s="174">
        <f t="shared" si="11"/>
        <v>-4816.9932566746156</v>
      </c>
      <c r="BA25" s="172">
        <f t="shared" ref="BA25:BC25" si="36">SUM(E25,I25,M25,Q25,U25,Y25,AC25,AG25,AK25,AO25,AS25,AW25)</f>
        <v>48700</v>
      </c>
      <c r="BB25" s="172">
        <f t="shared" si="36"/>
        <v>64956.707172954615</v>
      </c>
      <c r="BC25" s="172">
        <f t="shared" si="36"/>
        <v>0</v>
      </c>
      <c r="BD25" s="233">
        <f t="shared" si="13"/>
        <v>-16256.707172954615</v>
      </c>
      <c r="BE25" s="236">
        <f t="shared" si="15"/>
        <v>-16256.707172954615</v>
      </c>
    </row>
    <row r="26" spans="1:57" ht="15.75" customHeight="1">
      <c r="A26" s="169" t="s">
        <v>81</v>
      </c>
      <c r="B26" s="13"/>
      <c r="C26" s="13" t="s">
        <v>82</v>
      </c>
      <c r="D26" s="230"/>
      <c r="E26" s="171">
        <f>'Apr2025-COLLECTION'!K25</f>
        <v>15000</v>
      </c>
      <c r="F26" s="172">
        <f>'Apr2025-EXPENSE'!R29</f>
        <v>6345.8225665796062</v>
      </c>
      <c r="G26" s="172"/>
      <c r="H26" s="172">
        <f t="shared" si="0"/>
        <v>8654.1774334203947</v>
      </c>
      <c r="I26" s="173">
        <f>'May2025-COLLECTION'!K25</f>
        <v>6328</v>
      </c>
      <c r="J26" s="174">
        <f>'May2025-EXPENSE'!R29</f>
        <v>4789.4174442109615</v>
      </c>
      <c r="K26" s="174"/>
      <c r="L26" s="174">
        <f t="shared" si="1"/>
        <v>1538.5825557890385</v>
      </c>
      <c r="M26" s="172">
        <f>'June2025-COLLECTION'!K25</f>
        <v>4772</v>
      </c>
      <c r="N26" s="172">
        <f>'June2025-EXPENSE'!R29</f>
        <v>4713.9359168962492</v>
      </c>
      <c r="O26" s="172"/>
      <c r="P26" s="172">
        <f t="shared" si="2"/>
        <v>58.064083103750818</v>
      </c>
      <c r="Q26" s="41">
        <f>'July2025-COLLECTION'!K25</f>
        <v>0</v>
      </c>
      <c r="R26" s="174">
        <f>'July2025-EXPENSE'!R29</f>
        <v>5956.9345203928406</v>
      </c>
      <c r="S26" s="174"/>
      <c r="T26" s="174">
        <f t="shared" si="3"/>
        <v>-5956.9345203928406</v>
      </c>
      <c r="U26" s="167">
        <f>'Aug2025-COLLECTION'!K25</f>
        <v>0</v>
      </c>
      <c r="V26" s="172">
        <f>'Aug2025-EXPENSE'!R29</f>
        <v>6522.133732979044</v>
      </c>
      <c r="W26" s="172"/>
      <c r="X26" s="172">
        <f t="shared" si="4"/>
        <v>-6522.133732979044</v>
      </c>
      <c r="Y26" s="41">
        <f>'Sep2025-COLLECTION'!K25</f>
        <v>6108</v>
      </c>
      <c r="Z26" s="174">
        <f>'Sep2025-EXPENSE'!R29</f>
        <v>5666.6718066036537</v>
      </c>
      <c r="AA26" s="174"/>
      <c r="AB26" s="174">
        <f t="shared" si="5"/>
        <v>441.32819339634625</v>
      </c>
      <c r="AC26" s="41">
        <f>'Oct2025-COLLECTION'!K25</f>
        <v>0</v>
      </c>
      <c r="AD26" s="174">
        <f>'Oct2025-EXPENSE'!R29</f>
        <v>7022.8382134123412</v>
      </c>
      <c r="AE26" s="174"/>
      <c r="AF26" s="174">
        <f t="shared" si="6"/>
        <v>-7022.8382134123412</v>
      </c>
      <c r="AG26" s="41">
        <f>'Nov2025-COLLECTION'!K25</f>
        <v>0</v>
      </c>
      <c r="AH26" s="174">
        <f>'Nov2025-EXPENSE'!R29</f>
        <v>7338.4014465905238</v>
      </c>
      <c r="AI26" s="174"/>
      <c r="AJ26" s="174">
        <f t="shared" si="7"/>
        <v>-7338.4014465905238</v>
      </c>
      <c r="AK26" s="41">
        <f>'Dec2025-COLLECTION'!K25</f>
        <v>6114</v>
      </c>
      <c r="AL26" s="174">
        <f>'Dec2025-EXPENSE'!R29</f>
        <v>5251.8362729339624</v>
      </c>
      <c r="AM26" s="174"/>
      <c r="AN26" s="174">
        <f t="shared" si="8"/>
        <v>862.16372706603761</v>
      </c>
      <c r="AO26" s="7">
        <f>'Jan2026-COLLECTION'!K25</f>
        <v>20517</v>
      </c>
      <c r="AP26" s="10">
        <f>'Jan2026-EXPENSE'!R29</f>
        <v>5180.8248492812418</v>
      </c>
      <c r="AQ26" s="10"/>
      <c r="AR26" s="174">
        <f t="shared" si="9"/>
        <v>15336.175150718758</v>
      </c>
      <c r="AS26" s="7">
        <f>'Feb2026-COLLECTION'!K25</f>
        <v>5198</v>
      </c>
      <c r="AT26" s="10">
        <f>'Feb2026-EXPENSE'!R29</f>
        <v>5744.1241501826917</v>
      </c>
      <c r="AU26" s="10"/>
      <c r="AV26" s="174">
        <f t="shared" si="10"/>
        <v>-546.12415018269166</v>
      </c>
      <c r="AW26" s="7">
        <f>'Mar2026-COLLECTION'!K25</f>
        <v>5744</v>
      </c>
      <c r="AX26" s="10">
        <f>'Mar2026-EXPENSE'!R29</f>
        <v>5066.8907452601434</v>
      </c>
      <c r="AY26" s="10"/>
      <c r="AZ26" s="174">
        <f t="shared" si="11"/>
        <v>677.10925473985662</v>
      </c>
      <c r="BA26" s="172">
        <f t="shared" ref="BA26:BC26" si="37">SUM(E26,I26,M26,Q26,U26,Y26,AC26,AG26,AK26,AO26,AS26,AW26)</f>
        <v>69781</v>
      </c>
      <c r="BB26" s="172">
        <f t="shared" si="37"/>
        <v>69599.831665323261</v>
      </c>
      <c r="BC26" s="172">
        <f t="shared" si="37"/>
        <v>0</v>
      </c>
      <c r="BD26" s="233">
        <f t="shared" si="13"/>
        <v>181.1683346767386</v>
      </c>
      <c r="BE26" s="236">
        <f t="shared" si="15"/>
        <v>181.1683346767386</v>
      </c>
    </row>
    <row r="27" spans="1:57" ht="15.75" customHeight="1">
      <c r="A27" s="169" t="s">
        <v>83</v>
      </c>
      <c r="B27" s="13"/>
      <c r="C27" s="13" t="s">
        <v>84</v>
      </c>
      <c r="D27" s="230"/>
      <c r="E27" s="171">
        <f>'Apr2025-COLLECTION'!K26</f>
        <v>0</v>
      </c>
      <c r="F27" s="172">
        <f>'Apr2025-EXPENSE'!R30</f>
        <v>6245.5027062427134</v>
      </c>
      <c r="G27" s="172"/>
      <c r="H27" s="172">
        <f t="shared" si="0"/>
        <v>-6245.5027062427134</v>
      </c>
      <c r="I27" s="173">
        <f>'May2025-COLLECTION'!K26</f>
        <v>5203</v>
      </c>
      <c r="J27" s="174">
        <f>'May2025-EXPENSE'!R30</f>
        <v>4729.6074316055519</v>
      </c>
      <c r="K27" s="174"/>
      <c r="L27" s="174">
        <f t="shared" si="1"/>
        <v>473.39256839444806</v>
      </c>
      <c r="M27" s="172">
        <f>'June2025-COLLECTION'!K26</f>
        <v>10919</v>
      </c>
      <c r="N27" s="172">
        <f>'June2025-EXPENSE'!R30</f>
        <v>5202.5978511892936</v>
      </c>
      <c r="O27" s="172"/>
      <c r="P27" s="172">
        <f t="shared" si="2"/>
        <v>5716.4021488107064</v>
      </c>
      <c r="Q27" s="41">
        <f>'July2025-COLLECTION'!K26</f>
        <v>5203</v>
      </c>
      <c r="R27" s="174">
        <f>'July2025-EXPENSE'!R30</f>
        <v>5869.0920411738352</v>
      </c>
      <c r="S27" s="174"/>
      <c r="T27" s="174">
        <f t="shared" si="3"/>
        <v>-666.09204117383524</v>
      </c>
      <c r="U27" s="167">
        <f>'Aug2025-COLLECTION'!K26</f>
        <v>5869</v>
      </c>
      <c r="V27" s="172">
        <f>'Aug2025-EXPENSE'!R30</f>
        <v>6284.6658343357822</v>
      </c>
      <c r="W27" s="172"/>
      <c r="X27" s="172">
        <f t="shared" si="4"/>
        <v>-415.66583433578216</v>
      </c>
      <c r="Y27" s="41">
        <f>'Sep2025-COLLECTION'!K26</f>
        <v>5869</v>
      </c>
      <c r="Z27" s="174">
        <f>'Sep2025-EXPENSE'!R30</f>
        <v>5381.7814109165811</v>
      </c>
      <c r="AA27" s="174"/>
      <c r="AB27" s="174">
        <f t="shared" si="5"/>
        <v>487.21858908341892</v>
      </c>
      <c r="AC27" s="41">
        <f>'Oct2025-COLLECTION'!K26</f>
        <v>5500</v>
      </c>
      <c r="AD27" s="174">
        <f>'Oct2025-EXPENSE'!R30</f>
        <v>6907.6996523839753</v>
      </c>
      <c r="AE27" s="174"/>
      <c r="AF27" s="174">
        <f t="shared" si="6"/>
        <v>-1407.6996523839753</v>
      </c>
      <c r="AG27" s="41">
        <f>'Nov2025-COLLECTION'!K26</f>
        <v>6354</v>
      </c>
      <c r="AH27" s="174">
        <f>'Nov2025-EXPENSE'!R30</f>
        <v>7029.2570504163868</v>
      </c>
      <c r="AI27" s="174"/>
      <c r="AJ27" s="174">
        <f t="shared" si="7"/>
        <v>-675.25705041638685</v>
      </c>
      <c r="AK27" s="41">
        <f>'Dec2025-COLLECTION'!K26</f>
        <v>0</v>
      </c>
      <c r="AL27" s="174">
        <f>'Dec2025-EXPENSE'!R30</f>
        <v>5714.5399791711943</v>
      </c>
      <c r="AM27" s="174"/>
      <c r="AN27" s="174">
        <f t="shared" si="8"/>
        <v>-5714.5399791711943</v>
      </c>
      <c r="AO27" s="7">
        <f>'Jan2026-COLLECTION'!K26</f>
        <v>7111</v>
      </c>
      <c r="AP27" s="10">
        <f>'Jan2026-EXPENSE'!R30</f>
        <v>5562.9052379768827</v>
      </c>
      <c r="AQ27" s="10"/>
      <c r="AR27" s="174">
        <f t="shared" si="9"/>
        <v>1548.0947620231173</v>
      </c>
      <c r="AS27" s="7">
        <f>'Feb2026-COLLECTION'!K26</f>
        <v>5686</v>
      </c>
      <c r="AT27" s="10">
        <f>'Feb2026-EXPENSE'!R30</f>
        <v>5123.5345797359123</v>
      </c>
      <c r="AU27" s="10"/>
      <c r="AV27" s="174">
        <f t="shared" si="10"/>
        <v>562.4654202640877</v>
      </c>
      <c r="AW27" s="7">
        <f>'Mar2026-COLLECTION'!K26</f>
        <v>10715</v>
      </c>
      <c r="AX27" s="10">
        <f>'Mar2026-EXPENSE'!R30</f>
        <v>5589.9149719554971</v>
      </c>
      <c r="AY27" s="10"/>
      <c r="AZ27" s="174">
        <f t="shared" si="11"/>
        <v>5125.0850280445029</v>
      </c>
      <c r="BA27" s="172">
        <f t="shared" ref="BA27:BC27" si="38">SUM(E27,I27,M27,Q27,U27,Y27,AC27,AG27,AK27,AO27,AS27,AW27)</f>
        <v>68429</v>
      </c>
      <c r="BB27" s="172">
        <f t="shared" si="38"/>
        <v>69641.098747103606</v>
      </c>
      <c r="BC27" s="172">
        <f t="shared" si="38"/>
        <v>0</v>
      </c>
      <c r="BD27" s="233">
        <f t="shared" si="13"/>
        <v>-1212.098747103606</v>
      </c>
      <c r="BE27" s="236">
        <f t="shared" si="15"/>
        <v>-1212.098747103606</v>
      </c>
    </row>
    <row r="28" spans="1:57" ht="15.75" customHeight="1">
      <c r="A28" s="169" t="s">
        <v>85</v>
      </c>
      <c r="B28" s="13"/>
      <c r="C28" s="13" t="s">
        <v>86</v>
      </c>
      <c r="D28" s="230"/>
      <c r="E28" s="171">
        <f>'Apr2025-COLLECTION'!K27</f>
        <v>4965</v>
      </c>
      <c r="F28" s="172">
        <f>'Apr2025-EXPENSE'!R31</f>
        <v>6258.9920764404214</v>
      </c>
      <c r="G28" s="172"/>
      <c r="H28" s="172">
        <f t="shared" si="0"/>
        <v>-1293.9920764404214</v>
      </c>
      <c r="I28" s="173">
        <f>'May2025-COLLECTION'!K27</f>
        <v>6240</v>
      </c>
      <c r="J28" s="174">
        <f>'May2025-EXPENSE'!R31</f>
        <v>4807.3018767924377</v>
      </c>
      <c r="K28" s="174"/>
      <c r="L28" s="174">
        <f t="shared" si="1"/>
        <v>1432.6981232075623</v>
      </c>
      <c r="M28" s="172">
        <f>'June2025-COLLECTION'!K27</f>
        <v>4790</v>
      </c>
      <c r="N28" s="172">
        <f>'June2025-EXPENSE'!R31</f>
        <v>5061.3257899170985</v>
      </c>
      <c r="O28" s="172"/>
      <c r="P28" s="172">
        <f t="shared" si="2"/>
        <v>-271.32578991709852</v>
      </c>
      <c r="Q28" s="41">
        <f>'July2025-COLLECTION'!K27</f>
        <v>5062</v>
      </c>
      <c r="R28" s="174">
        <f>'July2025-EXPENSE'!R31</f>
        <v>6007.7944896238196</v>
      </c>
      <c r="S28" s="174"/>
      <c r="T28" s="174">
        <f t="shared" si="3"/>
        <v>-945.79448962381957</v>
      </c>
      <c r="U28" s="167">
        <f>'Aug2025-COLLECTION'!K27</f>
        <v>6008</v>
      </c>
      <c r="V28" s="172">
        <f>'Aug2025-EXPENSE'!R31</f>
        <v>6373.4199683188572</v>
      </c>
      <c r="W28" s="172"/>
      <c r="X28" s="172">
        <f t="shared" si="4"/>
        <v>-365.41996831885717</v>
      </c>
      <c r="Y28" s="41">
        <f>'Sep2025-COLLECTION'!K27</f>
        <v>12008</v>
      </c>
      <c r="Z28" s="174">
        <f>'Sep2025-EXPENSE'!R31</f>
        <v>5248.4011545332614</v>
      </c>
      <c r="AA28" s="174"/>
      <c r="AB28" s="174">
        <f t="shared" si="5"/>
        <v>6759.5988454667386</v>
      </c>
      <c r="AC28" s="41">
        <f>'Oct2025-COLLECTION'!K27</f>
        <v>0</v>
      </c>
      <c r="AD28" s="174">
        <f>'Oct2025-EXPENSE'!R31</f>
        <v>6161.1285926972469</v>
      </c>
      <c r="AE28" s="174"/>
      <c r="AF28" s="174">
        <f t="shared" si="6"/>
        <v>-6161.1285926972469</v>
      </c>
      <c r="AG28" s="41">
        <f>'Nov2025-COLLECTION'!K27</f>
        <v>6114</v>
      </c>
      <c r="AH28" s="174">
        <f>'Nov2025-EXPENSE'!R31</f>
        <v>7838.4450265672394</v>
      </c>
      <c r="AI28" s="174"/>
      <c r="AJ28" s="174">
        <f t="shared" si="7"/>
        <v>-1724.4450265672394</v>
      </c>
      <c r="AK28" s="41">
        <f>'Dec2025-COLLECTION'!K27</f>
        <v>7920.16</v>
      </c>
      <c r="AL28" s="174">
        <f>'Dec2025-EXPENSE'!R31</f>
        <v>5226.1806693615727</v>
      </c>
      <c r="AM28" s="174"/>
      <c r="AN28" s="174">
        <f t="shared" si="8"/>
        <v>2693.9793306384272</v>
      </c>
      <c r="AO28" s="7">
        <f>'Jan2026-COLLECTION'!K27</f>
        <v>5209.1099999999997</v>
      </c>
      <c r="AP28" s="10">
        <f>'Jan2026-EXPENSE'!R31</f>
        <v>5363.2466694710729</v>
      </c>
      <c r="AQ28" s="10"/>
      <c r="AR28" s="174">
        <f t="shared" si="9"/>
        <v>-154.13666947107322</v>
      </c>
      <c r="AS28" s="7">
        <f>'Feb2026-COLLECTION'!K27</f>
        <v>5380</v>
      </c>
      <c r="AT28" s="10">
        <f>'Feb2026-EXPENSE'!R31</f>
        <v>4723.6754540238026</v>
      </c>
      <c r="AU28" s="10"/>
      <c r="AV28" s="174">
        <f t="shared" si="10"/>
        <v>656.32454597619744</v>
      </c>
      <c r="AW28" s="7">
        <f>'Mar2026-COLLECTION'!K27</f>
        <v>4724</v>
      </c>
      <c r="AX28" s="10">
        <f>'Mar2026-EXPENSE'!R31</f>
        <v>4896.297008362023</v>
      </c>
      <c r="AY28" s="10"/>
      <c r="AZ28" s="174">
        <f t="shared" si="11"/>
        <v>-172.29700836202301</v>
      </c>
      <c r="BA28" s="172">
        <f t="shared" ref="BA28:BC28" si="39">SUM(E28,I28,M28,Q28,U28,Y28,AC28,AG28,AK28,AO28,AS28,AW28)</f>
        <v>68420.27</v>
      </c>
      <c r="BB28" s="172">
        <f t="shared" si="39"/>
        <v>67966.208776108862</v>
      </c>
      <c r="BC28" s="172">
        <f t="shared" si="39"/>
        <v>0</v>
      </c>
      <c r="BD28" s="233">
        <f t="shared" si="13"/>
        <v>454.06122389114171</v>
      </c>
      <c r="BE28" s="236">
        <f t="shared" si="15"/>
        <v>454.06122389114171</v>
      </c>
    </row>
    <row r="29" spans="1:57" ht="15.75" customHeight="1">
      <c r="A29" s="169" t="s">
        <v>87</v>
      </c>
      <c r="B29" s="13"/>
      <c r="C29" s="13" t="s">
        <v>88</v>
      </c>
      <c r="D29" s="230"/>
      <c r="E29" s="171">
        <f>'Apr2025-COLLECTION'!K28</f>
        <v>0</v>
      </c>
      <c r="F29" s="172">
        <f>'Apr2025-EXPENSE'!R32</f>
        <v>5638.7301984201058</v>
      </c>
      <c r="G29" s="172"/>
      <c r="H29" s="172">
        <f t="shared" si="0"/>
        <v>-5638.7301984201058</v>
      </c>
      <c r="I29" s="173">
        <f>'May2025-COLLECTION'!K28</f>
        <v>10288</v>
      </c>
      <c r="J29" s="174">
        <f>'May2025-EXPENSE'!R32</f>
        <v>4416.4687060852975</v>
      </c>
      <c r="K29" s="174"/>
      <c r="L29" s="174">
        <f t="shared" si="1"/>
        <v>5871.5312939147025</v>
      </c>
      <c r="M29" s="172">
        <f>'June2025-COLLECTION'!K28</f>
        <v>4399</v>
      </c>
      <c r="N29" s="172">
        <f>'June2025-EXPENSE'!R32</f>
        <v>4540.9934494248582</v>
      </c>
      <c r="O29" s="172"/>
      <c r="P29" s="172">
        <f t="shared" si="2"/>
        <v>-141.99344942485823</v>
      </c>
      <c r="Q29" s="41">
        <f>'July2025-COLLECTION'!K28</f>
        <v>4541</v>
      </c>
      <c r="R29" s="174">
        <f>'July2025-EXPENSE'!R32</f>
        <v>5376.7791798830904</v>
      </c>
      <c r="S29" s="174"/>
      <c r="T29" s="174">
        <f t="shared" si="3"/>
        <v>-835.77917988309036</v>
      </c>
      <c r="U29" s="167">
        <f>'Aug2025-COLLECTION'!K28</f>
        <v>5377</v>
      </c>
      <c r="V29" s="172">
        <f>'Aug2025-EXPENSE'!R32</f>
        <v>5757.3963235602114</v>
      </c>
      <c r="W29" s="172"/>
      <c r="X29" s="172">
        <f t="shared" si="4"/>
        <v>-380.39632356021139</v>
      </c>
      <c r="Y29" s="41">
        <f>'Sep2025-COLLECTION'!K28</f>
        <v>5377</v>
      </c>
      <c r="Z29" s="174">
        <f>'Sep2025-EXPENSE'!R32</f>
        <v>4934.6193654329772</v>
      </c>
      <c r="AA29" s="174"/>
      <c r="AB29" s="174">
        <f t="shared" si="5"/>
        <v>442.38063456702275</v>
      </c>
      <c r="AC29" s="41">
        <f>'Oct2025-COLLECTION'!K28</f>
        <v>4935</v>
      </c>
      <c r="AD29" s="174">
        <f>'Oct2025-EXPENSE'!R32</f>
        <v>6180.9459481770373</v>
      </c>
      <c r="AE29" s="174"/>
      <c r="AF29" s="174">
        <f t="shared" si="6"/>
        <v>-1245.9459481770373</v>
      </c>
      <c r="AG29" s="41">
        <f>'Nov2025-COLLECTION'!K28</f>
        <v>6114</v>
      </c>
      <c r="AH29" s="174">
        <f>'Nov2025-EXPENSE'!R32</f>
        <v>6627.6517108903945</v>
      </c>
      <c r="AI29" s="174"/>
      <c r="AJ29" s="174">
        <f t="shared" si="7"/>
        <v>-513.6517108903945</v>
      </c>
      <c r="AK29" s="41">
        <f>'Dec2025-COLLECTION'!K28</f>
        <v>0</v>
      </c>
      <c r="AL29" s="174">
        <f>'Dec2025-EXPENSE'!R32</f>
        <v>4919.9169017161767</v>
      </c>
      <c r="AM29" s="174"/>
      <c r="AN29" s="174">
        <f t="shared" si="8"/>
        <v>-4919.9169017161767</v>
      </c>
      <c r="AO29" s="7">
        <f>'Jan2026-COLLECTION'!K28</f>
        <v>0</v>
      </c>
      <c r="AP29" s="10">
        <f>'Jan2026-EXPENSE'!R32</f>
        <v>4755.1863072798205</v>
      </c>
      <c r="AQ29" s="10"/>
      <c r="AR29" s="174">
        <f t="shared" si="9"/>
        <v>-4755.1863072798205</v>
      </c>
      <c r="AS29" s="7">
        <f>'Feb2026-COLLECTION'!K28</f>
        <v>0</v>
      </c>
      <c r="AT29" s="10">
        <f>'Feb2026-EXPENSE'!R32</f>
        <v>4530.2580434065003</v>
      </c>
      <c r="AU29" s="10"/>
      <c r="AV29" s="174">
        <f t="shared" si="10"/>
        <v>-4530.2580434065003</v>
      </c>
      <c r="AW29" s="7">
        <f>'Mar2026-COLLECTION'!K28</f>
        <v>0</v>
      </c>
      <c r="AX29" s="10">
        <f>'Mar2026-EXPENSE'!R32</f>
        <v>4928.0538927521839</v>
      </c>
      <c r="AY29" s="10"/>
      <c r="AZ29" s="174">
        <f t="shared" si="11"/>
        <v>-4928.0538927521839</v>
      </c>
      <c r="BA29" s="172">
        <f t="shared" ref="BA29:BC29" si="40">SUM(E29,I29,M29,Q29,U29,Y29,AC29,AG29,AK29,AO29,AS29,AW29)</f>
        <v>41031</v>
      </c>
      <c r="BB29" s="172">
        <f t="shared" si="40"/>
        <v>62607.000027028662</v>
      </c>
      <c r="BC29" s="172">
        <f t="shared" si="40"/>
        <v>0</v>
      </c>
      <c r="BD29" s="233">
        <f t="shared" si="13"/>
        <v>-21576.000027028662</v>
      </c>
      <c r="BE29" s="236">
        <f t="shared" si="15"/>
        <v>-21576.000027028662</v>
      </c>
    </row>
    <row r="30" spans="1:57" ht="15.75" customHeight="1">
      <c r="A30" s="169" t="s">
        <v>89</v>
      </c>
      <c r="B30" s="13"/>
      <c r="C30" s="13" t="s">
        <v>90</v>
      </c>
      <c r="D30" s="230"/>
      <c r="E30" s="171">
        <f>'Apr2025-COLLECTION'!K29</f>
        <v>8980</v>
      </c>
      <c r="F30" s="172">
        <f>'Apr2025-EXPENSE'!R33</f>
        <v>5836.516474833119</v>
      </c>
      <c r="G30" s="172"/>
      <c r="H30" s="172">
        <f t="shared" si="0"/>
        <v>3143.483525166881</v>
      </c>
      <c r="I30" s="173">
        <f>'May2025-COLLECTION'!K29</f>
        <v>5803</v>
      </c>
      <c r="J30" s="174">
        <f>'May2025-EXPENSE'!R33</f>
        <v>5143.6069677267096</v>
      </c>
      <c r="K30" s="174"/>
      <c r="L30" s="174">
        <f t="shared" si="1"/>
        <v>659.39303227329037</v>
      </c>
      <c r="M30" s="172">
        <f>'June2025-COLLECTION'!K29</f>
        <v>14646</v>
      </c>
      <c r="N30" s="172">
        <f>'June2025-EXPENSE'!R33</f>
        <v>5032.2303204077707</v>
      </c>
      <c r="O30" s="172"/>
      <c r="P30" s="172">
        <f t="shared" si="2"/>
        <v>9613.7696795922293</v>
      </c>
      <c r="Q30" s="41">
        <f>'July2025-COLLECTION'!K29</f>
        <v>5083</v>
      </c>
      <c r="R30" s="174">
        <f>'July2025-EXPENSE'!R33</f>
        <v>6120.0200777584869</v>
      </c>
      <c r="S30" s="174"/>
      <c r="T30" s="174">
        <f t="shared" si="3"/>
        <v>-1037.0200777584869</v>
      </c>
      <c r="U30" s="167">
        <f>'Aug2025-COLLECTION'!K29</f>
        <v>6120</v>
      </c>
      <c r="V30" s="172">
        <f>'Aug2025-EXPENSE'!R33</f>
        <v>6118.640913971306</v>
      </c>
      <c r="W30" s="172"/>
      <c r="X30" s="172">
        <f t="shared" si="4"/>
        <v>1.3590860286940369</v>
      </c>
      <c r="Y30" s="41">
        <f>'Sep2025-COLLECTION'!K29</f>
        <v>6119</v>
      </c>
      <c r="Z30" s="174">
        <f>'Sep2025-EXPENSE'!R33</f>
        <v>4977.8411914805683</v>
      </c>
      <c r="AA30" s="174"/>
      <c r="AB30" s="174">
        <f t="shared" si="5"/>
        <v>1141.1588085194317</v>
      </c>
      <c r="AC30" s="41">
        <f>'Oct2025-COLLECTION'!K29</f>
        <v>4978</v>
      </c>
      <c r="AD30" s="174">
        <f>'Oct2025-EXPENSE'!R33</f>
        <v>6565.7107963932476</v>
      </c>
      <c r="AE30" s="174"/>
      <c r="AF30" s="174">
        <f t="shared" si="6"/>
        <v>-1587.7107963932476</v>
      </c>
      <c r="AG30" s="41">
        <f>'Nov2025-COLLECTION'!K29</f>
        <v>6114</v>
      </c>
      <c r="AH30" s="174">
        <f>'Nov2025-EXPENSE'!R33</f>
        <v>7853.4395921482792</v>
      </c>
      <c r="AI30" s="174"/>
      <c r="AJ30" s="174">
        <f t="shared" si="7"/>
        <v>-1739.4395921482792</v>
      </c>
      <c r="AK30" s="41">
        <f>'Dec2025-COLLECTION'!K29</f>
        <v>7936</v>
      </c>
      <c r="AL30" s="174">
        <f>'Dec2025-EXPENSE'!R33</f>
        <v>5975.6638531343851</v>
      </c>
      <c r="AM30" s="174"/>
      <c r="AN30" s="174">
        <f t="shared" si="8"/>
        <v>1960.3361468656149</v>
      </c>
      <c r="AO30" s="7">
        <f>'Jan2026-COLLECTION'!K29</f>
        <v>0</v>
      </c>
      <c r="AP30" s="10">
        <f>'Jan2026-EXPENSE'!R33</f>
        <v>5622.5343268151546</v>
      </c>
      <c r="AQ30" s="10"/>
      <c r="AR30" s="174">
        <f t="shared" si="9"/>
        <v>-5622.5343268151546</v>
      </c>
      <c r="AS30" s="7">
        <f>'Feb2026-COLLECTION'!K29</f>
        <v>0</v>
      </c>
      <c r="AT30" s="10">
        <f>'Feb2026-EXPENSE'!R33</f>
        <v>5468.5129946290672</v>
      </c>
      <c r="AU30" s="10"/>
      <c r="AV30" s="174">
        <f t="shared" si="10"/>
        <v>-5468.5129946290672</v>
      </c>
      <c r="AW30" s="7">
        <f>'Mar2026-COLLECTION'!K29</f>
        <v>0</v>
      </c>
      <c r="AX30" s="10">
        <f>'Mar2026-EXPENSE'!R33</f>
        <v>5550.5861320161293</v>
      </c>
      <c r="AY30" s="10"/>
      <c r="AZ30" s="174">
        <f t="shared" si="11"/>
        <v>-5550.5861320161293</v>
      </c>
      <c r="BA30" s="172">
        <f t="shared" ref="BA30:BC30" si="41">SUM(E30,I30,M30,Q30,U30,Y30,AC30,AG30,AK30,AO30,AS30,AW30)</f>
        <v>65779</v>
      </c>
      <c r="BB30" s="172">
        <f t="shared" si="41"/>
        <v>70265.303641314225</v>
      </c>
      <c r="BC30" s="172">
        <f t="shared" si="41"/>
        <v>0</v>
      </c>
      <c r="BD30" s="233">
        <f t="shared" si="13"/>
        <v>-4486.3036413142254</v>
      </c>
      <c r="BE30" s="236">
        <f t="shared" si="15"/>
        <v>-4486.3036413142254</v>
      </c>
    </row>
    <row r="31" spans="1:57" ht="15.75" customHeight="1">
      <c r="A31" s="169" t="s">
        <v>91</v>
      </c>
      <c r="B31" s="13"/>
      <c r="C31" s="13" t="s">
        <v>92</v>
      </c>
      <c r="D31" s="230"/>
      <c r="E31" s="171">
        <f>'Apr2025-COLLECTION'!K30</f>
        <v>0</v>
      </c>
      <c r="F31" s="172">
        <f>'Apr2025-EXPENSE'!R34</f>
        <v>6399.1853623620545</v>
      </c>
      <c r="G31" s="172"/>
      <c r="H31" s="172">
        <f t="shared" si="0"/>
        <v>-6399.1853623620545</v>
      </c>
      <c r="I31" s="173">
        <f>'May2025-COLLECTION'!K30</f>
        <v>6379</v>
      </c>
      <c r="J31" s="174">
        <f>'May2025-EXPENSE'!R34</f>
        <v>4704.571266621957</v>
      </c>
      <c r="K31" s="174">
        <v>500</v>
      </c>
      <c r="L31" s="174">
        <f t="shared" si="1"/>
        <v>1174.428733378043</v>
      </c>
      <c r="M31" s="172">
        <f>'June2025-COLLECTION'!K30</f>
        <v>0</v>
      </c>
      <c r="N31" s="172">
        <f>'June2025-EXPENSE'!R34</f>
        <v>4724.9387761888756</v>
      </c>
      <c r="O31" s="172"/>
      <c r="P31" s="172">
        <f t="shared" si="2"/>
        <v>-4724.9387761888756</v>
      </c>
      <c r="Q31" s="41">
        <f>'July2025-COLLECTION'!K30</f>
        <v>13339</v>
      </c>
      <c r="R31" s="174">
        <f>'July2025-EXPENSE'!R34</f>
        <v>5925.0068550878068</v>
      </c>
      <c r="S31" s="174"/>
      <c r="T31" s="174">
        <f t="shared" si="3"/>
        <v>7413.9931449121932</v>
      </c>
      <c r="U31" s="167">
        <f>'Aug2025-COLLECTION'!K30</f>
        <v>0</v>
      </c>
      <c r="V31" s="172">
        <f>'Aug2025-EXPENSE'!R34</f>
        <v>6282.7477371493133</v>
      </c>
      <c r="W31" s="172"/>
      <c r="X31" s="172">
        <f t="shared" si="4"/>
        <v>-6282.7477371493133</v>
      </c>
      <c r="Y31" s="41">
        <f>'Sep2025-COLLECTION'!K30</f>
        <v>12208</v>
      </c>
      <c r="Z31" s="174">
        <f>'Sep2025-EXPENSE'!R34</f>
        <v>5187.0215055437975</v>
      </c>
      <c r="AA31" s="174"/>
      <c r="AB31" s="174">
        <f t="shared" si="5"/>
        <v>7020.9784944562025</v>
      </c>
      <c r="AC31" s="41">
        <f>'Oct2025-COLLECTION'!K30</f>
        <v>0</v>
      </c>
      <c r="AD31" s="174">
        <f>'Oct2025-EXPENSE'!R34</f>
        <v>6825.9630185067053</v>
      </c>
      <c r="AE31" s="174"/>
      <c r="AF31" s="174">
        <f t="shared" si="6"/>
        <v>-6825.9630185067053</v>
      </c>
      <c r="AG31" s="41">
        <f>'Nov2025-COLLECTION'!K30</f>
        <v>0</v>
      </c>
      <c r="AH31" s="174">
        <f>'Nov2025-EXPENSE'!R34</f>
        <v>7750.7004611684379</v>
      </c>
      <c r="AI31" s="174"/>
      <c r="AJ31" s="174">
        <f t="shared" si="7"/>
        <v>-7750.7004611684379</v>
      </c>
      <c r="AK31" s="41">
        <f>'Dec2025-COLLECTION'!K30</f>
        <v>0</v>
      </c>
      <c r="AL31" s="174">
        <f>'Dec2025-EXPENSE'!R34</f>
        <v>5575.2228877649268</v>
      </c>
      <c r="AM31" s="174"/>
      <c r="AN31" s="174">
        <f t="shared" si="8"/>
        <v>-5575.2228877649268</v>
      </c>
      <c r="AO31" s="7">
        <f>'Jan2026-COLLECTION'!K30</f>
        <v>22000</v>
      </c>
      <c r="AP31" s="10">
        <f>'Jan2026-EXPENSE'!R34</f>
        <v>5381.9232965835781</v>
      </c>
      <c r="AQ31" s="10"/>
      <c r="AR31" s="174">
        <f t="shared" si="9"/>
        <v>16618.076703416424</v>
      </c>
      <c r="AS31" s="7">
        <f>'Feb2026-COLLECTION'!K30</f>
        <v>0</v>
      </c>
      <c r="AT31" s="10">
        <f>'Feb2026-EXPENSE'!R34</f>
        <v>5345.1323243195347</v>
      </c>
      <c r="AU31" s="10"/>
      <c r="AV31" s="174">
        <f t="shared" si="10"/>
        <v>-5345.1323243195347</v>
      </c>
      <c r="AW31" s="7">
        <f>'Mar2026-COLLECTION'!K30</f>
        <v>0</v>
      </c>
      <c r="AX31" s="10">
        <f>'Mar2026-EXPENSE'!R34</f>
        <v>4936.7051313665061</v>
      </c>
      <c r="AY31" s="10"/>
      <c r="AZ31" s="174">
        <f t="shared" si="11"/>
        <v>-4936.7051313665061</v>
      </c>
      <c r="BA31" s="172">
        <f t="shared" ref="BA31:BC31" si="42">SUM(E31,I31,M31,Q31,U31,Y31,AC31,AG31,AK31,AO31,AS31,AW31)</f>
        <v>53926</v>
      </c>
      <c r="BB31" s="172">
        <f t="shared" si="42"/>
        <v>69039.118622663489</v>
      </c>
      <c r="BC31" s="172">
        <f t="shared" si="42"/>
        <v>500</v>
      </c>
      <c r="BD31" s="233">
        <f t="shared" si="13"/>
        <v>-15613.118622663489</v>
      </c>
      <c r="BE31" s="236">
        <f t="shared" si="15"/>
        <v>-15613.118622663489</v>
      </c>
    </row>
    <row r="32" spans="1:57" ht="15.75" customHeight="1">
      <c r="A32" s="169" t="s">
        <v>93</v>
      </c>
      <c r="B32" s="13"/>
      <c r="C32" s="13" t="s">
        <v>94</v>
      </c>
      <c r="D32" s="230"/>
      <c r="E32" s="171">
        <f>'Apr2025-COLLECTION'!K31</f>
        <v>5081</v>
      </c>
      <c r="F32" s="172">
        <f>'Apr2025-EXPENSE'!R35</f>
        <v>5772.4935013634231</v>
      </c>
      <c r="G32" s="172"/>
      <c r="H32" s="172">
        <f t="shared" si="0"/>
        <v>-691.49350136342309</v>
      </c>
      <c r="I32" s="173">
        <f>'May2025-COLLECTION'!K31</f>
        <v>5734</v>
      </c>
      <c r="J32" s="174">
        <f>'May2025-EXPENSE'!R35</f>
        <v>5458.0771306077049</v>
      </c>
      <c r="K32" s="174"/>
      <c r="L32" s="174">
        <f t="shared" si="1"/>
        <v>275.92286939229507</v>
      </c>
      <c r="M32" s="172">
        <f>'June2025-COLLECTION'!K31</f>
        <v>5435</v>
      </c>
      <c r="N32" s="172">
        <f>'June2025-EXPENSE'!R35</f>
        <v>4968.6133333294929</v>
      </c>
      <c r="O32" s="172"/>
      <c r="P32" s="172">
        <f t="shared" si="2"/>
        <v>466.38666667050711</v>
      </c>
      <c r="Q32" s="41">
        <f>'July2025-COLLECTION'!K31</f>
        <v>4969</v>
      </c>
      <c r="R32" s="174">
        <f>'July2025-EXPENSE'!R35</f>
        <v>5790.2369543507548</v>
      </c>
      <c r="S32" s="174"/>
      <c r="T32" s="174">
        <f t="shared" si="3"/>
        <v>-821.23695435075479</v>
      </c>
      <c r="U32" s="167">
        <f>'Aug2025-COLLECTION'!K31</f>
        <v>5790</v>
      </c>
      <c r="V32" s="172">
        <f>'Aug2025-EXPENSE'!R35</f>
        <v>6613.1733565946452</v>
      </c>
      <c r="W32" s="172"/>
      <c r="X32" s="172">
        <f t="shared" si="4"/>
        <v>-823.17335659464516</v>
      </c>
      <c r="Y32" s="41">
        <f>'Sep2025-COLLECTION'!K31</f>
        <v>5790</v>
      </c>
      <c r="Z32" s="174">
        <f>'Sep2025-EXPENSE'!R35</f>
        <v>5303.5667757796891</v>
      </c>
      <c r="AA32" s="174"/>
      <c r="AB32" s="174">
        <f t="shared" si="5"/>
        <v>486.43322422031088</v>
      </c>
      <c r="AC32" s="41">
        <f>'Oct2025-COLLECTION'!K31</f>
        <v>5304</v>
      </c>
      <c r="AD32" s="174">
        <f>'Oct2025-EXPENSE'!R35</f>
        <v>6947.0454665990474</v>
      </c>
      <c r="AE32" s="174"/>
      <c r="AF32" s="174">
        <f t="shared" si="6"/>
        <v>-1643.0454665990474</v>
      </c>
      <c r="AG32" s="41">
        <f>'Nov2025-COLLECTION'!K31</f>
        <v>6231</v>
      </c>
      <c r="AH32" s="174">
        <f>'Nov2025-EXPENSE'!R35</f>
        <v>7284.5175839069861</v>
      </c>
      <c r="AI32" s="174"/>
      <c r="AJ32" s="174">
        <f t="shared" si="7"/>
        <v>-1053.5175839069861</v>
      </c>
      <c r="AK32" s="41">
        <f>'Dec2025-COLLECTION'!K31</f>
        <v>7366.24</v>
      </c>
      <c r="AL32" s="174">
        <f>'Dec2025-EXPENSE'!R35</f>
        <v>6027.402900728287</v>
      </c>
      <c r="AM32" s="174"/>
      <c r="AN32" s="174">
        <f t="shared" si="8"/>
        <v>1338.8370992717128</v>
      </c>
      <c r="AO32" s="7">
        <f>'Jan2026-COLLECTION'!K31</f>
        <v>6004.73</v>
      </c>
      <c r="AP32" s="10">
        <f>'Jan2026-EXPENSE'!R35</f>
        <v>5568.1679952026161</v>
      </c>
      <c r="AQ32" s="10"/>
      <c r="AR32" s="174">
        <f t="shared" si="9"/>
        <v>436.56200479738345</v>
      </c>
      <c r="AS32" s="7">
        <f>'Feb2026-COLLECTION'!K31</f>
        <v>5591</v>
      </c>
      <c r="AT32" s="10">
        <f>'Feb2026-EXPENSE'!R35</f>
        <v>5193.3063333721766</v>
      </c>
      <c r="AU32" s="10"/>
      <c r="AV32" s="174">
        <f t="shared" si="10"/>
        <v>397.6936666278234</v>
      </c>
      <c r="AW32" s="7">
        <f>'Mar2026-COLLECTION'!K31</f>
        <v>5193</v>
      </c>
      <c r="AX32" s="10">
        <f>'Mar2026-EXPENSE'!R35</f>
        <v>5969.9980744346612</v>
      </c>
      <c r="AY32" s="10"/>
      <c r="AZ32" s="174">
        <f t="shared" si="11"/>
        <v>-776.99807443466125</v>
      </c>
      <c r="BA32" s="172">
        <f t="shared" ref="BA32:BC32" si="43">SUM(E32,I32,M32,Q32,U32,Y32,AC32,AG32,AK32,AO32,AS32,AW32)</f>
        <v>68488.97</v>
      </c>
      <c r="BB32" s="172">
        <f t="shared" si="43"/>
        <v>70896.599406269495</v>
      </c>
      <c r="BC32" s="172">
        <f t="shared" si="43"/>
        <v>0</v>
      </c>
      <c r="BD32" s="233">
        <f t="shared" si="13"/>
        <v>-2407.6294062694942</v>
      </c>
      <c r="BE32" s="236">
        <f t="shared" si="15"/>
        <v>-2407.6294062694942</v>
      </c>
    </row>
    <row r="33" spans="1:57" ht="15.75" customHeight="1">
      <c r="A33" s="169" t="s">
        <v>95</v>
      </c>
      <c r="B33" s="13"/>
      <c r="C33" s="13" t="s">
        <v>96</v>
      </c>
      <c r="D33" s="230"/>
      <c r="E33" s="171">
        <f>'Apr2025-COLLECTION'!K32</f>
        <v>9338</v>
      </c>
      <c r="F33" s="172">
        <f>'Apr2025-EXPENSE'!R36</f>
        <v>6113.6941181248058</v>
      </c>
      <c r="G33" s="172"/>
      <c r="H33" s="172">
        <f t="shared" si="0"/>
        <v>3224.3058818751942</v>
      </c>
      <c r="I33" s="173">
        <f>'May2025-COLLECTION'!K32</f>
        <v>0</v>
      </c>
      <c r="J33" s="174">
        <f>'May2025-EXPENSE'!R36</f>
        <v>4590.2178159039886</v>
      </c>
      <c r="K33" s="174"/>
      <c r="L33" s="174">
        <f t="shared" si="1"/>
        <v>-4590.2178159039886</v>
      </c>
      <c r="M33" s="172">
        <f>'June2025-COLLECTION'!K32</f>
        <v>4568</v>
      </c>
      <c r="N33" s="172">
        <f>'June2025-EXPENSE'!R36</f>
        <v>4414.4616899162102</v>
      </c>
      <c r="O33" s="172"/>
      <c r="P33" s="172">
        <f t="shared" si="2"/>
        <v>153.53831008378984</v>
      </c>
      <c r="Q33" s="41">
        <f>'July2025-COLLECTION'!K32</f>
        <v>0</v>
      </c>
      <c r="R33" s="174">
        <f>'July2025-EXPENSE'!R36</f>
        <v>5225.6822781618539</v>
      </c>
      <c r="S33" s="174"/>
      <c r="T33" s="174">
        <f t="shared" si="3"/>
        <v>-5225.6822781618539</v>
      </c>
      <c r="U33" s="167">
        <f>'Aug2025-COLLECTION'!K32</f>
        <v>5226</v>
      </c>
      <c r="V33" s="172">
        <f>'Aug2025-EXPENSE'!R36</f>
        <v>5699.7221825156248</v>
      </c>
      <c r="W33" s="172"/>
      <c r="X33" s="172">
        <f t="shared" si="4"/>
        <v>-473.72218251562481</v>
      </c>
      <c r="Y33" s="41">
        <f>'Sep2025-COLLECTION'!K32</f>
        <v>5226</v>
      </c>
      <c r="Z33" s="174">
        <f>'Sep2025-EXPENSE'!R36</f>
        <v>5011.2185995963509</v>
      </c>
      <c r="AA33" s="174"/>
      <c r="AB33" s="174">
        <f t="shared" si="5"/>
        <v>214.78140040364906</v>
      </c>
      <c r="AC33" s="41">
        <f>'Oct2025-COLLECTION'!K32</f>
        <v>0</v>
      </c>
      <c r="AD33" s="174">
        <f>'Oct2025-EXPENSE'!R36</f>
        <v>6578.5914176651322</v>
      </c>
      <c r="AE33" s="174"/>
      <c r="AF33" s="174">
        <f t="shared" si="6"/>
        <v>-6578.5914176651322</v>
      </c>
      <c r="AG33" s="41">
        <f>'Nov2025-COLLECTION'!K32</f>
        <v>11242</v>
      </c>
      <c r="AH33" s="174">
        <f>'Nov2025-EXPENSE'!R36</f>
        <v>7575.1313800560547</v>
      </c>
      <c r="AI33" s="174"/>
      <c r="AJ33" s="174">
        <f t="shared" si="7"/>
        <v>3666.8686199439453</v>
      </c>
      <c r="AK33" s="41">
        <f>'Dec2025-COLLECTION'!K32</f>
        <v>0</v>
      </c>
      <c r="AL33" s="174">
        <f>'Dec2025-EXPENSE'!R36</f>
        <v>5604.8400183595231</v>
      </c>
      <c r="AM33" s="174"/>
      <c r="AN33" s="174">
        <f t="shared" si="8"/>
        <v>-5604.8400183595231</v>
      </c>
      <c r="AO33" s="7">
        <f>'Jan2026-COLLECTION'!K32</f>
        <v>5582.17</v>
      </c>
      <c r="AP33" s="10">
        <f>'Jan2026-EXPENSE'!R36</f>
        <v>5258.1436891912917</v>
      </c>
      <c r="AQ33" s="10"/>
      <c r="AR33" s="174">
        <f t="shared" si="9"/>
        <v>324.02631080870833</v>
      </c>
      <c r="AS33" s="7">
        <f>'Feb2026-COLLECTION'!K32</f>
        <v>5281</v>
      </c>
      <c r="AT33" s="10">
        <f>'Feb2026-EXPENSE'!R36</f>
        <v>4807.0649687797113</v>
      </c>
      <c r="AU33" s="10"/>
      <c r="AV33" s="174">
        <f t="shared" si="10"/>
        <v>473.93503122028869</v>
      </c>
      <c r="AW33" s="7">
        <f>'Mar2026-COLLECTION'!K32</f>
        <v>0</v>
      </c>
      <c r="AX33" s="10">
        <f>'Mar2026-EXPENSE'!R36</f>
        <v>4867.9280349504897</v>
      </c>
      <c r="AY33" s="10"/>
      <c r="AZ33" s="174">
        <f t="shared" si="11"/>
        <v>-4867.9280349504897</v>
      </c>
      <c r="BA33" s="172">
        <f t="shared" ref="BA33:BC33" si="44">SUM(E33,I33,M33,Q33,U33,Y33,AC33,AG33,AK33,AO33,AS33,AW33)</f>
        <v>46463.17</v>
      </c>
      <c r="BB33" s="172">
        <f t="shared" si="44"/>
        <v>65746.69619322104</v>
      </c>
      <c r="BC33" s="172">
        <f t="shared" si="44"/>
        <v>0</v>
      </c>
      <c r="BD33" s="233">
        <f t="shared" si="13"/>
        <v>-19283.526193221041</v>
      </c>
      <c r="BE33" s="236">
        <f t="shared" si="15"/>
        <v>-19283.526193221041</v>
      </c>
    </row>
    <row r="34" spans="1:57" ht="15.75" customHeight="1">
      <c r="A34" s="169" t="s">
        <v>97</v>
      </c>
      <c r="B34" s="13"/>
      <c r="C34" s="13" t="s">
        <v>98</v>
      </c>
      <c r="D34" s="230">
        <v>-9953.81</v>
      </c>
      <c r="E34" s="171">
        <f>'Apr2025-COLLECTION'!K33</f>
        <v>9047</v>
      </c>
      <c r="F34" s="172">
        <f>'Apr2025-EXPENSE'!R37</f>
        <v>5469.9560052052566</v>
      </c>
      <c r="G34" s="172"/>
      <c r="H34" s="172">
        <f t="shared" si="0"/>
        <v>3577.0439947947434</v>
      </c>
      <c r="I34" s="173">
        <f>'May2025-COLLECTION'!K33</f>
        <v>0</v>
      </c>
      <c r="J34" s="174">
        <f>'May2025-EXPENSE'!R37</f>
        <v>4750.1008519326633</v>
      </c>
      <c r="K34" s="174">
        <v>500</v>
      </c>
      <c r="L34" s="174">
        <f t="shared" si="1"/>
        <v>-5250.1008519326633</v>
      </c>
      <c r="M34" s="172">
        <f>'June2025-COLLECTION'!K33</f>
        <v>10158</v>
      </c>
      <c r="N34" s="172">
        <f>'June2025-EXPENSE'!R37</f>
        <v>4519.0464357863566</v>
      </c>
      <c r="O34" s="172"/>
      <c r="P34" s="172">
        <f t="shared" si="2"/>
        <v>5638.9535642136434</v>
      </c>
      <c r="Q34" s="41">
        <f>'July2025-COLLECTION'!K33</f>
        <v>4519.05</v>
      </c>
      <c r="R34" s="174">
        <f>'July2025-EXPENSE'!R37</f>
        <v>5297.3781108974936</v>
      </c>
      <c r="S34" s="174"/>
      <c r="T34" s="174">
        <f t="shared" si="3"/>
        <v>-778.32811089749339</v>
      </c>
      <c r="U34" s="167">
        <f>'Aug2025-COLLECTION'!K33</f>
        <v>5297.38</v>
      </c>
      <c r="V34" s="172">
        <f>'Aug2025-EXPENSE'!R37</f>
        <v>5766.2017438361436</v>
      </c>
      <c r="W34" s="172"/>
      <c r="X34" s="172">
        <f t="shared" si="4"/>
        <v>-468.82174383614347</v>
      </c>
      <c r="Y34" s="41">
        <f>'Sep2025-COLLECTION'!K33</f>
        <v>7235</v>
      </c>
      <c r="Z34" s="174">
        <f>'Sep2025-EXPENSE'!R37</f>
        <v>4944.2329712266073</v>
      </c>
      <c r="AA34" s="174"/>
      <c r="AB34" s="174">
        <f t="shared" si="5"/>
        <v>2290.7670287733927</v>
      </c>
      <c r="AC34" s="41">
        <f>'Oct2025-COLLECTION'!K33</f>
        <v>4944</v>
      </c>
      <c r="AD34" s="174">
        <f>'Oct2025-EXPENSE'!R37</f>
        <v>6366.6340377262859</v>
      </c>
      <c r="AE34" s="174"/>
      <c r="AF34" s="174">
        <f t="shared" si="6"/>
        <v>-1422.6340377262859</v>
      </c>
      <c r="AG34" s="41">
        <f>'Nov2025-COLLECTION'!K33</f>
        <v>6114</v>
      </c>
      <c r="AH34" s="174">
        <f>'Nov2025-EXPENSE'!R37</f>
        <v>6756.0117864637332</v>
      </c>
      <c r="AI34" s="174"/>
      <c r="AJ34" s="174">
        <f t="shared" si="7"/>
        <v>-642.01178646373319</v>
      </c>
      <c r="AK34" s="41">
        <f>'Dec2025-COLLECTION'!K33</f>
        <v>0</v>
      </c>
      <c r="AL34" s="174">
        <f>'Dec2025-EXPENSE'!R37</f>
        <v>5298.9973089126188</v>
      </c>
      <c r="AM34" s="174"/>
      <c r="AN34" s="174">
        <f t="shared" si="8"/>
        <v>-5298.9973089126188</v>
      </c>
      <c r="AO34" s="7">
        <f>'Jan2026-COLLECTION'!K33</f>
        <v>12119.66</v>
      </c>
      <c r="AP34" s="10">
        <f>'Jan2026-EXPENSE'!R37</f>
        <v>5126.3766681584584</v>
      </c>
      <c r="AQ34" s="10"/>
      <c r="AR34" s="174">
        <f t="shared" si="9"/>
        <v>6993.2833318415414</v>
      </c>
      <c r="AS34" s="7">
        <f>'Feb2026-COLLECTION'!K33</f>
        <v>5143</v>
      </c>
      <c r="AT34" s="10">
        <f>'Feb2026-EXPENSE'!R37</f>
        <v>5165.7017429773823</v>
      </c>
      <c r="AU34" s="10"/>
      <c r="AV34" s="174">
        <f t="shared" si="10"/>
        <v>-22.70174297738231</v>
      </c>
      <c r="AW34" s="7">
        <f>'Mar2026-COLLECTION'!K33</f>
        <v>5166</v>
      </c>
      <c r="AX34" s="10">
        <f>'Mar2026-EXPENSE'!R37</f>
        <v>4819.0278202984982</v>
      </c>
      <c r="AY34" s="10"/>
      <c r="AZ34" s="174">
        <f t="shared" si="11"/>
        <v>346.97217970150177</v>
      </c>
      <c r="BA34" s="172">
        <f t="shared" ref="BA34:BC34" si="45">SUM(E34,I34,M34,Q34,U34,Y34,AC34,AG34,AK34,AO34,AS34,AW34)</f>
        <v>69743.09</v>
      </c>
      <c r="BB34" s="172">
        <f t="shared" si="45"/>
        <v>64279.665483421508</v>
      </c>
      <c r="BC34" s="172">
        <f t="shared" si="45"/>
        <v>500</v>
      </c>
      <c r="BD34" s="233">
        <f t="shared" si="13"/>
        <v>4963.4245165784887</v>
      </c>
      <c r="BE34" s="236">
        <f t="shared" si="15"/>
        <v>-4990.3854834215108</v>
      </c>
    </row>
    <row r="35" spans="1:57" ht="15.75" customHeight="1">
      <c r="A35" s="169" t="s">
        <v>99</v>
      </c>
      <c r="B35" s="13"/>
      <c r="C35" s="13" t="s">
        <v>100</v>
      </c>
      <c r="D35" s="230"/>
      <c r="E35" s="171">
        <f>'Apr2025-COLLECTION'!K34</f>
        <v>4592</v>
      </c>
      <c r="F35" s="172">
        <f>'Apr2025-EXPENSE'!R38</f>
        <v>5334.5148437500002</v>
      </c>
      <c r="G35" s="172"/>
      <c r="H35" s="172">
        <f t="shared" si="0"/>
        <v>-742.51484375000018</v>
      </c>
      <c r="I35" s="173">
        <f>'May2025-COLLECTION'!K34</f>
        <v>5286</v>
      </c>
      <c r="J35" s="174">
        <f>'May2025-EXPENSE'!R38</f>
        <v>4029.8636485156248</v>
      </c>
      <c r="K35" s="174">
        <v>500</v>
      </c>
      <c r="L35" s="174">
        <f t="shared" si="1"/>
        <v>756.13635148437515</v>
      </c>
      <c r="M35" s="172">
        <f>'June2025-COLLECTION'!K34</f>
        <v>4012</v>
      </c>
      <c r="N35" s="172">
        <f>'June2025-EXPENSE'!R38</f>
        <v>4365.1665173038364</v>
      </c>
      <c r="O35" s="172"/>
      <c r="P35" s="172">
        <f t="shared" si="2"/>
        <v>-353.16651730383637</v>
      </c>
      <c r="Q35" s="41">
        <f>'July2025-COLLECTION'!K34</f>
        <v>4365.17</v>
      </c>
      <c r="R35" s="174">
        <f>'July2025-EXPENSE'!R38</f>
        <v>5177.8030768544486</v>
      </c>
      <c r="S35" s="174"/>
      <c r="T35" s="174">
        <f t="shared" si="3"/>
        <v>-812.63307685444852</v>
      </c>
      <c r="U35" s="167">
        <f>'Aug2025-COLLECTION'!K34</f>
        <v>5177</v>
      </c>
      <c r="V35" s="172">
        <f>'Aug2025-EXPENSE'!R38</f>
        <v>5581.9105235156248</v>
      </c>
      <c r="W35" s="172"/>
      <c r="X35" s="172">
        <f t="shared" si="4"/>
        <v>-404.91052351562485</v>
      </c>
      <c r="Y35" s="41">
        <f>'Sep2025-COLLECTION'!K34</f>
        <v>5581.91</v>
      </c>
      <c r="Z35" s="174">
        <f>'Sep2025-EXPENSE'!R38</f>
        <v>4841.0443090400631</v>
      </c>
      <c r="AA35" s="174"/>
      <c r="AB35" s="174">
        <f t="shared" si="5"/>
        <v>740.86569095993673</v>
      </c>
      <c r="AC35" s="41">
        <f>'Oct2025-COLLECTION'!K34</f>
        <v>4841.04</v>
      </c>
      <c r="AD35" s="174">
        <f>'Oct2025-EXPENSE'!R38</f>
        <v>6315.5233246658063</v>
      </c>
      <c r="AE35" s="174"/>
      <c r="AF35" s="174">
        <f t="shared" si="6"/>
        <v>-1474.4833246658063</v>
      </c>
      <c r="AG35" s="41">
        <f>'Nov2025-COLLECTION'!K34</f>
        <v>6114</v>
      </c>
      <c r="AH35" s="174">
        <f>'Nov2025-EXPENSE'!R38</f>
        <v>7163.7523358424914</v>
      </c>
      <c r="AI35" s="174"/>
      <c r="AJ35" s="174">
        <f t="shared" si="7"/>
        <v>-1049.7523358424914</v>
      </c>
      <c r="AK35" s="41">
        <f>'Dec2025-COLLECTION'!K34</f>
        <v>7245.47</v>
      </c>
      <c r="AL35" s="174">
        <f>'Dec2025-EXPENSE'!R38</f>
        <v>5209.3913405531712</v>
      </c>
      <c r="AM35" s="174"/>
      <c r="AN35" s="174">
        <f t="shared" si="8"/>
        <v>2036.0786594468291</v>
      </c>
      <c r="AO35" s="7">
        <f>'Jan2026-COLLECTION'!K34</f>
        <v>5192.32</v>
      </c>
      <c r="AP35" s="10">
        <f>'Jan2026-EXPENSE'!R38</f>
        <v>4877.1101484443361</v>
      </c>
      <c r="AQ35" s="10"/>
      <c r="AR35" s="174">
        <f t="shared" si="9"/>
        <v>315.20985155566359</v>
      </c>
      <c r="AS35" s="7">
        <f>'Feb2026-COLLECTION'!K34</f>
        <v>4894</v>
      </c>
      <c r="AT35" s="10">
        <f>'Feb2026-EXPENSE'!R38</f>
        <v>4572.7891027598325</v>
      </c>
      <c r="AU35" s="10"/>
      <c r="AV35" s="174">
        <f t="shared" si="10"/>
        <v>321.21089724016747</v>
      </c>
      <c r="AW35" s="7">
        <f>'Mar2026-COLLECTION'!K34</f>
        <v>4573</v>
      </c>
      <c r="AX35" s="10">
        <f>'Mar2026-EXPENSE'!R38</f>
        <v>4890.0163989143866</v>
      </c>
      <c r="AY35" s="10"/>
      <c r="AZ35" s="174">
        <f t="shared" si="11"/>
        <v>-317.01639891438663</v>
      </c>
      <c r="BA35" s="172">
        <f t="shared" ref="BA35:BC35" si="46">SUM(E35,I35,M35,Q35,U35,Y35,AC35,AG35,AK35,AO35,AS35,AW35)</f>
        <v>61873.909999999996</v>
      </c>
      <c r="BB35" s="172">
        <f t="shared" si="46"/>
        <v>62358.885570159611</v>
      </c>
      <c r="BC35" s="172">
        <f t="shared" si="46"/>
        <v>500</v>
      </c>
      <c r="BD35" s="233">
        <f t="shared" si="13"/>
        <v>-984.97557015961502</v>
      </c>
      <c r="BE35" s="236">
        <f t="shared" si="15"/>
        <v>-984.97557015961502</v>
      </c>
    </row>
    <row r="36" spans="1:57" ht="15.75" customHeight="1">
      <c r="A36" s="169" t="s">
        <v>101</v>
      </c>
      <c r="B36" s="13"/>
      <c r="C36" s="13" t="s">
        <v>340</v>
      </c>
      <c r="D36" s="230">
        <v>-47620.72</v>
      </c>
      <c r="E36" s="171">
        <f>'Apr2025-COLLECTION'!K35</f>
        <v>0</v>
      </c>
      <c r="F36" s="172">
        <f>'Apr2025-EXPENSE'!R39</f>
        <v>8208.6854521879468</v>
      </c>
      <c r="G36" s="172"/>
      <c r="H36" s="172">
        <f t="shared" si="0"/>
        <v>-8208.6854521879468</v>
      </c>
      <c r="I36" s="173">
        <f>'May2025-COLLECTION'!K35</f>
        <v>21099</v>
      </c>
      <c r="J36" s="174">
        <f>'May2025-EXPENSE'!R39</f>
        <v>7121.8856052159854</v>
      </c>
      <c r="K36" s="174">
        <v>500</v>
      </c>
      <c r="L36" s="174">
        <f t="shared" si="1"/>
        <v>13477.114394784014</v>
      </c>
      <c r="M36" s="172">
        <f>'June2025-COLLECTION'!K35</f>
        <v>77099</v>
      </c>
      <c r="N36" s="172">
        <f>'June2025-EXPENSE'!R39</f>
        <v>7058.387070069839</v>
      </c>
      <c r="O36" s="172"/>
      <c r="P36" s="172">
        <f t="shared" si="2"/>
        <v>70040.612929930154</v>
      </c>
      <c r="Q36" s="41">
        <f>'July2025-COLLECTION'!K35</f>
        <v>0</v>
      </c>
      <c r="R36" s="174">
        <f>'July2025-EXPENSE'!R39</f>
        <v>8300.9970488782637</v>
      </c>
      <c r="S36" s="174">
        <v>500</v>
      </c>
      <c r="T36" s="174">
        <f t="shared" si="3"/>
        <v>-8800.9970488782637</v>
      </c>
      <c r="U36" s="167">
        <f>'Aug2025-COLLECTION'!K35</f>
        <v>15859</v>
      </c>
      <c r="V36" s="172">
        <f>'Aug2025-EXPENSE'!R39</f>
        <v>9210.8168098141978</v>
      </c>
      <c r="W36" s="172"/>
      <c r="X36" s="172">
        <f t="shared" si="4"/>
        <v>6648.1831901858022</v>
      </c>
      <c r="Y36" s="41">
        <f>'Sep2025-COLLECTION'!K35</f>
        <v>0</v>
      </c>
      <c r="Z36" s="174">
        <f>'Sep2025-EXPENSE'!R39</f>
        <v>7566.3495394434731</v>
      </c>
      <c r="AA36" s="174"/>
      <c r="AB36" s="174">
        <f t="shared" si="5"/>
        <v>-7566.3495394434731</v>
      </c>
      <c r="AC36" s="41">
        <f>'Oct2025-COLLECTION'!K35</f>
        <v>0</v>
      </c>
      <c r="AD36" s="174">
        <f>'Oct2025-EXPENSE'!R39</f>
        <v>9405.9914352738124</v>
      </c>
      <c r="AE36" s="174"/>
      <c r="AF36" s="174">
        <f t="shared" si="6"/>
        <v>-9405.9914352738124</v>
      </c>
      <c r="AG36" s="41">
        <f>'Nov2025-COLLECTION'!K35</f>
        <v>0</v>
      </c>
      <c r="AH36" s="174">
        <f>'Nov2025-EXPENSE'!R39</f>
        <v>8947.7271636671503</v>
      </c>
      <c r="AI36" s="174"/>
      <c r="AJ36" s="174">
        <f t="shared" si="7"/>
        <v>-8947.7271636671503</v>
      </c>
      <c r="AK36" s="41">
        <f>'Dec2025-COLLECTION'!K35</f>
        <v>0</v>
      </c>
      <c r="AL36" s="174">
        <f>'Dec2025-EXPENSE'!R39</f>
        <v>5831.9204065967551</v>
      </c>
      <c r="AM36" s="174"/>
      <c r="AN36" s="174">
        <f t="shared" si="8"/>
        <v>-5831.9204065967551</v>
      </c>
      <c r="AO36" s="7">
        <f>'Jan2026-COLLECTION'!K35</f>
        <v>6231</v>
      </c>
      <c r="AP36" s="10">
        <f>'Jan2026-EXPENSE'!R39</f>
        <v>5791.7878256489503</v>
      </c>
      <c r="AQ36" s="10"/>
      <c r="AR36" s="174">
        <f t="shared" si="9"/>
        <v>439.21217435104973</v>
      </c>
      <c r="AS36" s="7">
        <f>'Feb2026-COLLECTION'!K35</f>
        <v>5809.25</v>
      </c>
      <c r="AT36" s="10">
        <f>'Feb2026-EXPENSE'!R39</f>
        <v>5653.4330499110101</v>
      </c>
      <c r="AU36" s="10"/>
      <c r="AV36" s="174">
        <f t="shared" si="10"/>
        <v>155.81695008898987</v>
      </c>
      <c r="AW36" s="7">
        <f>'Mar2026-COLLECTION'!K35</f>
        <v>5814</v>
      </c>
      <c r="AX36" s="10">
        <f>'Mar2026-EXPENSE'!R39</f>
        <v>6948.1808810820075</v>
      </c>
      <c r="AY36" s="10"/>
      <c r="AZ36" s="174">
        <f t="shared" si="11"/>
        <v>-1134.1808810820075</v>
      </c>
      <c r="BA36" s="172">
        <f t="shared" ref="BA36:BC36" si="47">SUM(E36,I36,M36,Q36,U36,Y36,AC36,AG36,AK36,AO36,AS36,AW36)</f>
        <v>131911.25</v>
      </c>
      <c r="BB36" s="172">
        <f t="shared" si="47"/>
        <v>90046.162287789382</v>
      </c>
      <c r="BC36" s="172">
        <f t="shared" si="47"/>
        <v>1000</v>
      </c>
      <c r="BD36" s="233">
        <f t="shared" si="13"/>
        <v>40865.087712210618</v>
      </c>
      <c r="BE36" s="236">
        <f t="shared" si="15"/>
        <v>-6755.6322877893836</v>
      </c>
    </row>
    <row r="37" spans="1:57" ht="15.75" customHeight="1">
      <c r="A37" s="169" t="s">
        <v>103</v>
      </c>
      <c r="B37" s="13" t="s">
        <v>341</v>
      </c>
      <c r="C37" s="13" t="s">
        <v>342</v>
      </c>
      <c r="D37" s="230">
        <v>-35044.410000000003</v>
      </c>
      <c r="E37" s="171">
        <f>'Apr2025-COLLECTION'!K36</f>
        <v>5088</v>
      </c>
      <c r="F37" s="172">
        <f>'Apr2025-EXPENSE'!R40</f>
        <v>5597.3407650340832</v>
      </c>
      <c r="G37" s="172"/>
      <c r="H37" s="172">
        <f t="shared" si="0"/>
        <v>-509.34076503408323</v>
      </c>
      <c r="I37" s="173">
        <f>'May2025-COLLECTION'!K36</f>
        <v>5553</v>
      </c>
      <c r="J37" s="174">
        <f>'May2025-EXPENSE'!R40</f>
        <v>4294.7358862969986</v>
      </c>
      <c r="K37" s="174"/>
      <c r="L37" s="174">
        <f t="shared" si="1"/>
        <v>1258.2641137030014</v>
      </c>
      <c r="M37" s="172">
        <f>'June2025-COLLECTION'!K36</f>
        <v>44238.54</v>
      </c>
      <c r="N37" s="172">
        <f>'June2025-EXPENSE'!R40</f>
        <v>4516.2540293633547</v>
      </c>
      <c r="O37" s="172"/>
      <c r="P37" s="172">
        <f t="shared" si="2"/>
        <v>39722.285970636643</v>
      </c>
      <c r="Q37" s="41">
        <f>'July2025-COLLECTION'!K36</f>
        <v>4573</v>
      </c>
      <c r="R37" s="174">
        <f>'July2025-EXPENSE'!R40</f>
        <v>5457.3476344639521</v>
      </c>
      <c r="S37" s="174"/>
      <c r="T37" s="174">
        <f t="shared" si="3"/>
        <v>-884.34763446395209</v>
      </c>
      <c r="U37" s="167">
        <f>'Aug2025-COLLECTION'!K36</f>
        <v>5457</v>
      </c>
      <c r="V37" s="172">
        <f>'Aug2025-EXPENSE'!R40</f>
        <v>5849.8145735826502</v>
      </c>
      <c r="W37" s="172"/>
      <c r="X37" s="172">
        <f t="shared" si="4"/>
        <v>-392.81457358265016</v>
      </c>
      <c r="Y37" s="41">
        <f>'Sep2025-COLLECTION'!K36</f>
        <v>5457</v>
      </c>
      <c r="Z37" s="174">
        <f>'Sep2025-EXPENSE'!R40</f>
        <v>4996.7193908584168</v>
      </c>
      <c r="AA37" s="174"/>
      <c r="AB37" s="174">
        <f t="shared" si="5"/>
        <v>460.28060914158323</v>
      </c>
      <c r="AC37" s="41">
        <f>'Oct2025-COLLECTION'!K36</f>
        <v>4997</v>
      </c>
      <c r="AD37" s="174">
        <f>'Oct2025-EXPENSE'!R40</f>
        <v>6407.5139789387858</v>
      </c>
      <c r="AE37" s="174"/>
      <c r="AF37" s="174">
        <f t="shared" si="6"/>
        <v>-1410.5139789387858</v>
      </c>
      <c r="AG37" s="41">
        <f>'Nov2025-COLLECTION'!K36</f>
        <v>6231</v>
      </c>
      <c r="AH37" s="174">
        <f>'Nov2025-EXPENSE'!R40</f>
        <v>6763.1849042773583</v>
      </c>
      <c r="AI37" s="174"/>
      <c r="AJ37" s="174">
        <f t="shared" si="7"/>
        <v>-532.18490427735833</v>
      </c>
      <c r="AK37" s="41">
        <f>'Dec2025-COLLECTION'!K36</f>
        <v>6845</v>
      </c>
      <c r="AL37" s="174">
        <f>'Dec2025-EXPENSE'!R40</f>
        <v>5152.707166432142</v>
      </c>
      <c r="AM37" s="174"/>
      <c r="AN37" s="174">
        <f t="shared" si="8"/>
        <v>1692.292833567858</v>
      </c>
      <c r="AO37" s="7">
        <f>'Jan2026-COLLECTION'!K36</f>
        <v>5130</v>
      </c>
      <c r="AP37" s="10">
        <f>'Jan2026-EXPENSE'!R40</f>
        <v>5275.2167384867789</v>
      </c>
      <c r="AQ37" s="10"/>
      <c r="AR37" s="174">
        <f t="shared" si="9"/>
        <v>-145.21673848677892</v>
      </c>
      <c r="AS37" s="7">
        <f>'Feb2026-COLLECTION'!K36</f>
        <v>5298</v>
      </c>
      <c r="AT37" s="10">
        <f>'Feb2026-EXPENSE'!R40</f>
        <v>4829.0228645388734</v>
      </c>
      <c r="AU37" s="10"/>
      <c r="AV37" s="174">
        <f t="shared" si="10"/>
        <v>468.97713546112664</v>
      </c>
      <c r="AW37" s="7">
        <f>'Mar2026-COLLECTION'!K36</f>
        <v>0</v>
      </c>
      <c r="AX37" s="10">
        <f>'Mar2026-EXPENSE'!R40</f>
        <v>5092.1723300175017</v>
      </c>
      <c r="AY37" s="10"/>
      <c r="AZ37" s="174">
        <f t="shared" si="11"/>
        <v>-5092.1723300175017</v>
      </c>
      <c r="BA37" s="172">
        <f t="shared" ref="BA37:BC37" si="48">SUM(E37,I37,M37,Q37,U37,Y37,AC37,AG37,AK37,AO37,AS37,AW37)</f>
        <v>98867.540000000008</v>
      </c>
      <c r="BB37" s="172">
        <f t="shared" si="48"/>
        <v>64232.030262290893</v>
      </c>
      <c r="BC37" s="172">
        <f t="shared" si="48"/>
        <v>0</v>
      </c>
      <c r="BD37" s="233">
        <f t="shared" si="13"/>
        <v>34635.509737709115</v>
      </c>
      <c r="BE37" s="236">
        <f t="shared" si="15"/>
        <v>-408.90026229088835</v>
      </c>
    </row>
    <row r="38" spans="1:57" ht="15.75" customHeight="1">
      <c r="A38" s="169" t="s">
        <v>105</v>
      </c>
      <c r="B38" s="13"/>
      <c r="C38" s="13" t="s">
        <v>106</v>
      </c>
      <c r="D38" s="230"/>
      <c r="E38" s="171">
        <f>'Apr2025-COLLECTION'!K37</f>
        <v>4768</v>
      </c>
      <c r="F38" s="172">
        <f>'Apr2025-EXPENSE'!R41</f>
        <v>6855.8488164196642</v>
      </c>
      <c r="G38" s="172"/>
      <c r="H38" s="172">
        <f t="shared" si="0"/>
        <v>-2087.8488164196642</v>
      </c>
      <c r="I38" s="173">
        <f>'May2025-COLLECTION'!K37</f>
        <v>6853</v>
      </c>
      <c r="J38" s="174">
        <f>'May2025-EXPENSE'!R41</f>
        <v>4913.9280862591713</v>
      </c>
      <c r="K38" s="174"/>
      <c r="L38" s="174">
        <f t="shared" si="1"/>
        <v>1939.0719137408287</v>
      </c>
      <c r="M38" s="172">
        <f>'June2025-COLLECTION'!K37</f>
        <v>4897</v>
      </c>
      <c r="N38" s="172">
        <f>'June2025-EXPENSE'!R41</f>
        <v>4515.5349136041968</v>
      </c>
      <c r="O38" s="172"/>
      <c r="P38" s="172">
        <f t="shared" si="2"/>
        <v>381.46508639580316</v>
      </c>
      <c r="Q38" s="41">
        <f>'July2025-COLLECTION'!K37</f>
        <v>4516</v>
      </c>
      <c r="R38" s="174">
        <f>'July2025-EXPENSE'!R41</f>
        <v>5289.848310488298</v>
      </c>
      <c r="S38" s="174"/>
      <c r="T38" s="174">
        <f t="shared" si="3"/>
        <v>-773.84831048829801</v>
      </c>
      <c r="U38" s="167">
        <f>'Aug2025-COLLECTION'!K37</f>
        <v>5290</v>
      </c>
      <c r="V38" s="172">
        <f>'Aug2025-EXPENSE'!R41</f>
        <v>6420.737984347099</v>
      </c>
      <c r="W38" s="172"/>
      <c r="X38" s="172">
        <f t="shared" si="4"/>
        <v>-1130.737984347099</v>
      </c>
      <c r="Y38" s="41">
        <f>'Sep2025-COLLECTION'!K37</f>
        <v>5290</v>
      </c>
      <c r="Z38" s="174">
        <f>'Sep2025-EXPENSE'!R41</f>
        <v>5637.2005888428539</v>
      </c>
      <c r="AA38" s="174"/>
      <c r="AB38" s="174">
        <f t="shared" si="5"/>
        <v>-347.2005888428539</v>
      </c>
      <c r="AC38" s="41">
        <f>'Oct2025-COLLECTION'!K37</f>
        <v>0</v>
      </c>
      <c r="AD38" s="174">
        <f>'Oct2025-EXPENSE'!R41</f>
        <v>7696.3095218890994</v>
      </c>
      <c r="AE38" s="174"/>
      <c r="AF38" s="174">
        <f t="shared" si="6"/>
        <v>-7696.3095218890994</v>
      </c>
      <c r="AG38" s="41">
        <f>'Nov2025-COLLECTION'!K37</f>
        <v>11751</v>
      </c>
      <c r="AH38" s="174">
        <f>'Nov2025-EXPENSE'!R41</f>
        <v>7688.1354435223348</v>
      </c>
      <c r="AI38" s="174"/>
      <c r="AJ38" s="174">
        <f t="shared" si="7"/>
        <v>4062.8645564776652</v>
      </c>
      <c r="AK38" s="41">
        <f>'Dec2025-COLLECTION'!K37</f>
        <v>0</v>
      </c>
      <c r="AL38" s="174">
        <f>'Dec2025-EXPENSE'!R41</f>
        <v>6321.071280642067</v>
      </c>
      <c r="AM38" s="174"/>
      <c r="AN38" s="174">
        <f t="shared" si="8"/>
        <v>-6321.071280642067</v>
      </c>
      <c r="AO38" s="7">
        <f>'Jan2026-COLLECTION'!K37</f>
        <v>0</v>
      </c>
      <c r="AP38" s="10">
        <f>'Jan2026-EXPENSE'!R41</f>
        <v>5842.1085868849495</v>
      </c>
      <c r="AQ38" s="10"/>
      <c r="AR38" s="174">
        <f t="shared" si="9"/>
        <v>-5842.1085868849495</v>
      </c>
      <c r="AS38" s="7">
        <f>'Feb2026-COLLECTION'!K37</f>
        <v>0</v>
      </c>
      <c r="AT38" s="10">
        <f>'Feb2026-EXPENSE'!R41</f>
        <v>5361.1962518421724</v>
      </c>
      <c r="AU38" s="10"/>
      <c r="AV38" s="174">
        <f t="shared" si="10"/>
        <v>-5361.1962518421724</v>
      </c>
      <c r="AW38" s="7">
        <f>'Mar2026-COLLECTION'!K37</f>
        <v>5361</v>
      </c>
      <c r="AX38" s="10">
        <f>'Mar2026-EXPENSE'!R41</f>
        <v>5779.8283768548517</v>
      </c>
      <c r="AY38" s="10"/>
      <c r="AZ38" s="174">
        <f t="shared" si="11"/>
        <v>-418.82837685485174</v>
      </c>
      <c r="BA38" s="172">
        <f t="shared" ref="BA38:BC38" si="49">SUM(E38,I38,M38,Q38,U38,Y38,AC38,AG38,AK38,AO38,AS38,AW38)</f>
        <v>48726</v>
      </c>
      <c r="BB38" s="172">
        <f t="shared" si="49"/>
        <v>72321.748161596755</v>
      </c>
      <c r="BC38" s="172">
        <f t="shared" si="49"/>
        <v>0</v>
      </c>
      <c r="BD38" s="233">
        <f t="shared" si="13"/>
        <v>-23595.748161596755</v>
      </c>
      <c r="BE38" s="236">
        <f t="shared" si="15"/>
        <v>-23595.748161596755</v>
      </c>
    </row>
    <row r="39" spans="1:57" ht="15.75" customHeight="1">
      <c r="A39" s="169" t="s">
        <v>107</v>
      </c>
      <c r="B39" s="13"/>
      <c r="C39" s="13" t="s">
        <v>108</v>
      </c>
      <c r="D39" s="230"/>
      <c r="E39" s="171">
        <f>'Apr2025-COLLECTION'!K38</f>
        <v>0</v>
      </c>
      <c r="F39" s="172">
        <f>'Apr2025-EXPENSE'!R42</f>
        <v>6332.9111607591467</v>
      </c>
      <c r="G39" s="172"/>
      <c r="H39" s="172">
        <f t="shared" si="0"/>
        <v>-6332.9111607591467</v>
      </c>
      <c r="I39" s="173">
        <f>'May2025-COLLECTION'!K38</f>
        <v>6314</v>
      </c>
      <c r="J39" s="174">
        <f>'May2025-EXPENSE'!R42</f>
        <v>4812.3075739551878</v>
      </c>
      <c r="K39" s="174"/>
      <c r="L39" s="174">
        <f t="shared" si="1"/>
        <v>1501.6924260448122</v>
      </c>
      <c r="M39" s="172">
        <f>'June2025-COLLECTION'!K38</f>
        <v>0</v>
      </c>
      <c r="N39" s="172">
        <f>'June2025-EXPENSE'!R42</f>
        <v>4999.9159555647966</v>
      </c>
      <c r="O39" s="172"/>
      <c r="P39" s="172">
        <f t="shared" si="2"/>
        <v>-4999.9159555647966</v>
      </c>
      <c r="Q39" s="41">
        <f>'July2025-COLLECTION'!K38</f>
        <v>0</v>
      </c>
      <c r="R39" s="174">
        <f>'July2025-EXPENSE'!R42</f>
        <v>5848.8570857770119</v>
      </c>
      <c r="S39" s="174"/>
      <c r="T39" s="174">
        <f t="shared" si="3"/>
        <v>-5848.8570857770119</v>
      </c>
      <c r="U39" s="167">
        <f>'Aug2025-COLLECTION'!K38</f>
        <v>5000</v>
      </c>
      <c r="V39" s="172">
        <f>'Aug2025-EXPENSE'!R42</f>
        <v>6298.0402341385288</v>
      </c>
      <c r="W39" s="172"/>
      <c r="X39" s="172">
        <f t="shared" si="4"/>
        <v>-1298.0402341385288</v>
      </c>
      <c r="Y39" s="41">
        <f>'Sep2025-COLLECTION'!K38</f>
        <v>0</v>
      </c>
      <c r="Z39" s="174">
        <f>'Sep2025-EXPENSE'!R42</f>
        <v>4935.0527656941658</v>
      </c>
      <c r="AA39" s="174"/>
      <c r="AB39" s="174">
        <f t="shared" si="5"/>
        <v>-4935.0527656941658</v>
      </c>
      <c r="AC39" s="41">
        <f>'Oct2025-COLLECTION'!K38</f>
        <v>4935</v>
      </c>
      <c r="AD39" s="174">
        <f>'Oct2025-EXPENSE'!R42</f>
        <v>6242.6294594693627</v>
      </c>
      <c r="AE39" s="174"/>
      <c r="AF39" s="174">
        <f t="shared" si="6"/>
        <v>-1307.6294594693627</v>
      </c>
      <c r="AG39" s="41">
        <f>'Nov2025-COLLECTION'!K38</f>
        <v>0</v>
      </c>
      <c r="AH39" s="174">
        <f>'Nov2025-EXPENSE'!R42</f>
        <v>6546.452221363239</v>
      </c>
      <c r="AI39" s="174"/>
      <c r="AJ39" s="174">
        <f t="shared" si="7"/>
        <v>-6546.452221363239</v>
      </c>
      <c r="AK39" s="41">
        <f>'Dec2025-COLLECTION'!K38</f>
        <v>6114</v>
      </c>
      <c r="AL39" s="174">
        <f>'Dec2025-EXPENSE'!R42</f>
        <v>5094.6957010530787</v>
      </c>
      <c r="AM39" s="174"/>
      <c r="AN39" s="174">
        <f t="shared" si="8"/>
        <v>1019.3042989469213</v>
      </c>
      <c r="AO39" s="7">
        <f>'Jan2026-COLLECTION'!K38</f>
        <v>0</v>
      </c>
      <c r="AP39" s="10">
        <f>'Jan2026-EXPENSE'!R42</f>
        <v>4874.6976523482354</v>
      </c>
      <c r="AQ39" s="10"/>
      <c r="AR39" s="174">
        <f t="shared" si="9"/>
        <v>-4874.6976523482354</v>
      </c>
      <c r="AS39" s="7">
        <f>'Feb2026-COLLECTION'!K38</f>
        <v>4892</v>
      </c>
      <c r="AT39" s="10">
        <f>'Feb2026-EXPENSE'!R42</f>
        <v>4619.1776302870703</v>
      </c>
      <c r="AU39" s="10"/>
      <c r="AV39" s="174">
        <f t="shared" si="10"/>
        <v>272.82236971292969</v>
      </c>
      <c r="AW39" s="7">
        <f>'Mar2026-COLLECTION'!K38</f>
        <v>4619</v>
      </c>
      <c r="AX39" s="10">
        <f>'Mar2026-EXPENSE'!R42</f>
        <v>5329.7917491809167</v>
      </c>
      <c r="AY39" s="10"/>
      <c r="AZ39" s="174">
        <f t="shared" si="11"/>
        <v>-710.79174918091667</v>
      </c>
      <c r="BA39" s="172">
        <f t="shared" ref="BA39:BC39" si="50">SUM(E39,I39,M39,Q39,U39,Y39,AC39,AG39,AK39,AO39,AS39,AW39)</f>
        <v>31874</v>
      </c>
      <c r="BB39" s="172">
        <f t="shared" si="50"/>
        <v>65934.529189590728</v>
      </c>
      <c r="BC39" s="172">
        <f t="shared" si="50"/>
        <v>0</v>
      </c>
      <c r="BD39" s="233">
        <f t="shared" si="13"/>
        <v>-34060.529189590728</v>
      </c>
      <c r="BE39" s="236">
        <f t="shared" si="15"/>
        <v>-34060.529189590728</v>
      </c>
    </row>
    <row r="40" spans="1:57" ht="15.75" customHeight="1">
      <c r="A40" s="169" t="s">
        <v>109</v>
      </c>
      <c r="B40" s="30"/>
      <c r="C40" s="30" t="s">
        <v>110</v>
      </c>
      <c r="D40" s="230"/>
      <c r="E40" s="171">
        <f>'Apr2025-COLLECTION'!K39</f>
        <v>0</v>
      </c>
      <c r="F40" s="172">
        <f>'Apr2025-EXPENSE'!R43</f>
        <v>5368.2079545563784</v>
      </c>
      <c r="G40" s="172"/>
      <c r="H40" s="172">
        <f t="shared" si="0"/>
        <v>-5368.2079545563784</v>
      </c>
      <c r="I40" s="173">
        <f>'May2025-COLLECTION'!K39</f>
        <v>5320</v>
      </c>
      <c r="J40" s="174">
        <f>'May2025-EXPENSE'!R43</f>
        <v>4093.0909495713313</v>
      </c>
      <c r="K40" s="174"/>
      <c r="L40" s="174">
        <f t="shared" si="1"/>
        <v>1226.9090504286687</v>
      </c>
      <c r="M40" s="172">
        <f>'June2025-COLLECTION'!K39</f>
        <v>0</v>
      </c>
      <c r="N40" s="172">
        <f>'June2025-EXPENSE'!R43</f>
        <v>4299.4508878948382</v>
      </c>
      <c r="O40" s="172"/>
      <c r="P40" s="172">
        <f t="shared" si="2"/>
        <v>-4299.4508878948382</v>
      </c>
      <c r="Q40" s="41">
        <f>'July2025-COLLECTION'!K39</f>
        <v>0</v>
      </c>
      <c r="R40" s="174">
        <f>'July2025-EXPENSE'!R43</f>
        <v>5134.9237942847149</v>
      </c>
      <c r="S40" s="174"/>
      <c r="T40" s="174">
        <f t="shared" si="3"/>
        <v>-5134.9237942847149</v>
      </c>
      <c r="U40" s="167">
        <f>'Aug2025-COLLECTION'!K39</f>
        <v>0</v>
      </c>
      <c r="V40" s="172">
        <f>'Aug2025-EXPENSE'!R43</f>
        <v>5582.266298072228</v>
      </c>
      <c r="W40" s="172"/>
      <c r="X40" s="172">
        <f t="shared" si="4"/>
        <v>-5582.266298072228</v>
      </c>
      <c r="Y40" s="41">
        <f>'Sep2025-COLLECTION'!K39</f>
        <v>15000</v>
      </c>
      <c r="Z40" s="174">
        <f>'Sep2025-EXPENSE'!R43</f>
        <v>4758.1466590818764</v>
      </c>
      <c r="AA40" s="174"/>
      <c r="AB40" s="174">
        <f t="shared" si="5"/>
        <v>10241.853340918124</v>
      </c>
      <c r="AC40" s="41">
        <f>'Oct2025-COLLECTION'!K39</f>
        <v>0</v>
      </c>
      <c r="AD40" s="174">
        <f>'Oct2025-EXPENSE'!R43</f>
        <v>6130.2071425920494</v>
      </c>
      <c r="AE40" s="174"/>
      <c r="AF40" s="174">
        <f t="shared" si="6"/>
        <v>-6130.2071425920494</v>
      </c>
      <c r="AG40" s="41">
        <f>'Nov2025-COLLECTION'!K39</f>
        <v>0</v>
      </c>
      <c r="AH40" s="174">
        <f>'Nov2025-EXPENSE'!R43</f>
        <v>6464.2843419788715</v>
      </c>
      <c r="AI40" s="174"/>
      <c r="AJ40" s="174">
        <f t="shared" si="7"/>
        <v>-6464.2843419788715</v>
      </c>
      <c r="AK40" s="41">
        <f>'Dec2025-COLLECTION'!K39</f>
        <v>0</v>
      </c>
      <c r="AL40" s="174">
        <f>'Dec2025-EXPENSE'!R43</f>
        <v>5014.8049061052343</v>
      </c>
      <c r="AM40" s="174"/>
      <c r="AN40" s="174">
        <f t="shared" si="8"/>
        <v>-5014.8049061052343</v>
      </c>
      <c r="AO40" s="7">
        <f>'Jan2026-COLLECTION'!K39</f>
        <v>0</v>
      </c>
      <c r="AP40" s="10">
        <f>'Jan2026-EXPENSE'!R43</f>
        <v>4793.3779762473359</v>
      </c>
      <c r="AQ40" s="10"/>
      <c r="AR40" s="174">
        <f t="shared" si="9"/>
        <v>-4793.3779762473359</v>
      </c>
      <c r="AS40" s="7">
        <f>'Feb2026-COLLECTION'!K39</f>
        <v>0</v>
      </c>
      <c r="AT40" s="10">
        <f>'Feb2026-EXPENSE'!R43</f>
        <v>4559.8319660731195</v>
      </c>
      <c r="AU40" s="10"/>
      <c r="AV40" s="174">
        <f t="shared" si="10"/>
        <v>-4559.8319660731195</v>
      </c>
      <c r="AW40" s="7">
        <f>'Mar2026-COLLECTION'!K39</f>
        <v>0</v>
      </c>
      <c r="AX40" s="10">
        <f>'Mar2026-EXPENSE'!R43</f>
        <v>4903.4622106896077</v>
      </c>
      <c r="AY40" s="10"/>
      <c r="AZ40" s="174">
        <f t="shared" si="11"/>
        <v>-4903.4622106896077</v>
      </c>
      <c r="BA40" s="172">
        <f t="shared" ref="BA40:BC40" si="51">SUM(E40,I40,M40,Q40,U40,Y40,AC40,AG40,AK40,AO40,AS40,AW40)</f>
        <v>20320</v>
      </c>
      <c r="BB40" s="172">
        <f t="shared" si="51"/>
        <v>61102.055087147586</v>
      </c>
      <c r="BC40" s="172">
        <f t="shared" si="51"/>
        <v>0</v>
      </c>
      <c r="BD40" s="233">
        <f t="shared" si="13"/>
        <v>-40782.055087147586</v>
      </c>
      <c r="BE40" s="236">
        <f t="shared" si="15"/>
        <v>-40782.055087147586</v>
      </c>
    </row>
    <row r="41" spans="1:57" ht="15.75" customHeight="1">
      <c r="A41" s="169" t="s">
        <v>111</v>
      </c>
      <c r="B41" s="13"/>
      <c r="C41" s="13" t="s">
        <v>112</v>
      </c>
      <c r="D41" s="230"/>
      <c r="E41" s="171">
        <f>'Apr2025-COLLECTION'!K40</f>
        <v>4677</v>
      </c>
      <c r="F41" s="172">
        <f>'Apr2025-EXPENSE'!R44</f>
        <v>5447.3739049854094</v>
      </c>
      <c r="G41" s="172"/>
      <c r="H41" s="172">
        <f t="shared" si="0"/>
        <v>-770.37390498540935</v>
      </c>
      <c r="I41" s="173">
        <f>'May2025-COLLECTION'!K40</f>
        <v>5402</v>
      </c>
      <c r="J41" s="174">
        <f>'May2025-EXPENSE'!R44</f>
        <v>4077.49067006412</v>
      </c>
      <c r="K41" s="174"/>
      <c r="L41" s="174">
        <f t="shared" si="1"/>
        <v>1324.50932993588</v>
      </c>
      <c r="M41" s="172">
        <f>'June2025-COLLECTION'!K40</f>
        <v>4060</v>
      </c>
      <c r="N41" s="172">
        <f>'June2025-EXPENSE'!R44</f>
        <v>4377.7494717899108</v>
      </c>
      <c r="O41" s="172"/>
      <c r="P41" s="172">
        <f t="shared" si="2"/>
        <v>-317.74947178991079</v>
      </c>
      <c r="Q41" s="41">
        <f>'July2025-COLLECTION'!K40</f>
        <v>4378</v>
      </c>
      <c r="R41" s="174">
        <f>'July2025-EXPENSE'!R44</f>
        <v>5167.9286679346051</v>
      </c>
      <c r="S41" s="174"/>
      <c r="T41" s="174">
        <f t="shared" si="3"/>
        <v>-789.92866793460507</v>
      </c>
      <c r="U41" s="167">
        <f>'Aug2025-COLLECTION'!K40</f>
        <v>5168</v>
      </c>
      <c r="V41" s="172">
        <f>'Aug2025-EXPENSE'!R44</f>
        <v>5581.9105235156248</v>
      </c>
      <c r="W41" s="172"/>
      <c r="X41" s="172">
        <f t="shared" si="4"/>
        <v>-413.91052351562485</v>
      </c>
      <c r="Y41" s="41">
        <f>'Sep2025-COLLECTION'!K40</f>
        <v>5168</v>
      </c>
      <c r="Z41" s="174">
        <f>'Sep2025-EXPENSE'!R44</f>
        <v>4740.6136485156248</v>
      </c>
      <c r="AA41" s="174"/>
      <c r="AB41" s="174">
        <f t="shared" si="5"/>
        <v>427.38635148437515</v>
      </c>
      <c r="AC41" s="41">
        <f>'Oct2025-COLLECTION'!K40</f>
        <v>4741</v>
      </c>
      <c r="AD41" s="174">
        <f>'Oct2025-EXPENSE'!R44</f>
        <v>6113.6306951129754</v>
      </c>
      <c r="AE41" s="174"/>
      <c r="AF41" s="174">
        <f t="shared" si="6"/>
        <v>-1372.6306951129754</v>
      </c>
      <c r="AG41" s="41">
        <f>'Nov2025-COLLECTION'!K40</f>
        <v>6114</v>
      </c>
      <c r="AH41" s="174">
        <f>'Nov2025-EXPENSE'!R44</f>
        <v>6464.1390835002903</v>
      </c>
      <c r="AI41" s="174"/>
      <c r="AJ41" s="174">
        <f t="shared" si="7"/>
        <v>-350.13908350029033</v>
      </c>
      <c r="AK41" s="41">
        <f>'Dec2025-COLLECTION'!K40</f>
        <v>6546</v>
      </c>
      <c r="AL41" s="174">
        <f>'Dec2025-EXPENSE'!R44</f>
        <v>4817.2001653546622</v>
      </c>
      <c r="AM41" s="174"/>
      <c r="AN41" s="174">
        <f t="shared" si="8"/>
        <v>1728.7998346453378</v>
      </c>
      <c r="AO41" s="7">
        <f>'Jan2026-COLLECTION'!K40</f>
        <v>4800.13</v>
      </c>
      <c r="AP41" s="10">
        <f>'Jan2026-EXPENSE'!R44</f>
        <v>5254.9812677429472</v>
      </c>
      <c r="AQ41" s="10"/>
      <c r="AR41" s="174">
        <f t="shared" si="9"/>
        <v>-454.85126774294713</v>
      </c>
      <c r="AS41" s="7">
        <f>'Feb2026-COLLECTION'!K40</f>
        <v>5272</v>
      </c>
      <c r="AT41" s="10">
        <f>'Feb2026-EXPENSE'!R44</f>
        <v>4875.2047166500915</v>
      </c>
      <c r="AU41" s="10"/>
      <c r="AV41" s="174">
        <f t="shared" si="10"/>
        <v>396.79528334990846</v>
      </c>
      <c r="AW41" s="7">
        <f>'Mar2026-COLLECTION'!K40</f>
        <v>4875</v>
      </c>
      <c r="AX41" s="10">
        <f>'Mar2026-EXPENSE'!R44</f>
        <v>4936.2806065357072</v>
      </c>
      <c r="AY41" s="10"/>
      <c r="AZ41" s="174">
        <f t="shared" si="11"/>
        <v>-61.280606535707193</v>
      </c>
      <c r="BA41" s="172">
        <f t="shared" ref="BA41:BC41" si="52">SUM(E41,I41,M41,Q41,U41,Y41,AC41,AG41,AK41,AO41,AS41,AW41)</f>
        <v>61201.13</v>
      </c>
      <c r="BB41" s="172">
        <f t="shared" si="52"/>
        <v>61854.503421701971</v>
      </c>
      <c r="BC41" s="172">
        <f t="shared" si="52"/>
        <v>0</v>
      </c>
      <c r="BD41" s="233">
        <f t="shared" si="13"/>
        <v>-653.37342170197371</v>
      </c>
      <c r="BE41" s="236">
        <f t="shared" si="15"/>
        <v>-653.37342170197371</v>
      </c>
    </row>
    <row r="42" spans="1:57" ht="15.75" customHeight="1">
      <c r="A42" s="169" t="s">
        <v>113</v>
      </c>
      <c r="B42" s="13"/>
      <c r="C42" s="13" t="s">
        <v>114</v>
      </c>
      <c r="D42" s="230"/>
      <c r="E42" s="171">
        <f>'Apr2025-COLLECTION'!K41</f>
        <v>5994</v>
      </c>
      <c r="F42" s="172">
        <f>'Apr2025-EXPENSE'!R45</f>
        <v>5475.7172699538287</v>
      </c>
      <c r="G42" s="172"/>
      <c r="H42" s="172">
        <f t="shared" si="0"/>
        <v>518.28273004617131</v>
      </c>
      <c r="I42" s="173">
        <f>'May2025-COLLECTION'!K41</f>
        <v>5431</v>
      </c>
      <c r="J42" s="174">
        <f>'May2025-EXPENSE'!R45</f>
        <v>6855.9494773741153</v>
      </c>
      <c r="K42" s="174"/>
      <c r="L42" s="174">
        <f t="shared" si="1"/>
        <v>-1424.9494773741153</v>
      </c>
      <c r="M42" s="172">
        <f>'June2025-COLLECTION'!K41</f>
        <v>4838</v>
      </c>
      <c r="N42" s="172">
        <f>'June2025-EXPENSE'!R45</f>
        <v>5922.8610357759062</v>
      </c>
      <c r="O42" s="172"/>
      <c r="P42" s="172">
        <f t="shared" si="2"/>
        <v>-1084.8610357759062</v>
      </c>
      <c r="Q42" s="41">
        <f>'July2025-COLLECTION'!K41</f>
        <v>5922.86</v>
      </c>
      <c r="R42" s="174">
        <f>'July2025-EXPENSE'!R45</f>
        <v>6830.0306588579697</v>
      </c>
      <c r="S42" s="174"/>
      <c r="T42" s="174">
        <f t="shared" si="3"/>
        <v>-907.17065885797001</v>
      </c>
      <c r="U42" s="167">
        <f>'Aug2025-COLLECTION'!K41</f>
        <v>6830.03</v>
      </c>
      <c r="V42" s="172">
        <f>'Aug2025-EXPENSE'!R45</f>
        <v>6981.2607982756272</v>
      </c>
      <c r="W42" s="172"/>
      <c r="X42" s="172">
        <f t="shared" si="4"/>
        <v>-151.23079827562742</v>
      </c>
      <c r="Y42" s="41">
        <f>'Sep2025-COLLECTION'!K41</f>
        <v>6981.26</v>
      </c>
      <c r="Z42" s="174">
        <f>'Sep2025-EXPENSE'!R45</f>
        <v>5862.4505245895034</v>
      </c>
      <c r="AA42" s="174"/>
      <c r="AB42" s="174">
        <f t="shared" si="5"/>
        <v>1118.8094754104968</v>
      </c>
      <c r="AC42" s="41">
        <f>'Oct2025-COLLECTION'!K41</f>
        <v>5862.45</v>
      </c>
      <c r="AD42" s="174">
        <f>'Oct2025-EXPENSE'!R45</f>
        <v>7718.7833593366904</v>
      </c>
      <c r="AE42" s="174"/>
      <c r="AF42" s="174">
        <f t="shared" si="6"/>
        <v>-1856.3333593366906</v>
      </c>
      <c r="AG42" s="41">
        <f>'Nov2025-COLLECTION'!K41</f>
        <v>6114</v>
      </c>
      <c r="AH42" s="174">
        <f>'Nov2025-EXPENSE'!R45</f>
        <v>7866.1739187706062</v>
      </c>
      <c r="AI42" s="174"/>
      <c r="AJ42" s="174">
        <f t="shared" si="7"/>
        <v>-1752.1739187706062</v>
      </c>
      <c r="AK42" s="41">
        <f>'Dec2025-COLLECTION'!K41</f>
        <v>7947.89</v>
      </c>
      <c r="AL42" s="174">
        <f>'Dec2025-EXPENSE'!R45</f>
        <v>6148.6033720681189</v>
      </c>
      <c r="AM42" s="174"/>
      <c r="AN42" s="174">
        <f t="shared" si="8"/>
        <v>1799.2866279318814</v>
      </c>
      <c r="AO42" s="7">
        <f>'Jan2026-COLLECTION'!K41</f>
        <v>6131.54</v>
      </c>
      <c r="AP42" s="10">
        <f>'Jan2026-EXPENSE'!R45</f>
        <v>5726.086082324744</v>
      </c>
      <c r="AQ42" s="10"/>
      <c r="AR42" s="174">
        <f t="shared" si="9"/>
        <v>405.45391767525598</v>
      </c>
      <c r="AS42" s="7">
        <f>'Feb2026-COLLECTION'!K41</f>
        <v>0</v>
      </c>
      <c r="AT42" s="10">
        <f>'Feb2026-EXPENSE'!R45</f>
        <v>5558.9162231149858</v>
      </c>
      <c r="AU42" s="10"/>
      <c r="AV42" s="174">
        <f t="shared" si="10"/>
        <v>-5558.9162231149858</v>
      </c>
      <c r="AW42" s="7">
        <f>'Mar2026-COLLECTION'!K41</f>
        <v>11302</v>
      </c>
      <c r="AX42" s="10">
        <f>'Mar2026-EXPENSE'!R45</f>
        <v>5436.8717172987144</v>
      </c>
      <c r="AY42" s="10"/>
      <c r="AZ42" s="174">
        <f t="shared" si="11"/>
        <v>5865.1282827012856</v>
      </c>
      <c r="BA42" s="172">
        <f t="shared" ref="BA42:BC42" si="53">SUM(E42,I42,M42,Q42,U42,Y42,AC42,AG42,AK42,AO42,AS42,AW42)</f>
        <v>73355.03</v>
      </c>
      <c r="BB42" s="172">
        <f t="shared" si="53"/>
        <v>76383.704437740802</v>
      </c>
      <c r="BC42" s="172">
        <f t="shared" si="53"/>
        <v>0</v>
      </c>
      <c r="BD42" s="233">
        <f t="shared" si="13"/>
        <v>-3028.6744377408031</v>
      </c>
      <c r="BE42" s="236">
        <f t="shared" si="15"/>
        <v>-3028.6744377408031</v>
      </c>
    </row>
    <row r="43" spans="1:57" ht="15.75" customHeight="1">
      <c r="A43" s="169" t="s">
        <v>115</v>
      </c>
      <c r="B43" s="13"/>
      <c r="C43" s="13" t="s">
        <v>116</v>
      </c>
      <c r="D43" s="230"/>
      <c r="E43" s="171">
        <f>'Apr2025-COLLECTION'!K42</f>
        <v>6000</v>
      </c>
      <c r="F43" s="172">
        <f>'Apr2025-EXPENSE'!R46</f>
        <v>6428.4032050155238</v>
      </c>
      <c r="G43" s="172"/>
      <c r="H43" s="172">
        <f t="shared" si="0"/>
        <v>-428.40320501552378</v>
      </c>
      <c r="I43" s="173">
        <f>'May2025-COLLECTION'!K42</f>
        <v>11712</v>
      </c>
      <c r="J43" s="174">
        <f>'May2025-EXPENSE'!R46</f>
        <v>5047.9718117869234</v>
      </c>
      <c r="K43" s="174"/>
      <c r="L43" s="174">
        <f t="shared" si="1"/>
        <v>6664.0281882130766</v>
      </c>
      <c r="M43" s="172">
        <f>'June2025-COLLECTION'!K42</f>
        <v>5025</v>
      </c>
      <c r="N43" s="172">
        <f>'June2025-EXPENSE'!R46</f>
        <v>4957.3262977439781</v>
      </c>
      <c r="O43" s="172"/>
      <c r="P43" s="172">
        <f t="shared" si="2"/>
        <v>67.673702256021897</v>
      </c>
      <c r="Q43" s="41">
        <f>'July2025-COLLECTION'!K42</f>
        <v>5000</v>
      </c>
      <c r="R43" s="174">
        <f>'July2025-EXPENSE'!R46</f>
        <v>5443.1447175244502</v>
      </c>
      <c r="S43" s="174"/>
      <c r="T43" s="174">
        <f t="shared" si="3"/>
        <v>-443.14471752445024</v>
      </c>
      <c r="U43" s="167">
        <f>'Aug2025-COLLECTION'!K42</f>
        <v>5500</v>
      </c>
      <c r="V43" s="172">
        <f>'Aug2025-EXPENSE'!R46</f>
        <v>6057.2756119019596</v>
      </c>
      <c r="W43" s="172"/>
      <c r="X43" s="172">
        <f t="shared" si="4"/>
        <v>-557.27561190195956</v>
      </c>
      <c r="Y43" s="41">
        <f>'Sep2025-COLLECTION'!K42</f>
        <v>6000</v>
      </c>
      <c r="Z43" s="174">
        <f>'Sep2025-EXPENSE'!R46</f>
        <v>5203.7665156351613</v>
      </c>
      <c r="AA43" s="174"/>
      <c r="AB43" s="174">
        <f t="shared" si="5"/>
        <v>796.23348436483866</v>
      </c>
      <c r="AC43" s="41">
        <f>'Oct2025-COLLECTION'!K42</f>
        <v>5205</v>
      </c>
      <c r="AD43" s="174">
        <f>'Oct2025-EXPENSE'!R46</f>
        <v>6547.0855415270189</v>
      </c>
      <c r="AE43" s="174"/>
      <c r="AF43" s="174">
        <f t="shared" si="6"/>
        <v>-1342.0855415270189</v>
      </c>
      <c r="AG43" s="41">
        <f>'Nov2025-COLLECTION'!K42</f>
        <v>6240</v>
      </c>
      <c r="AH43" s="174">
        <f>'Nov2025-EXPENSE'!R46</f>
        <v>7519.8847387021578</v>
      </c>
      <c r="AI43" s="174"/>
      <c r="AJ43" s="174">
        <f t="shared" si="7"/>
        <v>-1279.8847387021578</v>
      </c>
      <c r="AK43" s="41">
        <f>'Dec2025-COLLECTION'!K42</f>
        <v>7602</v>
      </c>
      <c r="AL43" s="174">
        <f>'Dec2025-EXPENSE'!R46</f>
        <v>5318.2424027172265</v>
      </c>
      <c r="AM43" s="174"/>
      <c r="AN43" s="174">
        <f t="shared" si="8"/>
        <v>2283.7575972827735</v>
      </c>
      <c r="AO43" s="7">
        <f>'Jan2026-COLLECTION'!K42</f>
        <v>5300</v>
      </c>
      <c r="AP43" s="10">
        <f>'Jan2026-EXPENSE'!R46</f>
        <v>5491.8217725921413</v>
      </c>
      <c r="AQ43" s="10"/>
      <c r="AR43" s="174">
        <f t="shared" si="9"/>
        <v>-191.82177259214131</v>
      </c>
      <c r="AS43" s="7">
        <f>'Feb2026-COLLECTION'!K42</f>
        <v>5520</v>
      </c>
      <c r="AT43" s="10">
        <f>'Feb2026-EXPENSE'!R46</f>
        <v>5410.1158266338107</v>
      </c>
      <c r="AU43" s="10"/>
      <c r="AV43" s="174">
        <f t="shared" si="10"/>
        <v>109.88417336618932</v>
      </c>
      <c r="AW43" s="7">
        <f>'Mar2026-COLLECTION'!K42</f>
        <v>5500</v>
      </c>
      <c r="AX43" s="10">
        <f>'Mar2026-EXPENSE'!R46</f>
        <v>5266.7467348753908</v>
      </c>
      <c r="AY43" s="10"/>
      <c r="AZ43" s="174">
        <f t="shared" si="11"/>
        <v>233.25326512460924</v>
      </c>
      <c r="BA43" s="172">
        <f t="shared" ref="BA43:BC43" si="54">SUM(E43,I43,M43,Q43,U43,Y43,AC43,AG43,AK43,AO43,AS43,AW43)</f>
        <v>74604</v>
      </c>
      <c r="BB43" s="172">
        <f t="shared" si="54"/>
        <v>68691.785176655743</v>
      </c>
      <c r="BC43" s="172">
        <f t="shared" si="54"/>
        <v>0</v>
      </c>
      <c r="BD43" s="233">
        <f t="shared" si="13"/>
        <v>5912.2148233442567</v>
      </c>
      <c r="BE43" s="236">
        <f t="shared" si="15"/>
        <v>5912.2148233442567</v>
      </c>
    </row>
    <row r="44" spans="1:57" ht="15.75" customHeight="1">
      <c r="A44" s="169" t="s">
        <v>117</v>
      </c>
      <c r="B44" s="13" t="s">
        <v>343</v>
      </c>
      <c r="C44" s="13" t="s">
        <v>344</v>
      </c>
      <c r="D44" s="230"/>
      <c r="E44" s="171">
        <f>'Apr2025-COLLECTION'!K43</f>
        <v>0</v>
      </c>
      <c r="F44" s="172">
        <f>'Apr2025-EXPENSE'!R47</f>
        <v>5399.9463505373478</v>
      </c>
      <c r="G44" s="172"/>
      <c r="H44" s="172">
        <f t="shared" si="0"/>
        <v>-5399.9463505373478</v>
      </c>
      <c r="I44" s="173">
        <f>'May2025-COLLECTION'!K43</f>
        <v>0</v>
      </c>
      <c r="J44" s="174">
        <f>'May2025-EXPENSE'!R47</f>
        <v>4099.2144237704233</v>
      </c>
      <c r="K44" s="174">
        <v>500</v>
      </c>
      <c r="L44" s="174">
        <f t="shared" si="1"/>
        <v>-4599.2144237704233</v>
      </c>
      <c r="M44" s="172">
        <f>'June2025-COLLECTION'!K43</f>
        <v>0</v>
      </c>
      <c r="N44" s="172">
        <f>'June2025-EXPENSE'!R47</f>
        <v>4325.0766390575072</v>
      </c>
      <c r="O44" s="172"/>
      <c r="P44" s="172">
        <f t="shared" si="2"/>
        <v>-4325.0766390575072</v>
      </c>
      <c r="Q44" s="41">
        <f>'July2025-COLLECTION'!K43</f>
        <v>0</v>
      </c>
      <c r="R44" s="174">
        <f>'July2025-EXPENSE'!R47</f>
        <v>5156.5212457577982</v>
      </c>
      <c r="S44" s="174">
        <v>500</v>
      </c>
      <c r="T44" s="174">
        <f t="shared" si="3"/>
        <v>-5656.5212457577982</v>
      </c>
      <c r="U44" s="167">
        <f>'Aug2025-COLLECTION'!K43</f>
        <v>0</v>
      </c>
      <c r="V44" s="172">
        <f>'Aug2025-EXPENSE'!R47</f>
        <v>5645.6386409671941</v>
      </c>
      <c r="W44" s="172"/>
      <c r="X44" s="172">
        <f t="shared" si="4"/>
        <v>-5645.6386409671941</v>
      </c>
      <c r="Y44" s="41">
        <f>'Sep2025-COLLECTION'!K43</f>
        <v>0</v>
      </c>
      <c r="Z44" s="174">
        <f>'Sep2025-EXPENSE'!R47</f>
        <v>4795.9312818527414</v>
      </c>
      <c r="AA44" s="174"/>
      <c r="AB44" s="174">
        <f t="shared" si="5"/>
        <v>-4795.9312818527414</v>
      </c>
      <c r="AC44" s="41">
        <f>'Oct2025-COLLECTION'!K43</f>
        <v>0</v>
      </c>
      <c r="AD44" s="174">
        <f>'Oct2025-EXPENSE'!R47</f>
        <v>6185.9401342765022</v>
      </c>
      <c r="AE44" s="174"/>
      <c r="AF44" s="174">
        <f t="shared" si="6"/>
        <v>-6185.9401342765022</v>
      </c>
      <c r="AG44" s="41">
        <f>'Nov2025-COLLECTION'!K43</f>
        <v>0</v>
      </c>
      <c r="AH44" s="174">
        <f>'Nov2025-EXPENSE'!R47</f>
        <v>6507.571368596211</v>
      </c>
      <c r="AI44" s="174"/>
      <c r="AJ44" s="174">
        <f t="shared" si="7"/>
        <v>-6507.571368596211</v>
      </c>
      <c r="AK44" s="41">
        <f>'Dec2025-COLLECTION'!K43</f>
        <v>0</v>
      </c>
      <c r="AL44" s="174">
        <f>'Dec2025-EXPENSE'!R47</f>
        <v>4871.6240008740324</v>
      </c>
      <c r="AM44" s="174"/>
      <c r="AN44" s="174">
        <f t="shared" si="8"/>
        <v>-4871.6240008740324</v>
      </c>
      <c r="AO44" s="7">
        <f>'Jan2026-COLLECTION'!K43</f>
        <v>0</v>
      </c>
      <c r="AP44" s="10">
        <f>'Jan2026-EXPENSE'!R47</f>
        <v>4780.981457845829</v>
      </c>
      <c r="AQ44" s="10"/>
      <c r="AR44" s="174">
        <f t="shared" si="9"/>
        <v>-4780.981457845829</v>
      </c>
      <c r="AS44" s="7">
        <f>'Feb2026-COLLECTION'!K43</f>
        <v>0</v>
      </c>
      <c r="AT44" s="10">
        <f>'Feb2026-EXPENSE'!R47</f>
        <v>4461.8127106797438</v>
      </c>
      <c r="AU44" s="10"/>
      <c r="AV44" s="174">
        <f t="shared" si="10"/>
        <v>-4461.8127106797438</v>
      </c>
      <c r="AW44" s="7">
        <f>'Mar2026-COLLECTION'!K43</f>
        <v>0</v>
      </c>
      <c r="AX44" s="10">
        <f>'Mar2026-EXPENSE'!R47</f>
        <v>4632.2460336973163</v>
      </c>
      <c r="AY44" s="10"/>
      <c r="AZ44" s="174">
        <f t="shared" si="11"/>
        <v>-4632.2460336973163</v>
      </c>
      <c r="BA44" s="172">
        <f t="shared" ref="BA44:BC44" si="55">SUM(E44,I44,M44,Q44,U44,Y44,AC44,AG44,AK44,AO44,AS44,AW44)</f>
        <v>0</v>
      </c>
      <c r="BB44" s="172">
        <f t="shared" si="55"/>
        <v>60862.504287912656</v>
      </c>
      <c r="BC44" s="172">
        <f t="shared" si="55"/>
        <v>1000</v>
      </c>
      <c r="BD44" s="233">
        <f t="shared" si="13"/>
        <v>-61862.504287912656</v>
      </c>
      <c r="BE44" s="236">
        <f t="shared" si="15"/>
        <v>-61862.504287912656</v>
      </c>
    </row>
    <row r="45" spans="1:57" ht="15.75" customHeight="1">
      <c r="A45" s="169" t="s">
        <v>119</v>
      </c>
      <c r="B45" s="13"/>
      <c r="C45" s="13" t="s">
        <v>120</v>
      </c>
      <c r="D45" s="230">
        <v>-34255.949999999997</v>
      </c>
      <c r="E45" s="171">
        <f>'Apr2025-COLLECTION'!K44</f>
        <v>4685</v>
      </c>
      <c r="F45" s="172">
        <f>'Apr2025-EXPENSE'!R48</f>
        <v>5377.5185699089798</v>
      </c>
      <c r="G45" s="172"/>
      <c r="H45" s="172">
        <f t="shared" si="0"/>
        <v>-692.51856990897977</v>
      </c>
      <c r="I45" s="173">
        <f>'May2025-COLLECTION'!K44</f>
        <v>5330</v>
      </c>
      <c r="J45" s="174">
        <f>'May2025-EXPENSE'!R48</f>
        <v>4364.9537644103948</v>
      </c>
      <c r="K45" s="174">
        <v>500</v>
      </c>
      <c r="L45" s="174">
        <f t="shared" si="1"/>
        <v>465.0462355896052</v>
      </c>
      <c r="M45" s="172">
        <f>'June2025-COLLECTION'!K44</f>
        <v>4348</v>
      </c>
      <c r="N45" s="172">
        <f>'June2025-EXPENSE'!R48</f>
        <v>5104.9271903455883</v>
      </c>
      <c r="O45" s="172"/>
      <c r="P45" s="172">
        <f t="shared" si="2"/>
        <v>-756.92719034558831</v>
      </c>
      <c r="Q45" s="41">
        <f>'July2025-COLLECTION'!K44</f>
        <v>5000</v>
      </c>
      <c r="R45" s="174">
        <f>'July2025-EXPENSE'!R48</f>
        <v>5912.2967814401209</v>
      </c>
      <c r="S45" s="174"/>
      <c r="T45" s="174">
        <f t="shared" si="3"/>
        <v>-912.29678144012087</v>
      </c>
      <c r="U45" s="167">
        <f>'Aug2025-COLLECTION'!K44</f>
        <v>5000</v>
      </c>
      <c r="V45" s="172">
        <f>'Aug2025-EXPENSE'!R48</f>
        <v>6392.9430971124639</v>
      </c>
      <c r="W45" s="172"/>
      <c r="X45" s="172">
        <f t="shared" si="4"/>
        <v>-1392.9430971124639</v>
      </c>
      <c r="Y45" s="41">
        <f>'Sep2025-COLLECTION'!K44</f>
        <v>37546</v>
      </c>
      <c r="Z45" s="174">
        <f>'Sep2025-EXPENSE'!R48</f>
        <v>5150.9648958133967</v>
      </c>
      <c r="AA45" s="174"/>
      <c r="AB45" s="174">
        <f t="shared" si="5"/>
        <v>32395.035104186602</v>
      </c>
      <c r="AC45" s="41">
        <f>'Oct2025-COLLECTION'!K44</f>
        <v>5151</v>
      </c>
      <c r="AD45" s="174">
        <f>'Oct2025-EXPENSE'!R48</f>
        <v>6370.03433464507</v>
      </c>
      <c r="AE45" s="174"/>
      <c r="AF45" s="174">
        <f t="shared" si="6"/>
        <v>-1219.03433464507</v>
      </c>
      <c r="AG45" s="41">
        <f>'Nov2025-COLLECTION'!K44</f>
        <v>6114</v>
      </c>
      <c r="AH45" s="174">
        <f>'Nov2025-EXPENSE'!R48</f>
        <v>7191.3998662658705</v>
      </c>
      <c r="AI45" s="174"/>
      <c r="AJ45" s="174">
        <f t="shared" si="7"/>
        <v>-1077.3998662658705</v>
      </c>
      <c r="AK45" s="41">
        <f>'Dec2025-COLLECTION'!K44</f>
        <v>7274</v>
      </c>
      <c r="AL45" s="174">
        <f>'Dec2025-EXPENSE'!R48</f>
        <v>5517.8716768895647</v>
      </c>
      <c r="AM45" s="174"/>
      <c r="AN45" s="174">
        <f t="shared" si="8"/>
        <v>1756.1283231104353</v>
      </c>
      <c r="AO45" s="7">
        <f>'Jan2026-COLLECTION'!K44</f>
        <v>5501</v>
      </c>
      <c r="AP45" s="10">
        <f>'Jan2026-EXPENSE'!R48</f>
        <v>5052.257365021308</v>
      </c>
      <c r="AQ45" s="10"/>
      <c r="AR45" s="174">
        <f t="shared" si="9"/>
        <v>448.74263497869197</v>
      </c>
      <c r="AS45" s="7">
        <f>'Feb2026-COLLECTION'!K44</f>
        <v>5070</v>
      </c>
      <c r="AT45" s="10">
        <f>'Feb2026-EXPENSE'!R48</f>
        <v>5055.8133547412162</v>
      </c>
      <c r="AU45" s="10"/>
      <c r="AV45" s="174">
        <f t="shared" si="10"/>
        <v>14.186645258783756</v>
      </c>
      <c r="AW45" s="7">
        <f>'Mar2026-COLLECTION'!K44</f>
        <v>5056</v>
      </c>
      <c r="AX45" s="10">
        <f>'Mar2026-EXPENSE'!R48</f>
        <v>5146.2387265915477</v>
      </c>
      <c r="AY45" s="10"/>
      <c r="AZ45" s="174">
        <f t="shared" si="11"/>
        <v>-90.238726591547675</v>
      </c>
      <c r="BA45" s="172">
        <f t="shared" ref="BA45:BC45" si="56">SUM(E45,I45,M45,Q45,U45,Y45,AC45,AG45,AK45,AO45,AS45,AW45)</f>
        <v>96075</v>
      </c>
      <c r="BB45" s="172">
        <f t="shared" si="56"/>
        <v>66637.21962318552</v>
      </c>
      <c r="BC45" s="172">
        <f t="shared" si="56"/>
        <v>500</v>
      </c>
      <c r="BD45" s="233">
        <f t="shared" si="13"/>
        <v>28937.78037681448</v>
      </c>
      <c r="BE45" s="236">
        <f t="shared" si="15"/>
        <v>-5318.1696231855167</v>
      </c>
    </row>
    <row r="46" spans="1:57" ht="15.75" customHeight="1">
      <c r="A46" s="169" t="s">
        <v>121</v>
      </c>
      <c r="B46" s="13"/>
      <c r="C46" s="13" t="s">
        <v>122</v>
      </c>
      <c r="D46" s="230"/>
      <c r="E46" s="171">
        <f>'Apr2025-COLLECTION'!K45</f>
        <v>5270</v>
      </c>
      <c r="F46" s="172">
        <f>'Apr2025-EXPENSE'!R49</f>
        <v>6202.8711850056752</v>
      </c>
      <c r="G46" s="172"/>
      <c r="H46" s="172">
        <f t="shared" si="0"/>
        <v>-932.87118500567522</v>
      </c>
      <c r="I46" s="173">
        <f>'May2025-COLLECTION'!K45</f>
        <v>0</v>
      </c>
      <c r="J46" s="174">
        <f>'May2025-EXPENSE'!R49</f>
        <v>5987.6527716561777</v>
      </c>
      <c r="K46" s="174"/>
      <c r="L46" s="174">
        <f t="shared" si="1"/>
        <v>-5987.6527716561777</v>
      </c>
      <c r="M46" s="172">
        <f>'June2025-COLLECTION'!K45</f>
        <v>11151</v>
      </c>
      <c r="N46" s="172">
        <f>'June2025-EXPENSE'!R49</f>
        <v>5118.6388483902138</v>
      </c>
      <c r="O46" s="172"/>
      <c r="P46" s="172">
        <f t="shared" si="2"/>
        <v>6032.3611516097862</v>
      </c>
      <c r="Q46" s="41">
        <f>'July2025-COLLECTION'!K45</f>
        <v>5119</v>
      </c>
      <c r="R46" s="174">
        <f>'July2025-EXPENSE'!R49</f>
        <v>5904.9473355317441</v>
      </c>
      <c r="S46" s="174"/>
      <c r="T46" s="174">
        <f t="shared" si="3"/>
        <v>-785.9473355317441</v>
      </c>
      <c r="U46" s="167">
        <f>'Aug2025-COLLECTION'!K45</f>
        <v>5905</v>
      </c>
      <c r="V46" s="172">
        <f>'Aug2025-EXPENSE'!R49</f>
        <v>6760.1469113466646</v>
      </c>
      <c r="W46" s="172"/>
      <c r="X46" s="172">
        <f t="shared" si="4"/>
        <v>-855.14691134666464</v>
      </c>
      <c r="Y46" s="41">
        <f>'Sep2025-COLLECTION'!K45</f>
        <v>5905</v>
      </c>
      <c r="Z46" s="174">
        <f>'Sep2025-EXPENSE'!R49</f>
        <v>5234.7687463177035</v>
      </c>
      <c r="AA46" s="174"/>
      <c r="AB46" s="174">
        <f t="shared" si="5"/>
        <v>670.23125368229648</v>
      </c>
      <c r="AC46" s="41">
        <f>'Oct2025-COLLECTION'!K45</f>
        <v>0</v>
      </c>
      <c r="AD46" s="174">
        <f>'Oct2025-EXPENSE'!R49</f>
        <v>6313.6637872883457</v>
      </c>
      <c r="AE46" s="174"/>
      <c r="AF46" s="174">
        <f t="shared" si="6"/>
        <v>-6313.6637872883457</v>
      </c>
      <c r="AG46" s="41">
        <f>'Nov2025-COLLECTION'!K45</f>
        <v>11349</v>
      </c>
      <c r="AH46" s="174">
        <f>'Nov2025-EXPENSE'!R49</f>
        <v>6717.1309336967051</v>
      </c>
      <c r="AI46" s="174"/>
      <c r="AJ46" s="174">
        <f t="shared" si="7"/>
        <v>4631.8690663032949</v>
      </c>
      <c r="AK46" s="41">
        <f>'Dec2025-COLLECTION'!K45</f>
        <v>6798.85</v>
      </c>
      <c r="AL46" s="174">
        <f>'Dec2025-EXPENSE'!R49</f>
        <v>5914.3073453261532</v>
      </c>
      <c r="AM46" s="174"/>
      <c r="AN46" s="174">
        <f t="shared" si="8"/>
        <v>884.54265467384721</v>
      </c>
      <c r="AO46" s="7">
        <f>'Jan2026-COLLECTION'!K45</f>
        <v>5897.24</v>
      </c>
      <c r="AP46" s="10">
        <f>'Jan2026-EXPENSE'!R49</f>
        <v>5003.0795599853918</v>
      </c>
      <c r="AQ46" s="10"/>
      <c r="AR46" s="174">
        <f t="shared" si="9"/>
        <v>894.16044001460796</v>
      </c>
      <c r="AS46" s="7">
        <f>'Feb2026-COLLECTION'!K45</f>
        <v>0</v>
      </c>
      <c r="AT46" s="10">
        <f>'Feb2026-EXPENSE'!R49</f>
        <v>4687.7713271743623</v>
      </c>
      <c r="AU46" s="10"/>
      <c r="AV46" s="174">
        <f t="shared" si="10"/>
        <v>-4687.7713271743623</v>
      </c>
      <c r="AW46" s="7">
        <f>'Mar2026-COLLECTION'!K45</f>
        <v>0</v>
      </c>
      <c r="AX46" s="10">
        <f>'Mar2026-EXPENSE'!R49</f>
        <v>4851.6692975686074</v>
      </c>
      <c r="AY46" s="10"/>
      <c r="AZ46" s="174">
        <f t="shared" si="11"/>
        <v>-4851.6692975686074</v>
      </c>
      <c r="BA46" s="172">
        <f t="shared" ref="BA46:BC46" si="57">SUM(E46,I46,M46,Q46,U46,Y46,AC46,AG46,AK46,AO46,AS46,AW46)</f>
        <v>57395.09</v>
      </c>
      <c r="BB46" s="172">
        <f t="shared" si="57"/>
        <v>68696.648049287745</v>
      </c>
      <c r="BC46" s="172">
        <f t="shared" si="57"/>
        <v>0</v>
      </c>
      <c r="BD46" s="233">
        <f t="shared" si="13"/>
        <v>-11301.558049287749</v>
      </c>
      <c r="BE46" s="236">
        <f t="shared" si="15"/>
        <v>-11301.558049287749</v>
      </c>
    </row>
    <row r="47" spans="1:57" ht="15.75" customHeight="1">
      <c r="A47" s="169" t="s">
        <v>123</v>
      </c>
      <c r="B47" s="13"/>
      <c r="C47" s="13" t="s">
        <v>124</v>
      </c>
      <c r="D47" s="230"/>
      <c r="E47" s="171">
        <f>'Apr2025-COLLECTION'!K46</f>
        <v>4808</v>
      </c>
      <c r="F47" s="172">
        <f>'Apr2025-EXPENSE'!R50</f>
        <v>5705.9303175718915</v>
      </c>
      <c r="G47" s="172"/>
      <c r="H47" s="172">
        <f t="shared" si="0"/>
        <v>-897.93031757189146</v>
      </c>
      <c r="I47" s="173">
        <f>'May2025-COLLECTION'!K46</f>
        <v>5665</v>
      </c>
      <c r="J47" s="174">
        <f>'May2025-EXPENSE'!R50</f>
        <v>4461.4304617167318</v>
      </c>
      <c r="K47" s="174">
        <v>500</v>
      </c>
      <c r="L47" s="174">
        <f t="shared" si="1"/>
        <v>703.56953828326823</v>
      </c>
      <c r="M47" s="172">
        <f>'June2025-COLLECTION'!K46</f>
        <v>4439</v>
      </c>
      <c r="N47" s="172">
        <f>'June2025-EXPENSE'!R50</f>
        <v>4778.5312933023206</v>
      </c>
      <c r="O47" s="172"/>
      <c r="P47" s="172">
        <f t="shared" si="2"/>
        <v>-339.53129330232059</v>
      </c>
      <c r="Q47" s="41">
        <f>'July2025-COLLECTION'!K46</f>
        <v>4778.53</v>
      </c>
      <c r="R47" s="174">
        <f>'July2025-EXPENSE'!R50</f>
        <v>5522.3203433840226</v>
      </c>
      <c r="S47" s="174"/>
      <c r="T47" s="174">
        <f t="shared" si="3"/>
        <v>-743.79034338402289</v>
      </c>
      <c r="U47" s="167">
        <f>'Aug2025-COLLECTION'!K46</f>
        <v>0</v>
      </c>
      <c r="V47" s="172">
        <f>'Aug2025-EXPENSE'!R50</f>
        <v>6028.013154621337</v>
      </c>
      <c r="W47" s="172"/>
      <c r="X47" s="172">
        <f t="shared" si="4"/>
        <v>-6028.013154621337</v>
      </c>
      <c r="Y47" s="41">
        <f>'Sep2025-COLLECTION'!K46</f>
        <v>11550.33</v>
      </c>
      <c r="Z47" s="174">
        <f>'Sep2025-EXPENSE'!R50</f>
        <v>5066.5756329572123</v>
      </c>
      <c r="AA47" s="174"/>
      <c r="AB47" s="174">
        <f t="shared" si="5"/>
        <v>6483.7543670427876</v>
      </c>
      <c r="AC47" s="41">
        <f>'Oct2025-COLLECTION'!K46</f>
        <v>5067</v>
      </c>
      <c r="AD47" s="174">
        <f>'Oct2025-EXPENSE'!R50</f>
        <v>6354.5968581402021</v>
      </c>
      <c r="AE47" s="174"/>
      <c r="AF47" s="174">
        <f t="shared" si="6"/>
        <v>-1287.5968581402021</v>
      </c>
      <c r="AG47" s="41">
        <f>'Nov2025-COLLECTION'!K46</f>
        <v>0</v>
      </c>
      <c r="AH47" s="174">
        <f>'Nov2025-EXPENSE'!R50</f>
        <v>6854.2619703480677</v>
      </c>
      <c r="AI47" s="174"/>
      <c r="AJ47" s="174">
        <f t="shared" si="7"/>
        <v>-6854.2619703480677</v>
      </c>
      <c r="AK47" s="41">
        <f>'Dec2025-COLLECTION'!K46</f>
        <v>13166.98</v>
      </c>
      <c r="AL47" s="174">
        <f>'Dec2025-EXPENSE'!R50</f>
        <v>5227.8818577821203</v>
      </c>
      <c r="AM47" s="174"/>
      <c r="AN47" s="174">
        <f t="shared" si="8"/>
        <v>7939.0981422178793</v>
      </c>
      <c r="AO47" s="7">
        <f>'Jan2026-COLLECTION'!K46</f>
        <v>0</v>
      </c>
      <c r="AP47" s="10">
        <f>'Jan2026-EXPENSE'!R50</f>
        <v>4854.2547273793398</v>
      </c>
      <c r="AQ47" s="10"/>
      <c r="AR47" s="174">
        <f t="shared" si="9"/>
        <v>-4854.2547273793398</v>
      </c>
      <c r="AS47" s="7">
        <f>'Feb2026-COLLECTION'!K46</f>
        <v>5025.21</v>
      </c>
      <c r="AT47" s="10">
        <f>'Feb2026-EXPENSE'!R50</f>
        <v>4566.5172098324965</v>
      </c>
      <c r="AU47" s="10"/>
      <c r="AV47" s="174">
        <f t="shared" si="10"/>
        <v>458.69279016750352</v>
      </c>
      <c r="AW47" s="7">
        <f>'Mar2026-COLLECTION'!K46</f>
        <v>9444</v>
      </c>
      <c r="AX47" s="10">
        <f>'Mar2026-EXPENSE'!R50</f>
        <v>4739.2197709179436</v>
      </c>
      <c r="AY47" s="10"/>
      <c r="AZ47" s="174">
        <f t="shared" si="11"/>
        <v>4704.7802290820564</v>
      </c>
      <c r="BA47" s="172">
        <f t="shared" ref="BA47:BC47" si="58">SUM(E47,I47,M47,Q47,U47,Y47,AC47,AG47,AK47,AO47,AS47,AW47)</f>
        <v>63944.049999999996</v>
      </c>
      <c r="BB47" s="172">
        <f t="shared" si="58"/>
        <v>64159.53359795369</v>
      </c>
      <c r="BC47" s="172">
        <f t="shared" si="58"/>
        <v>500</v>
      </c>
      <c r="BD47" s="233">
        <f t="shared" si="13"/>
        <v>-715.4835979536947</v>
      </c>
      <c r="BE47" s="236">
        <f t="shared" si="15"/>
        <v>-715.4835979536947</v>
      </c>
    </row>
    <row r="48" spans="1:57" ht="15.75" customHeight="1">
      <c r="A48" s="169" t="s">
        <v>125</v>
      </c>
      <c r="B48" s="13"/>
      <c r="C48" s="13" t="s">
        <v>126</v>
      </c>
      <c r="D48" s="230"/>
      <c r="E48" s="171">
        <f>'Apr2025-COLLECTION'!K47</f>
        <v>12494</v>
      </c>
      <c r="F48" s="172">
        <f>'Apr2025-EXPENSE'!R51</f>
        <v>5716.526929520157</v>
      </c>
      <c r="G48" s="172"/>
      <c r="H48" s="172">
        <f t="shared" si="0"/>
        <v>6777.473070479843</v>
      </c>
      <c r="I48" s="173">
        <f>'May2025-COLLECTION'!K47</f>
        <v>0</v>
      </c>
      <c r="J48" s="174">
        <f>'May2025-EXPENSE'!R51</f>
        <v>4339.3497697475277</v>
      </c>
      <c r="K48" s="174">
        <v>500</v>
      </c>
      <c r="L48" s="174">
        <f t="shared" si="1"/>
        <v>-4839.3497697475277</v>
      </c>
      <c r="M48" s="172">
        <f>'June2025-COLLECTION'!K47</f>
        <v>0</v>
      </c>
      <c r="N48" s="172">
        <f>'June2025-EXPENSE'!R51</f>
        <v>4763.774539370148</v>
      </c>
      <c r="O48" s="172"/>
      <c r="P48" s="172">
        <f t="shared" si="2"/>
        <v>-4763.774539370148</v>
      </c>
      <c r="Q48" s="41">
        <f>'July2025-COLLECTION'!K47</f>
        <v>0</v>
      </c>
      <c r="R48" s="174">
        <f>'July2025-EXPENSE'!R51</f>
        <v>5695.641018671151</v>
      </c>
      <c r="S48" s="174">
        <v>500</v>
      </c>
      <c r="T48" s="174">
        <f t="shared" si="3"/>
        <v>-6195.641018671151</v>
      </c>
      <c r="U48" s="167">
        <f>'Aug2025-COLLECTION'!K47</f>
        <v>10000</v>
      </c>
      <c r="V48" s="172">
        <f>'Aug2025-EXPENSE'!R51</f>
        <v>5962.2393334692988</v>
      </c>
      <c r="W48" s="172"/>
      <c r="X48" s="172">
        <f t="shared" si="4"/>
        <v>4037.7606665307012</v>
      </c>
      <c r="Y48" s="41">
        <f>'Sep2025-COLLECTION'!K47</f>
        <v>0</v>
      </c>
      <c r="Z48" s="174">
        <f>'Sep2025-EXPENSE'!R51</f>
        <v>4938.4861557642162</v>
      </c>
      <c r="AA48" s="174"/>
      <c r="AB48" s="174">
        <f t="shared" si="5"/>
        <v>-4938.4861557642162</v>
      </c>
      <c r="AC48" s="41">
        <f>'Oct2025-COLLECTION'!K47</f>
        <v>17240</v>
      </c>
      <c r="AD48" s="174">
        <f>'Oct2025-EXPENSE'!R51</f>
        <v>6317.3529809516403</v>
      </c>
      <c r="AE48" s="174"/>
      <c r="AF48" s="174">
        <f t="shared" si="6"/>
        <v>10922.64701904836</v>
      </c>
      <c r="AG48" s="41">
        <f>'Nov2025-COLLECTION'!K47</f>
        <v>0</v>
      </c>
      <c r="AH48" s="174">
        <f>'Nov2025-EXPENSE'!R51</f>
        <v>6939.6739557540923</v>
      </c>
      <c r="AI48" s="174"/>
      <c r="AJ48" s="174">
        <f t="shared" si="7"/>
        <v>-6939.6739557540923</v>
      </c>
      <c r="AK48" s="41">
        <f>'Dec2025-COLLECTION'!K47</f>
        <v>0</v>
      </c>
      <c r="AL48" s="174">
        <f>'Dec2025-EXPENSE'!R51</f>
        <v>5090.2659547964004</v>
      </c>
      <c r="AM48" s="174"/>
      <c r="AN48" s="174">
        <f t="shared" si="8"/>
        <v>-5090.2659547964004</v>
      </c>
      <c r="AO48" s="7">
        <f>'Jan2026-COLLECTION'!K47</f>
        <v>23264</v>
      </c>
      <c r="AP48" s="10">
        <f>'Jan2026-EXPENSE'!R51</f>
        <v>4970.3514625886564</v>
      </c>
      <c r="AQ48" s="10"/>
      <c r="AR48" s="174">
        <f t="shared" si="9"/>
        <v>18293.648537411344</v>
      </c>
      <c r="AS48" s="7">
        <f>'Feb2026-COLLECTION'!K47</f>
        <v>0</v>
      </c>
      <c r="AT48" s="10">
        <f>'Feb2026-EXPENSE'!R51</f>
        <v>4701.8747789604831</v>
      </c>
      <c r="AU48" s="10"/>
      <c r="AV48" s="174">
        <f t="shared" si="10"/>
        <v>-4701.8747789604831</v>
      </c>
      <c r="AW48" s="7">
        <f>'Mar2026-COLLECTION'!K47</f>
        <v>0</v>
      </c>
      <c r="AX48" s="10">
        <f>'Mar2026-EXPENSE'!R51</f>
        <v>5462.9494356480282</v>
      </c>
      <c r="AY48" s="10"/>
      <c r="AZ48" s="174">
        <f t="shared" si="11"/>
        <v>-5462.9494356480282</v>
      </c>
      <c r="BA48" s="172">
        <f t="shared" ref="BA48:BC48" si="59">SUM(E48,I48,M48,Q48,U48,Y48,AC48,AG48,AK48,AO48,AS48,AW48)</f>
        <v>62998</v>
      </c>
      <c r="BB48" s="172">
        <f t="shared" si="59"/>
        <v>64898.486315241797</v>
      </c>
      <c r="BC48" s="172">
        <f t="shared" si="59"/>
        <v>1000</v>
      </c>
      <c r="BD48" s="233">
        <f t="shared" si="13"/>
        <v>-2900.4863152417965</v>
      </c>
      <c r="BE48" s="236">
        <f t="shared" si="15"/>
        <v>-2900.4863152417965</v>
      </c>
    </row>
    <row r="49" spans="1:57" ht="15.75" customHeight="1">
      <c r="A49" s="169" t="s">
        <v>127</v>
      </c>
      <c r="B49" s="13"/>
      <c r="C49" s="13" t="s">
        <v>128</v>
      </c>
      <c r="D49" s="230"/>
      <c r="E49" s="171">
        <f>'Apr2025-COLLECTION'!K48</f>
        <v>0</v>
      </c>
      <c r="F49" s="172">
        <f>'Apr2025-EXPENSE'!R52</f>
        <v>7055.8666639715539</v>
      </c>
      <c r="G49" s="172"/>
      <c r="H49" s="172">
        <f t="shared" si="0"/>
        <v>-7055.8666639715539</v>
      </c>
      <c r="I49" s="173">
        <f>'May2025-COLLECTION'!K48</f>
        <v>7056</v>
      </c>
      <c r="J49" s="174">
        <f>'May2025-EXPENSE'!R52</f>
        <v>5462.6184932683118</v>
      </c>
      <c r="K49" s="174">
        <v>500</v>
      </c>
      <c r="L49" s="174">
        <f t="shared" si="1"/>
        <v>1093.3815067316882</v>
      </c>
      <c r="M49" s="172">
        <f>'June2025-COLLECTION'!K48</f>
        <v>0</v>
      </c>
      <c r="N49" s="172">
        <f>'June2025-EXPENSE'!R52</f>
        <v>5274.3665861904428</v>
      </c>
      <c r="O49" s="172"/>
      <c r="P49" s="172">
        <f t="shared" si="2"/>
        <v>-5274.3665861904428</v>
      </c>
      <c r="Q49" s="41">
        <f>'July2025-COLLECTION'!K48</f>
        <v>9919</v>
      </c>
      <c r="R49" s="174">
        <f>'July2025-EXPENSE'!R52</f>
        <v>6502.3667008348621</v>
      </c>
      <c r="S49" s="174"/>
      <c r="T49" s="174">
        <f t="shared" si="3"/>
        <v>3416.6332991651379</v>
      </c>
      <c r="U49" s="167">
        <f>'Aug2025-COLLECTION'!K48</f>
        <v>6502</v>
      </c>
      <c r="V49" s="172">
        <f>'Aug2025-EXPENSE'!R52</f>
        <v>6787.6363047889972</v>
      </c>
      <c r="W49" s="172"/>
      <c r="X49" s="172">
        <f t="shared" si="4"/>
        <v>-285.63630478899722</v>
      </c>
      <c r="Y49" s="41">
        <f>'Sep2025-COLLECTION'!K48</f>
        <v>6788</v>
      </c>
      <c r="Z49" s="174">
        <f>'Sep2025-EXPENSE'!R52</f>
        <v>6032.1520148608597</v>
      </c>
      <c r="AA49" s="174"/>
      <c r="AB49" s="174">
        <f t="shared" si="5"/>
        <v>755.84798513914029</v>
      </c>
      <c r="AC49" s="41">
        <f>'Oct2025-COLLECTION'!K48</f>
        <v>6032</v>
      </c>
      <c r="AD49" s="174">
        <f>'Oct2025-EXPENSE'!R52</f>
        <v>7878.3549148705133</v>
      </c>
      <c r="AE49" s="174"/>
      <c r="AF49" s="174">
        <f t="shared" si="6"/>
        <v>-1846.3549148705133</v>
      </c>
      <c r="AG49" s="41">
        <f>'Nov2025-COLLECTION'!K48</f>
        <v>0</v>
      </c>
      <c r="AH49" s="174">
        <f>'Nov2025-EXPENSE'!R52</f>
        <v>7991.5390186568529</v>
      </c>
      <c r="AI49" s="174"/>
      <c r="AJ49" s="174">
        <f t="shared" si="7"/>
        <v>-7991.5390186568529</v>
      </c>
      <c r="AK49" s="41">
        <f>'Dec2025-COLLECTION'!K48</f>
        <v>6231</v>
      </c>
      <c r="AL49" s="174">
        <f>'Dec2025-EXPENSE'!R52</f>
        <v>6351.7765061894879</v>
      </c>
      <c r="AM49" s="174"/>
      <c r="AN49" s="174">
        <f t="shared" si="8"/>
        <v>-120.77650618948792</v>
      </c>
      <c r="AO49" s="7">
        <f>'Jan2026-COLLECTION'!K48</f>
        <v>6329</v>
      </c>
      <c r="AP49" s="10">
        <f>'Jan2026-EXPENSE'!R52</f>
        <v>5896.6757328425338</v>
      </c>
      <c r="AQ49" s="10"/>
      <c r="AR49" s="174">
        <f t="shared" si="9"/>
        <v>432.32426715746624</v>
      </c>
      <c r="AS49" s="7">
        <f>'Feb2026-COLLECTION'!K48</f>
        <v>0</v>
      </c>
      <c r="AT49" s="10">
        <f>'Feb2026-EXPENSE'!R52</f>
        <v>5683.8971575408386</v>
      </c>
      <c r="AU49" s="10"/>
      <c r="AV49" s="174">
        <f t="shared" si="10"/>
        <v>-5683.8971575408386</v>
      </c>
      <c r="AW49" s="7">
        <f>'Mar2026-COLLECTION'!K48</f>
        <v>5919</v>
      </c>
      <c r="AX49" s="10">
        <f>'Mar2026-EXPENSE'!R52</f>
        <v>6096.8044637753164</v>
      </c>
      <c r="AY49" s="10"/>
      <c r="AZ49" s="174">
        <f t="shared" si="11"/>
        <v>-177.80446377531644</v>
      </c>
      <c r="BA49" s="172">
        <f t="shared" ref="BA49:BC49" si="60">SUM(E49,I49,M49,Q49,U49,Y49,AC49,AG49,AK49,AO49,AS49,AW49)</f>
        <v>54776</v>
      </c>
      <c r="BB49" s="172">
        <f t="shared" si="60"/>
        <v>77014.054557790572</v>
      </c>
      <c r="BC49" s="172">
        <f t="shared" si="60"/>
        <v>500</v>
      </c>
      <c r="BD49" s="233">
        <f t="shared" si="13"/>
        <v>-22738.054557790572</v>
      </c>
      <c r="BE49" s="236">
        <f t="shared" si="15"/>
        <v>-22738.054557790572</v>
      </c>
    </row>
    <row r="50" spans="1:57" ht="15.75" customHeight="1">
      <c r="A50" s="169" t="s">
        <v>129</v>
      </c>
      <c r="B50" s="13"/>
      <c r="C50" s="13" t="s">
        <v>130</v>
      </c>
      <c r="D50" s="230"/>
      <c r="E50" s="171">
        <f>'Apr2025-COLLECTION'!K49</f>
        <v>10455</v>
      </c>
      <c r="F50" s="172">
        <f>'Apr2025-EXPENSE'!R53</f>
        <v>5801.4859275672516</v>
      </c>
      <c r="G50" s="172"/>
      <c r="H50" s="172">
        <f t="shared" si="0"/>
        <v>4653.5140724327484</v>
      </c>
      <c r="I50" s="173">
        <f>'May2025-COLLECTION'!K49</f>
        <v>5800</v>
      </c>
      <c r="J50" s="174">
        <f>'May2025-EXPENSE'!R53</f>
        <v>4388.4270821735809</v>
      </c>
      <c r="K50" s="174"/>
      <c r="L50" s="174">
        <f t="shared" si="1"/>
        <v>1411.5729178264191</v>
      </c>
      <c r="M50" s="172">
        <f>'June2025-COLLECTION'!K49</f>
        <v>4372</v>
      </c>
      <c r="N50" s="172">
        <f>'June2025-EXPENSE'!R53</f>
        <v>4590.3637791526107</v>
      </c>
      <c r="O50" s="172"/>
      <c r="P50" s="172">
        <f t="shared" si="2"/>
        <v>-218.36377915261073</v>
      </c>
      <c r="Q50" s="41">
        <f>'July2025-COLLECTION'!K49</f>
        <v>4475</v>
      </c>
      <c r="R50" s="174">
        <f>'July2025-EXPENSE'!R53</f>
        <v>5525.932352060463</v>
      </c>
      <c r="S50" s="174"/>
      <c r="T50" s="174">
        <f t="shared" si="3"/>
        <v>-1050.932352060463</v>
      </c>
      <c r="U50" s="167">
        <f>'Aug2025-COLLECTION'!K49</f>
        <v>5525</v>
      </c>
      <c r="V50" s="172">
        <f>'Aug2025-EXPENSE'!R53</f>
        <v>5931.5924408371111</v>
      </c>
      <c r="W50" s="172"/>
      <c r="X50" s="172">
        <f t="shared" si="4"/>
        <v>-406.5924408371111</v>
      </c>
      <c r="Y50" s="41">
        <f>'Sep2025-COLLECTION'!K49</f>
        <v>5931</v>
      </c>
      <c r="Z50" s="174">
        <f>'Sep2025-EXPENSE'!R53</f>
        <v>5083.9454554241975</v>
      </c>
      <c r="AA50" s="174"/>
      <c r="AB50" s="174">
        <f t="shared" si="5"/>
        <v>847.05454457580254</v>
      </c>
      <c r="AC50" s="41">
        <f>'Oct2025-COLLECTION'!K49</f>
        <v>5084</v>
      </c>
      <c r="AD50" s="174">
        <f>'Oct2025-EXPENSE'!R53</f>
        <v>6532.6110310744543</v>
      </c>
      <c r="AE50" s="174"/>
      <c r="AF50" s="174">
        <f t="shared" si="6"/>
        <v>-1448.6110310744543</v>
      </c>
      <c r="AG50" s="41">
        <f>'Nov2025-COLLECTION'!K49</f>
        <v>6114</v>
      </c>
      <c r="AH50" s="174">
        <f>'Nov2025-EXPENSE'!R53</f>
        <v>6944.8478086199093</v>
      </c>
      <c r="AI50" s="174"/>
      <c r="AJ50" s="174">
        <f t="shared" si="7"/>
        <v>-830.8478086199093</v>
      </c>
      <c r="AK50" s="41">
        <f>'Dec2025-COLLECTION'!K49</f>
        <v>7026</v>
      </c>
      <c r="AL50" s="174">
        <f>'Dec2025-EXPENSE'!R53</f>
        <v>5376.8130182774021</v>
      </c>
      <c r="AM50" s="174"/>
      <c r="AN50" s="174">
        <f t="shared" si="8"/>
        <v>1649.1869817225979</v>
      </c>
      <c r="AO50" s="7">
        <f>'Jan2026-COLLECTION'!K49</f>
        <v>5400</v>
      </c>
      <c r="AP50" s="10">
        <f>'Jan2026-EXPENSE'!R53</f>
        <v>5083.3600069987397</v>
      </c>
      <c r="AQ50" s="10"/>
      <c r="AR50" s="174">
        <f t="shared" si="9"/>
        <v>316.63999300126034</v>
      </c>
      <c r="AS50" s="7">
        <f>'Feb2026-COLLECTION'!K49</f>
        <v>5100</v>
      </c>
      <c r="AT50" s="10">
        <f>'Feb2026-EXPENSE'!R53</f>
        <v>4792.466969791808</v>
      </c>
      <c r="AU50" s="10"/>
      <c r="AV50" s="174">
        <f t="shared" si="10"/>
        <v>307.53303020819203</v>
      </c>
      <c r="AW50" s="7">
        <f>'Mar2026-COLLECTION'!K49</f>
        <v>4792</v>
      </c>
      <c r="AX50" s="10">
        <f>'Mar2026-EXPENSE'!R53</f>
        <v>4839.3734565373197</v>
      </c>
      <c r="AY50" s="10"/>
      <c r="AZ50" s="174">
        <f t="shared" si="11"/>
        <v>-47.373456537319726</v>
      </c>
      <c r="BA50" s="172">
        <f t="shared" ref="BA50:BC50" si="61">SUM(E50,I50,M50,Q50,U50,Y50,AC50,AG50,AK50,AO50,AS50,AW50)</f>
        <v>70074</v>
      </c>
      <c r="BB50" s="172">
        <f t="shared" si="61"/>
        <v>64891.219328514839</v>
      </c>
      <c r="BC50" s="172">
        <f t="shared" si="61"/>
        <v>0</v>
      </c>
      <c r="BD50" s="233">
        <f t="shared" si="13"/>
        <v>5182.7806714851613</v>
      </c>
      <c r="BE50" s="236">
        <f t="shared" si="15"/>
        <v>5182.7806714851613</v>
      </c>
    </row>
    <row r="51" spans="1:57" ht="15.75" customHeight="1">
      <c r="A51" s="169" t="s">
        <v>131</v>
      </c>
      <c r="B51" s="13"/>
      <c r="C51" s="13" t="s">
        <v>132</v>
      </c>
      <c r="D51" s="230"/>
      <c r="E51" s="171">
        <f>'Apr2025-COLLECTION'!K50</f>
        <v>5820</v>
      </c>
      <c r="F51" s="172">
        <f>'Apr2025-EXPENSE'!R54</f>
        <v>6826.4766541747149</v>
      </c>
      <c r="G51" s="172"/>
      <c r="H51" s="172">
        <f t="shared" si="0"/>
        <v>-1006.4766541747149</v>
      </c>
      <c r="I51" s="173">
        <f>'May2025-COLLECTION'!K50</f>
        <v>6823</v>
      </c>
      <c r="J51" s="174">
        <f>'May2025-EXPENSE'!R54</f>
        <v>5607.5816358118964</v>
      </c>
      <c r="K51" s="174"/>
      <c r="L51" s="174">
        <f t="shared" si="1"/>
        <v>1215.4183641881036</v>
      </c>
      <c r="M51" s="172">
        <f>'June2025-COLLECTION'!K50</f>
        <v>5591</v>
      </c>
      <c r="N51" s="172">
        <f>'June2025-EXPENSE'!R54</f>
        <v>5410.8894623840479</v>
      </c>
      <c r="O51" s="172"/>
      <c r="P51" s="172">
        <f t="shared" si="2"/>
        <v>180.11053761595213</v>
      </c>
      <c r="Q51" s="41">
        <f>'July2025-COLLECTION'!K50</f>
        <v>5410</v>
      </c>
      <c r="R51" s="174">
        <f>'July2025-EXPENSE'!R54</f>
        <v>6417.8304472359796</v>
      </c>
      <c r="S51" s="174"/>
      <c r="T51" s="174">
        <f t="shared" si="3"/>
        <v>-1007.8304472359796</v>
      </c>
      <c r="U51" s="167">
        <f>'Aug2025-COLLECTION'!K50</f>
        <v>6420</v>
      </c>
      <c r="V51" s="172">
        <f>'Aug2025-EXPENSE'!R54</f>
        <v>6872.5716712333124</v>
      </c>
      <c r="W51" s="172"/>
      <c r="X51" s="172">
        <f t="shared" si="4"/>
        <v>-452.57167123331237</v>
      </c>
      <c r="Y51" s="41">
        <f>'Sep2025-COLLECTION'!K50</f>
        <v>6417</v>
      </c>
      <c r="Z51" s="174">
        <f>'Sep2025-EXPENSE'!R54</f>
        <v>6025.9606231287025</v>
      </c>
      <c r="AA51" s="174"/>
      <c r="AB51" s="174">
        <f t="shared" si="5"/>
        <v>391.03937687129746</v>
      </c>
      <c r="AC51" s="41">
        <f>'Oct2025-COLLECTION'!K50</f>
        <v>6026</v>
      </c>
      <c r="AD51" s="174">
        <f>'Oct2025-EXPENSE'!R54</f>
        <v>7597.063355572076</v>
      </c>
      <c r="AE51" s="174"/>
      <c r="AF51" s="174">
        <f t="shared" si="6"/>
        <v>-1571.063355572076</v>
      </c>
      <c r="AG51" s="41">
        <f>'Nov2025-COLLECTION'!K50</f>
        <v>6114</v>
      </c>
      <c r="AH51" s="174">
        <f>'Nov2025-EXPENSE'!R54</f>
        <v>7704.0654566734574</v>
      </c>
      <c r="AI51" s="174"/>
      <c r="AJ51" s="174">
        <f t="shared" si="7"/>
        <v>-1590.0654566734574</v>
      </c>
      <c r="AK51" s="41">
        <f>'Dec2025-COLLECTION'!K50</f>
        <v>7786</v>
      </c>
      <c r="AL51" s="174">
        <f>'Dec2025-EXPENSE'!R54</f>
        <v>6297.8208899045885</v>
      </c>
      <c r="AM51" s="174"/>
      <c r="AN51" s="174">
        <f t="shared" si="8"/>
        <v>1488.1791100954115</v>
      </c>
      <c r="AO51" s="7">
        <f>'Jan2026-COLLECTION'!K50</f>
        <v>6280</v>
      </c>
      <c r="AP51" s="10">
        <f>'Jan2026-EXPENSE'!R54</f>
        <v>6032.3988558805268</v>
      </c>
      <c r="AQ51" s="10"/>
      <c r="AR51" s="174">
        <f t="shared" si="9"/>
        <v>247.60114411947325</v>
      </c>
      <c r="AS51" s="7">
        <f>'Feb2026-COLLECTION'!K50</f>
        <v>6050</v>
      </c>
      <c r="AT51" s="10">
        <f>'Feb2026-EXPENSE'!R54</f>
        <v>5932.8928171032348</v>
      </c>
      <c r="AU51" s="10"/>
      <c r="AV51" s="174">
        <f t="shared" si="10"/>
        <v>117.10718289676515</v>
      </c>
      <c r="AW51" s="7">
        <f>'Mar2026-COLLECTION'!K50</f>
        <v>5933</v>
      </c>
      <c r="AX51" s="10">
        <f>'Mar2026-EXPENSE'!R54</f>
        <v>5878.725860833124</v>
      </c>
      <c r="AY51" s="10"/>
      <c r="AZ51" s="174">
        <f t="shared" si="11"/>
        <v>54.274139166876012</v>
      </c>
      <c r="BA51" s="172">
        <f t="shared" ref="BA51:BC51" si="62">SUM(E51,I51,M51,Q51,U51,Y51,AC51,AG51,AK51,AO51,AS51,AW51)</f>
        <v>74670</v>
      </c>
      <c r="BB51" s="172">
        <f t="shared" si="62"/>
        <v>76604.277729935653</v>
      </c>
      <c r="BC51" s="172">
        <f t="shared" si="62"/>
        <v>0</v>
      </c>
      <c r="BD51" s="233">
        <f t="shared" si="13"/>
        <v>-1934.277729935653</v>
      </c>
      <c r="BE51" s="236">
        <f t="shared" si="15"/>
        <v>-1934.277729935653</v>
      </c>
    </row>
    <row r="52" spans="1:57" ht="15.75" customHeight="1">
      <c r="A52" s="169" t="s">
        <v>133</v>
      </c>
      <c r="B52" s="13"/>
      <c r="C52" s="13" t="s">
        <v>134</v>
      </c>
      <c r="D52" s="230">
        <v>-67934.559999999998</v>
      </c>
      <c r="E52" s="171">
        <f>'Apr2025-COLLECTION'!K51</f>
        <v>5236</v>
      </c>
      <c r="F52" s="172">
        <f>'Apr2025-EXPENSE'!R55</f>
        <v>6778.7601175380287</v>
      </c>
      <c r="G52" s="172"/>
      <c r="H52" s="172">
        <f t="shared" si="0"/>
        <v>-1542.7601175380287</v>
      </c>
      <c r="I52" s="173">
        <f>'May2025-COLLECTION'!K51</f>
        <v>0</v>
      </c>
      <c r="J52" s="174">
        <f>'May2025-EXPENSE'!R55</f>
        <v>5525.1168093003162</v>
      </c>
      <c r="K52" s="174">
        <v>500</v>
      </c>
      <c r="L52" s="174">
        <f t="shared" si="1"/>
        <v>-6025.1168093003162</v>
      </c>
      <c r="M52" s="172">
        <f>'June2025-COLLECTION'!K51</f>
        <v>69469</v>
      </c>
      <c r="N52" s="172">
        <f>'June2025-EXPENSE'!R55</f>
        <v>5694.2443099716002</v>
      </c>
      <c r="O52" s="172"/>
      <c r="P52" s="172">
        <f t="shared" si="2"/>
        <v>63774.755690028396</v>
      </c>
      <c r="Q52" s="41">
        <f>'July2025-COLLECTION'!K51</f>
        <v>0</v>
      </c>
      <c r="R52" s="174">
        <f>'July2025-EXPENSE'!R55</f>
        <v>6598.9014473982697</v>
      </c>
      <c r="S52" s="174">
        <v>500</v>
      </c>
      <c r="T52" s="174">
        <f t="shared" si="3"/>
        <v>-7098.9014473982697</v>
      </c>
      <c r="U52" s="167">
        <f>'Aug2025-COLLECTION'!K51</f>
        <v>18827</v>
      </c>
      <c r="V52" s="172">
        <f>'Aug2025-EXPENSE'!R55</f>
        <v>6902.2401838348405</v>
      </c>
      <c r="W52" s="172"/>
      <c r="X52" s="172">
        <f t="shared" si="4"/>
        <v>11924.759816165159</v>
      </c>
      <c r="Y52" s="41">
        <f>'Sep2025-COLLECTION'!K51</f>
        <v>0</v>
      </c>
      <c r="Z52" s="174">
        <f>'Sep2025-EXPENSE'!R55</f>
        <v>5775.3820601187008</v>
      </c>
      <c r="AA52" s="174"/>
      <c r="AB52" s="174">
        <f t="shared" si="5"/>
        <v>-5775.3820601187008</v>
      </c>
      <c r="AC52" s="41">
        <f>'Oct2025-COLLECTION'!K51</f>
        <v>5775</v>
      </c>
      <c r="AD52" s="174">
        <f>'Oct2025-EXPENSE'!R55</f>
        <v>7544.3288722392899</v>
      </c>
      <c r="AE52" s="174"/>
      <c r="AF52" s="174">
        <f t="shared" si="6"/>
        <v>-1769.3288722392899</v>
      </c>
      <c r="AG52" s="41">
        <f>'Nov2025-COLLECTION'!K51</f>
        <v>0</v>
      </c>
      <c r="AH52" s="174">
        <f>'Nov2025-EXPENSE'!R55</f>
        <v>7835.5314126601352</v>
      </c>
      <c r="AI52" s="174"/>
      <c r="AJ52" s="174">
        <f t="shared" si="7"/>
        <v>-7835.5314126601352</v>
      </c>
      <c r="AK52" s="41">
        <f>'Dec2025-COLLECTION'!K51</f>
        <v>6231</v>
      </c>
      <c r="AL52" s="174">
        <f>'Dec2025-EXPENSE'!R55</f>
        <v>5933.4109560228244</v>
      </c>
      <c r="AM52" s="174"/>
      <c r="AN52" s="174">
        <f t="shared" si="8"/>
        <v>297.58904397717561</v>
      </c>
      <c r="AO52" s="7">
        <f>'Jan2026-COLLECTION'!K51</f>
        <v>0</v>
      </c>
      <c r="AP52" s="10">
        <f>'Jan2026-EXPENSE'!R55</f>
        <v>5895.8963110268705</v>
      </c>
      <c r="AQ52" s="10"/>
      <c r="AR52" s="174">
        <f t="shared" si="9"/>
        <v>-5895.8963110268705</v>
      </c>
      <c r="AS52" s="7">
        <f>'Feb2026-COLLECTION'!K51</f>
        <v>0</v>
      </c>
      <c r="AT52" s="10">
        <f>'Feb2026-EXPENSE'!R55</f>
        <v>5861.9341501826912</v>
      </c>
      <c r="AU52" s="10"/>
      <c r="AV52" s="174">
        <f t="shared" si="10"/>
        <v>-5861.9341501826912</v>
      </c>
      <c r="AW52" s="7">
        <f>'Mar2026-COLLECTION'!K51</f>
        <v>0</v>
      </c>
      <c r="AX52" s="10">
        <f>'Mar2026-EXPENSE'!R55</f>
        <v>6105.0311775588398</v>
      </c>
      <c r="AY52" s="10"/>
      <c r="AZ52" s="174">
        <f t="shared" si="11"/>
        <v>-6105.0311775588398</v>
      </c>
      <c r="BA52" s="172">
        <f t="shared" ref="BA52:BC52" si="63">SUM(E52,I52,M52,Q52,U52,Y52,AC52,AG52,AK52,AO52,AS52,AW52)</f>
        <v>105538</v>
      </c>
      <c r="BB52" s="172">
        <f t="shared" si="63"/>
        <v>76450.777807852399</v>
      </c>
      <c r="BC52" s="172">
        <f t="shared" si="63"/>
        <v>1000</v>
      </c>
      <c r="BD52" s="233">
        <f t="shared" si="13"/>
        <v>28087.222192147601</v>
      </c>
      <c r="BE52" s="236">
        <f t="shared" si="15"/>
        <v>-39847.337807852397</v>
      </c>
    </row>
    <row r="53" spans="1:57" ht="15.75" customHeight="1">
      <c r="A53" s="169" t="s">
        <v>135</v>
      </c>
      <c r="B53" s="13"/>
      <c r="C53" s="13" t="s">
        <v>136</v>
      </c>
      <c r="D53" s="230"/>
      <c r="E53" s="171">
        <f>'Apr2025-COLLECTION'!K52</f>
        <v>4978</v>
      </c>
      <c r="F53" s="172">
        <f>'Apr2025-EXPENSE'!R56</f>
        <v>6552.0646376545055</v>
      </c>
      <c r="G53" s="172"/>
      <c r="H53" s="172">
        <f t="shared" si="0"/>
        <v>-1574.0646376545055</v>
      </c>
      <c r="I53" s="173">
        <f>'May2025-COLLECTION'!K52</f>
        <v>11928</v>
      </c>
      <c r="J53" s="174">
        <f>'May2025-EXPENSE'!R56</f>
        <v>4927.494886869863</v>
      </c>
      <c r="K53" s="174">
        <v>500</v>
      </c>
      <c r="L53" s="174">
        <f t="shared" si="1"/>
        <v>6500.505113130137</v>
      </c>
      <c r="M53" s="172">
        <f>'June2025-COLLECTION'!K52</f>
        <v>4905</v>
      </c>
      <c r="N53" s="172">
        <f>'June2025-EXPENSE'!R56</f>
        <v>4859.0454804789943</v>
      </c>
      <c r="O53" s="172"/>
      <c r="P53" s="172">
        <f t="shared" si="2"/>
        <v>45.95451952100575</v>
      </c>
      <c r="Q53" s="41">
        <f>'July2025-COLLECTION'!K52</f>
        <v>4860</v>
      </c>
      <c r="R53" s="174">
        <f>'July2025-EXPENSE'!R56</f>
        <v>6114.8750558250849</v>
      </c>
      <c r="S53" s="174"/>
      <c r="T53" s="174">
        <f t="shared" si="3"/>
        <v>-1254.8750558250849</v>
      </c>
      <c r="U53" s="167">
        <f>'Aug2025-COLLECTION'!K52</f>
        <v>6114.88</v>
      </c>
      <c r="V53" s="172">
        <f>'Aug2025-EXPENSE'!R56</f>
        <v>6343.0070526740001</v>
      </c>
      <c r="W53" s="172"/>
      <c r="X53" s="172">
        <f t="shared" si="4"/>
        <v>-228.12705267399997</v>
      </c>
      <c r="Y53" s="41">
        <f>'Sep2025-COLLECTION'!K52</f>
        <v>6343</v>
      </c>
      <c r="Z53" s="174">
        <f>'Sep2025-EXPENSE'!R56</f>
        <v>5604.7405572817688</v>
      </c>
      <c r="AA53" s="174"/>
      <c r="AB53" s="174">
        <f t="shared" si="5"/>
        <v>738.25944271823118</v>
      </c>
      <c r="AC53" s="41">
        <f>'Oct2025-COLLECTION'!K52</f>
        <v>5605</v>
      </c>
      <c r="AD53" s="174">
        <f>'Oct2025-EXPENSE'!R56</f>
        <v>6652.494746009339</v>
      </c>
      <c r="AE53" s="174"/>
      <c r="AF53" s="174">
        <f t="shared" si="6"/>
        <v>-1047.494746009339</v>
      </c>
      <c r="AG53" s="41">
        <f>'Nov2025-COLLECTION'!K52</f>
        <v>6231</v>
      </c>
      <c r="AH53" s="174">
        <f>'Nov2025-EXPENSE'!R56</f>
        <v>6769.4794383492308</v>
      </c>
      <c r="AI53" s="174"/>
      <c r="AJ53" s="174">
        <f t="shared" si="7"/>
        <v>-538.4794383492308</v>
      </c>
      <c r="AK53" s="41">
        <f>'Dec2025-COLLECTION'!K52</f>
        <v>6851</v>
      </c>
      <c r="AL53" s="174">
        <f>'Dec2025-EXPENSE'!R56</f>
        <v>5340.3609285912171</v>
      </c>
      <c r="AM53" s="174"/>
      <c r="AN53" s="174">
        <f t="shared" si="8"/>
        <v>1510.6390714087829</v>
      </c>
      <c r="AO53" s="7">
        <f>'Jan2026-COLLECTION'!K52</f>
        <v>5317.69</v>
      </c>
      <c r="AP53" s="10">
        <f>'Jan2026-EXPENSE'!R56</f>
        <v>5404.5265292378208</v>
      </c>
      <c r="AQ53" s="10"/>
      <c r="AR53" s="174">
        <f t="shared" si="9"/>
        <v>-86.836529237821196</v>
      </c>
      <c r="AS53" s="7">
        <f>'Feb2026-COLLECTION'!K52</f>
        <v>5427</v>
      </c>
      <c r="AT53" s="10">
        <f>'Feb2026-EXPENSE'!R56</f>
        <v>5275.8462613497468</v>
      </c>
      <c r="AU53" s="10"/>
      <c r="AV53" s="174">
        <f t="shared" si="10"/>
        <v>151.15373865025322</v>
      </c>
      <c r="AW53" s="7">
        <f>'Mar2026-COLLECTION'!K52</f>
        <v>5276</v>
      </c>
      <c r="AX53" s="10">
        <f>'Mar2026-EXPENSE'!R56</f>
        <v>5430.7502548178927</v>
      </c>
      <c r="AY53" s="10"/>
      <c r="AZ53" s="174">
        <f t="shared" si="11"/>
        <v>-154.75025481789271</v>
      </c>
      <c r="BA53" s="172">
        <f t="shared" ref="BA53:BC53" si="64">SUM(E53,I53,M53,Q53,U53,Y53,AC53,AG53,AK53,AO53,AS53,AW53)</f>
        <v>73836.570000000007</v>
      </c>
      <c r="BB53" s="172">
        <f t="shared" si="64"/>
        <v>69274.685829139475</v>
      </c>
      <c r="BC53" s="172">
        <f t="shared" si="64"/>
        <v>500</v>
      </c>
      <c r="BD53" s="233">
        <f t="shared" si="13"/>
        <v>4061.8841708605323</v>
      </c>
      <c r="BE53" s="236">
        <f t="shared" si="15"/>
        <v>4061.8841708605323</v>
      </c>
    </row>
    <row r="54" spans="1:57" ht="15.75" customHeight="1">
      <c r="A54" s="169" t="s">
        <v>137</v>
      </c>
      <c r="B54" s="13"/>
      <c r="C54" s="13" t="s">
        <v>138</v>
      </c>
      <c r="D54" s="230"/>
      <c r="E54" s="171">
        <f>'Apr2025-COLLECTION'!K53</f>
        <v>10099</v>
      </c>
      <c r="F54" s="172">
        <f>'Apr2025-EXPENSE'!R57</f>
        <v>5573.9870668568383</v>
      </c>
      <c r="G54" s="172"/>
      <c r="H54" s="172">
        <f t="shared" si="0"/>
        <v>4525.0129331431617</v>
      </c>
      <c r="I54" s="173">
        <f>'May2025-COLLECTION'!K53</f>
        <v>0</v>
      </c>
      <c r="J54" s="174">
        <f>'May2025-EXPENSE'!R57</f>
        <v>4216.0541027388217</v>
      </c>
      <c r="K54" s="174"/>
      <c r="L54" s="174">
        <f t="shared" si="1"/>
        <v>-4216.0541027388217</v>
      </c>
      <c r="M54" s="172">
        <f>'June2025-COLLECTION'!K53</f>
        <v>5529</v>
      </c>
      <c r="N54" s="172">
        <f>'June2025-EXPENSE'!R57</f>
        <v>4925.9734211175482</v>
      </c>
      <c r="O54" s="172"/>
      <c r="P54" s="172">
        <f t="shared" si="2"/>
        <v>603.02657888245176</v>
      </c>
      <c r="Q54" s="41">
        <f>'July2025-COLLECTION'!K53</f>
        <v>0</v>
      </c>
      <c r="R54" s="174">
        <f>'July2025-EXPENSE'!R57</f>
        <v>6261.4130877405805</v>
      </c>
      <c r="S54" s="174"/>
      <c r="T54" s="174">
        <f t="shared" si="3"/>
        <v>-6261.4130877405805</v>
      </c>
      <c r="U54" s="167">
        <f>'Aug2025-COLLECTION'!K53</f>
        <v>11187</v>
      </c>
      <c r="V54" s="172">
        <f>'Aug2025-EXPENSE'!R57</f>
        <v>6562.2086513612194</v>
      </c>
      <c r="W54" s="172"/>
      <c r="X54" s="172">
        <f t="shared" si="4"/>
        <v>4624.7913486387806</v>
      </c>
      <c r="Y54" s="41">
        <f>'Sep2025-COLLECTION'!K53</f>
        <v>0</v>
      </c>
      <c r="Z54" s="174">
        <f>'Sep2025-EXPENSE'!R57</f>
        <v>5493.6324903226032</v>
      </c>
      <c r="AA54" s="174"/>
      <c r="AB54" s="174">
        <f t="shared" si="5"/>
        <v>-5493.6324903226032</v>
      </c>
      <c r="AC54" s="41">
        <f>'Oct2025-COLLECTION'!K53</f>
        <v>0</v>
      </c>
      <c r="AD54" s="174">
        <f>'Oct2025-EXPENSE'!R57</f>
        <v>6984.5018623450333</v>
      </c>
      <c r="AE54" s="174"/>
      <c r="AF54" s="174">
        <f t="shared" si="6"/>
        <v>-6984.5018623450333</v>
      </c>
      <c r="AG54" s="41">
        <f>'Nov2025-COLLECTION'!K53</f>
        <v>0</v>
      </c>
      <c r="AH54" s="174">
        <f>'Nov2025-EXPENSE'!R57</f>
        <v>7106.9148840944599</v>
      </c>
      <c r="AI54" s="174"/>
      <c r="AJ54" s="174">
        <f t="shared" si="7"/>
        <v>-7106.9148840944599</v>
      </c>
      <c r="AK54" s="41">
        <f>'Dec2025-COLLECTION'!K53</f>
        <v>6231</v>
      </c>
      <c r="AL54" s="174">
        <f>'Dec2025-EXPENSE'!R57</f>
        <v>5468.921912669035</v>
      </c>
      <c r="AM54" s="174"/>
      <c r="AN54" s="174">
        <f t="shared" si="8"/>
        <v>762.07808733096499</v>
      </c>
      <c r="AO54" s="7">
        <f>'Jan2026-COLLECTION'!K53</f>
        <v>0</v>
      </c>
      <c r="AP54" s="10">
        <f>'Jan2026-EXPENSE'!R57</f>
        <v>5364.4419787179804</v>
      </c>
      <c r="AQ54" s="10"/>
      <c r="AR54" s="174">
        <f t="shared" si="9"/>
        <v>-5364.4419787179804</v>
      </c>
      <c r="AS54" s="7">
        <f>'Feb2026-COLLECTION'!K53</f>
        <v>0</v>
      </c>
      <c r="AT54" s="10">
        <f>'Feb2026-EXPENSE'!R57</f>
        <v>5572.9207654607499</v>
      </c>
      <c r="AU54" s="10"/>
      <c r="AV54" s="174">
        <f t="shared" si="10"/>
        <v>-5572.9207654607499</v>
      </c>
      <c r="AW54" s="7">
        <f>'Mar2026-COLLECTION'!K53</f>
        <v>0</v>
      </c>
      <c r="AX54" s="10">
        <f>'Mar2026-EXPENSE'!R57</f>
        <v>5566.2256543820458</v>
      </c>
      <c r="AY54" s="10"/>
      <c r="AZ54" s="174">
        <f t="shared" si="11"/>
        <v>-5566.2256543820458</v>
      </c>
      <c r="BA54" s="172">
        <f t="shared" ref="BA54:BC54" si="65">SUM(E54,I54,M54,Q54,U54,Y54,AC54,AG54,AK54,AO54,AS54,AW54)</f>
        <v>33046</v>
      </c>
      <c r="BB54" s="172">
        <f t="shared" si="65"/>
        <v>69097.195877806924</v>
      </c>
      <c r="BC54" s="172">
        <f t="shared" si="65"/>
        <v>0</v>
      </c>
      <c r="BD54" s="233">
        <f t="shared" si="13"/>
        <v>-36051.195877806924</v>
      </c>
      <c r="BE54" s="236">
        <f t="shared" si="15"/>
        <v>-36051.195877806924</v>
      </c>
    </row>
    <row r="55" spans="1:57" ht="15.75" customHeight="1">
      <c r="A55" s="169" t="s">
        <v>139</v>
      </c>
      <c r="B55" s="13"/>
      <c r="C55" s="13" t="s">
        <v>140</v>
      </c>
      <c r="D55" s="230"/>
      <c r="E55" s="171">
        <f>'Apr2025-COLLECTION'!K54</f>
        <v>4996</v>
      </c>
      <c r="F55" s="172">
        <f>'Apr2025-EXPENSE'!R58</f>
        <v>5971.0831586033255</v>
      </c>
      <c r="G55" s="172"/>
      <c r="H55" s="172">
        <f t="shared" si="0"/>
        <v>-975.0831586033255</v>
      </c>
      <c r="I55" s="173">
        <f>'May2025-COLLECTION'!K54</f>
        <v>5941</v>
      </c>
      <c r="J55" s="174">
        <f>'May2025-EXPENSE'!R58</f>
        <v>4449.5646261613438</v>
      </c>
      <c r="K55" s="174"/>
      <c r="L55" s="174">
        <f t="shared" si="1"/>
        <v>1491.4353738386562</v>
      </c>
      <c r="M55" s="172">
        <f>'June2025-COLLECTION'!K54</f>
        <v>0</v>
      </c>
      <c r="N55" s="172">
        <f>'June2025-EXPENSE'!R58</f>
        <v>4459.7267932091509</v>
      </c>
      <c r="O55" s="172"/>
      <c r="P55" s="172">
        <f t="shared" si="2"/>
        <v>-4459.7267932091509</v>
      </c>
      <c r="Q55" s="41">
        <f>'July2025-COLLECTION'!K54</f>
        <v>0</v>
      </c>
      <c r="R55" s="174">
        <f>'July2025-EXPENSE'!R58</f>
        <v>5301.4811757911275</v>
      </c>
      <c r="S55" s="174"/>
      <c r="T55" s="174">
        <f t="shared" si="3"/>
        <v>-5301.4811757911275</v>
      </c>
      <c r="U55" s="167">
        <f>'Aug2025-COLLECTION'!K54</f>
        <v>4459</v>
      </c>
      <c r="V55" s="172">
        <f>'Aug2025-EXPENSE'!R58</f>
        <v>5701.7176054517922</v>
      </c>
      <c r="W55" s="172"/>
      <c r="X55" s="172">
        <f t="shared" si="4"/>
        <v>-1242.7176054517922</v>
      </c>
      <c r="Y55" s="41">
        <f>'Sep2025-COLLECTION'!K54</f>
        <v>0</v>
      </c>
      <c r="Z55" s="174">
        <f>'Sep2025-EXPENSE'!R58</f>
        <v>4776.5464701705041</v>
      </c>
      <c r="AA55" s="174"/>
      <c r="AB55" s="174">
        <f t="shared" si="5"/>
        <v>-4776.5464701705041</v>
      </c>
      <c r="AC55" s="41">
        <f>'Oct2025-COLLECTION'!K54</f>
        <v>4776</v>
      </c>
      <c r="AD55" s="174">
        <f>'Oct2025-EXPENSE'!R58</f>
        <v>6189.9779868675587</v>
      </c>
      <c r="AE55" s="174"/>
      <c r="AF55" s="174">
        <f t="shared" si="6"/>
        <v>-1413.9779868675587</v>
      </c>
      <c r="AG55" s="41">
        <f>'Nov2025-COLLECTION'!K54</f>
        <v>0</v>
      </c>
      <c r="AH55" s="174">
        <f>'Nov2025-EXPENSE'!R58</f>
        <v>6846.604657605837</v>
      </c>
      <c r="AI55" s="174"/>
      <c r="AJ55" s="174">
        <f t="shared" si="7"/>
        <v>-6846.604657605837</v>
      </c>
      <c r="AK55" s="41">
        <f>'Dec2025-COLLECTION'!K54</f>
        <v>6928</v>
      </c>
      <c r="AL55" s="174">
        <f>'Dec2025-EXPENSE'!R58</f>
        <v>4937.3664850282794</v>
      </c>
      <c r="AM55" s="174"/>
      <c r="AN55" s="174">
        <f t="shared" si="8"/>
        <v>1990.6335149717206</v>
      </c>
      <c r="AO55" s="7">
        <f>'Jan2026-COLLECTION'!K54</f>
        <v>0</v>
      </c>
      <c r="AP55" s="10">
        <f>'Jan2026-EXPENSE'!R58</f>
        <v>4864.639399393719</v>
      </c>
      <c r="AQ55" s="10"/>
      <c r="AR55" s="174">
        <f t="shared" si="9"/>
        <v>-4864.639399393719</v>
      </c>
      <c r="AS55" s="7">
        <f>'Feb2026-COLLECTION'!K54</f>
        <v>4920</v>
      </c>
      <c r="AT55" s="10">
        <f>'Feb2026-EXPENSE'!R58</f>
        <v>4511.3168855782142</v>
      </c>
      <c r="AU55" s="10"/>
      <c r="AV55" s="174">
        <f t="shared" si="10"/>
        <v>408.68311442178583</v>
      </c>
      <c r="AW55" s="7">
        <f>'Mar2026-COLLECTION'!K54</f>
        <v>4511</v>
      </c>
      <c r="AX55" s="10">
        <f>'Mar2026-EXPENSE'!R58</f>
        <v>4846.980955304879</v>
      </c>
      <c r="AY55" s="10"/>
      <c r="AZ55" s="174">
        <f t="shared" si="11"/>
        <v>-335.98095530487899</v>
      </c>
      <c r="BA55" s="172">
        <f t="shared" ref="BA55:BC55" si="66">SUM(E55,I55,M55,Q55,U55,Y55,AC55,AG55,AK55,AO55,AS55,AW55)</f>
        <v>36531</v>
      </c>
      <c r="BB55" s="172">
        <f t="shared" si="66"/>
        <v>62857.006199165728</v>
      </c>
      <c r="BC55" s="172">
        <f t="shared" si="66"/>
        <v>0</v>
      </c>
      <c r="BD55" s="233">
        <f t="shared" si="13"/>
        <v>-26326.006199165728</v>
      </c>
      <c r="BE55" s="236">
        <f t="shared" si="15"/>
        <v>-26326.006199165728</v>
      </c>
    </row>
    <row r="56" spans="1:57" ht="15.75" customHeight="1">
      <c r="A56" s="169" t="s">
        <v>141</v>
      </c>
      <c r="B56" s="13"/>
      <c r="C56" s="13" t="s">
        <v>142</v>
      </c>
      <c r="D56" s="230"/>
      <c r="E56" s="171">
        <f>'Apr2025-COLLECTION'!K55</f>
        <v>10363</v>
      </c>
      <c r="F56" s="172">
        <f>'Apr2025-EXPENSE'!R59</f>
        <v>6745.2531091926221</v>
      </c>
      <c r="G56" s="172"/>
      <c r="H56" s="172">
        <f t="shared" si="0"/>
        <v>3617.7468908073779</v>
      </c>
      <c r="I56" s="173">
        <f>'May2025-COLLECTION'!K55</f>
        <v>6739</v>
      </c>
      <c r="J56" s="174">
        <f>'May2025-EXPENSE'!R59</f>
        <v>5170.0448245862826</v>
      </c>
      <c r="K56" s="174"/>
      <c r="L56" s="174">
        <f t="shared" si="1"/>
        <v>1568.9551754137174</v>
      </c>
      <c r="M56" s="172">
        <f>'June2025-COLLECTION'!K55</f>
        <v>0</v>
      </c>
      <c r="N56" s="172">
        <f>'June2025-EXPENSE'!R59</f>
        <v>5521.6696264641014</v>
      </c>
      <c r="O56" s="172"/>
      <c r="P56" s="172">
        <f t="shared" si="2"/>
        <v>-5521.6696264641014</v>
      </c>
      <c r="Q56" s="41">
        <f>'July2025-COLLECTION'!K55</f>
        <v>0</v>
      </c>
      <c r="R56" s="174">
        <f>'July2025-EXPENSE'!R59</f>
        <v>6295.5050070554444</v>
      </c>
      <c r="S56" s="174"/>
      <c r="T56" s="174">
        <f t="shared" si="3"/>
        <v>-6295.5050070554444</v>
      </c>
      <c r="U56" s="167">
        <f>'Aug2025-COLLECTION'!K55</f>
        <v>11818</v>
      </c>
      <c r="V56" s="172">
        <f>'Aug2025-EXPENSE'!R59</f>
        <v>6709.8937552264451</v>
      </c>
      <c r="W56" s="172"/>
      <c r="X56" s="172">
        <f t="shared" si="4"/>
        <v>5108.1062447735549</v>
      </c>
      <c r="Y56" s="41">
        <f>'Sep2025-COLLECTION'!K55</f>
        <v>0</v>
      </c>
      <c r="Z56" s="174">
        <f>'Sep2025-EXPENSE'!R59</f>
        <v>5634.4031871570023</v>
      </c>
      <c r="AA56" s="174"/>
      <c r="AB56" s="174">
        <f t="shared" si="5"/>
        <v>-5634.4031871570023</v>
      </c>
      <c r="AC56" s="41">
        <f>'Oct2025-COLLECTION'!K55</f>
        <v>6296</v>
      </c>
      <c r="AD56" s="174">
        <f>'Oct2025-EXPENSE'!R59</f>
        <v>7471.8367956099646</v>
      </c>
      <c r="AE56" s="174"/>
      <c r="AF56" s="174">
        <f t="shared" si="6"/>
        <v>-1175.8367956099646</v>
      </c>
      <c r="AG56" s="41">
        <f>'Nov2025-COLLECTION'!K55</f>
        <v>5634</v>
      </c>
      <c r="AH56" s="174">
        <f>'Nov2025-EXPENSE'!R59</f>
        <v>7632.8888021684379</v>
      </c>
      <c r="AI56" s="174"/>
      <c r="AJ56" s="174">
        <f t="shared" si="7"/>
        <v>-1998.8888021684379</v>
      </c>
      <c r="AK56" s="41">
        <f>'Dec2025-COLLECTION'!K55</f>
        <v>13828.61</v>
      </c>
      <c r="AL56" s="174">
        <f>'Dec2025-EXPENSE'!R59</f>
        <v>5838.0479501486643</v>
      </c>
      <c r="AM56" s="174"/>
      <c r="AN56" s="174">
        <f t="shared" si="8"/>
        <v>7990.5620498513363</v>
      </c>
      <c r="AO56" s="7">
        <f>'Jan2026-COLLECTION'!K55</f>
        <v>0</v>
      </c>
      <c r="AP56" s="10">
        <f>'Jan2026-EXPENSE'!R59</f>
        <v>5459.7465133151345</v>
      </c>
      <c r="AQ56" s="10"/>
      <c r="AR56" s="174">
        <f t="shared" si="9"/>
        <v>-5459.7465133151345</v>
      </c>
      <c r="AS56" s="7">
        <f>'Feb2026-COLLECTION'!K55</f>
        <v>0</v>
      </c>
      <c r="AT56" s="10">
        <f>'Feb2026-EXPENSE'!R59</f>
        <v>5952.7736146149082</v>
      </c>
      <c r="AU56" s="10"/>
      <c r="AV56" s="174">
        <f t="shared" si="10"/>
        <v>-5952.7736146149082</v>
      </c>
      <c r="AW56" s="7">
        <f>'Mar2026-COLLECTION'!K55</f>
        <v>0</v>
      </c>
      <c r="AX56" s="10">
        <f>'Mar2026-EXPENSE'!R59</f>
        <v>6245.9203652998567</v>
      </c>
      <c r="AY56" s="10"/>
      <c r="AZ56" s="174">
        <f t="shared" si="11"/>
        <v>-6245.9203652998567</v>
      </c>
      <c r="BA56" s="172">
        <f t="shared" ref="BA56:BC56" si="67">SUM(E56,I56,M56,Q56,U56,Y56,AC56,AG56,AK56,AO56,AS56,AW56)</f>
        <v>54678.61</v>
      </c>
      <c r="BB56" s="172">
        <f t="shared" si="67"/>
        <v>74677.983550838864</v>
      </c>
      <c r="BC56" s="172">
        <f t="shared" si="67"/>
        <v>0</v>
      </c>
      <c r="BD56" s="233">
        <f t="shared" si="13"/>
        <v>-19999.373550838864</v>
      </c>
      <c r="BE56" s="236">
        <f t="shared" si="15"/>
        <v>-19999.373550838864</v>
      </c>
    </row>
    <row r="57" spans="1:57" ht="15.75" customHeight="1">
      <c r="A57" s="169" t="s">
        <v>143</v>
      </c>
      <c r="B57" s="13"/>
      <c r="C57" s="13" t="s">
        <v>144</v>
      </c>
      <c r="D57" s="230"/>
      <c r="E57" s="171">
        <f>'Apr2025-COLLECTION'!K56</f>
        <v>0</v>
      </c>
      <c r="F57" s="172">
        <f>'Apr2025-EXPENSE'!R60</f>
        <v>5378.0844084110722</v>
      </c>
      <c r="G57" s="172"/>
      <c r="H57" s="172">
        <f t="shared" si="0"/>
        <v>-5378.0844084110722</v>
      </c>
      <c r="I57" s="173">
        <f>'May2025-COLLECTION'!K56</f>
        <v>0</v>
      </c>
      <c r="J57" s="174">
        <f>'May2025-EXPENSE'!R60</f>
        <v>4092.6049595555305</v>
      </c>
      <c r="K57" s="174"/>
      <c r="L57" s="174">
        <f t="shared" si="1"/>
        <v>-4092.6049595555305</v>
      </c>
      <c r="M57" s="172">
        <f>'June2025-COLLECTION'!K56</f>
        <v>4076</v>
      </c>
      <c r="N57" s="172">
        <f>'June2025-EXPENSE'!R60</f>
        <v>4403.5006344590856</v>
      </c>
      <c r="O57" s="172"/>
      <c r="P57" s="172">
        <f t="shared" si="2"/>
        <v>-327.50063445908563</v>
      </c>
      <c r="Q57" s="41">
        <f>'July2025-COLLECTION'!K56</f>
        <v>4403.5</v>
      </c>
      <c r="R57" s="174">
        <f>'July2025-EXPENSE'!R60</f>
        <v>5248.1413321738873</v>
      </c>
      <c r="S57" s="174"/>
      <c r="T57" s="174">
        <f t="shared" si="3"/>
        <v>-844.64133217388735</v>
      </c>
      <c r="U57" s="167">
        <f>'Aug2025-COLLECTION'!K56</f>
        <v>1794</v>
      </c>
      <c r="V57" s="172">
        <f>'Aug2025-EXPENSE'!R60</f>
        <v>5777.9867760236284</v>
      </c>
      <c r="W57" s="172"/>
      <c r="X57" s="172">
        <f t="shared" si="4"/>
        <v>-3983.9867760236284</v>
      </c>
      <c r="Y57" s="41">
        <f>'Sep2025-COLLECTION'!K56</f>
        <v>5777.61</v>
      </c>
      <c r="Z57" s="174">
        <f>'Sep2025-EXPENSE'!R60</f>
        <v>4802.8656860317533</v>
      </c>
      <c r="AA57" s="174"/>
      <c r="AB57" s="174">
        <f t="shared" si="5"/>
        <v>974.74431396824639</v>
      </c>
      <c r="AC57" s="41">
        <f>'Oct2025-COLLECTION'!K56</f>
        <v>0</v>
      </c>
      <c r="AD57" s="174">
        <f>'Oct2025-EXPENSE'!R60</f>
        <v>6308.0320455166084</v>
      </c>
      <c r="AE57" s="174"/>
      <c r="AF57" s="174">
        <f t="shared" si="6"/>
        <v>-6308.0320455166084</v>
      </c>
      <c r="AG57" s="41">
        <f>'Nov2025-COLLECTION'!K56</f>
        <v>6114</v>
      </c>
      <c r="AH57" s="174">
        <f>'Nov2025-EXPENSE'!R60</f>
        <v>6561.898039585757</v>
      </c>
      <c r="AI57" s="174"/>
      <c r="AJ57" s="174">
        <f t="shared" si="7"/>
        <v>-447.89803958575703</v>
      </c>
      <c r="AK57" s="41">
        <f>'Dec2025-COLLECTION'!K56</f>
        <v>6643.62</v>
      </c>
      <c r="AL57" s="174">
        <f>'Dec2025-EXPENSE'!R60</f>
        <v>4916.6627902336495</v>
      </c>
      <c r="AM57" s="174"/>
      <c r="AN57" s="174">
        <f t="shared" si="8"/>
        <v>1726.9572097663504</v>
      </c>
      <c r="AO57" s="7">
        <f>'Jan2026-COLLECTION'!K56</f>
        <v>4889.6000000000004</v>
      </c>
      <c r="AP57" s="10">
        <f>'Jan2026-EXPENSE'!R60</f>
        <v>5295.1595118259947</v>
      </c>
      <c r="AQ57" s="10"/>
      <c r="AR57" s="174">
        <f t="shared" si="9"/>
        <v>-405.55951182599438</v>
      </c>
      <c r="AS57" s="7">
        <f>'Feb2026-COLLECTION'!K56</f>
        <v>5312</v>
      </c>
      <c r="AT57" s="10">
        <f>'Feb2026-EXPENSE'!R60</f>
        <v>4499.0026602538201</v>
      </c>
      <c r="AU57" s="10"/>
      <c r="AV57" s="174">
        <f t="shared" si="10"/>
        <v>812.99733974617993</v>
      </c>
      <c r="AW57" s="7">
        <f>'Mar2026-COLLECTION'!K56</f>
        <v>4499</v>
      </c>
      <c r="AX57" s="10">
        <f>'Mar2026-EXPENSE'!R60</f>
        <v>4712.434378264672</v>
      </c>
      <c r="AY57" s="10"/>
      <c r="AZ57" s="174">
        <f t="shared" si="11"/>
        <v>-213.43437826467198</v>
      </c>
      <c r="BA57" s="172">
        <f t="shared" ref="BA57:BC57" si="68">SUM(E57,I57,M57,Q57,U57,Y57,AC57,AG57,AK57,AO57,AS57,AW57)</f>
        <v>43509.33</v>
      </c>
      <c r="BB57" s="172">
        <f t="shared" si="68"/>
        <v>61996.37322233546</v>
      </c>
      <c r="BC57" s="172">
        <f t="shared" si="68"/>
        <v>0</v>
      </c>
      <c r="BD57" s="233">
        <f t="shared" si="13"/>
        <v>-18487.043222335458</v>
      </c>
      <c r="BE57" s="236">
        <f t="shared" si="15"/>
        <v>-18487.043222335458</v>
      </c>
    </row>
    <row r="58" spans="1:57" ht="15.75" customHeight="1">
      <c r="A58" s="169" t="s">
        <v>145</v>
      </c>
      <c r="B58" s="13"/>
      <c r="C58" s="13" t="s">
        <v>146</v>
      </c>
      <c r="D58" s="230"/>
      <c r="E58" s="171">
        <f>'Apr2025-COLLECTION'!K57</f>
        <v>10568</v>
      </c>
      <c r="F58" s="172">
        <f>'Apr2025-EXPENSE'!R61</f>
        <v>6035.0743492035308</v>
      </c>
      <c r="G58" s="172"/>
      <c r="H58" s="172">
        <f t="shared" si="0"/>
        <v>4532.9256507964692</v>
      </c>
      <c r="I58" s="173">
        <f>'May2025-COLLECTION'!K57</f>
        <v>6007</v>
      </c>
      <c r="J58" s="174">
        <f>'May2025-EXPENSE'!R61</f>
        <v>4795.0063293926733</v>
      </c>
      <c r="K58" s="174"/>
      <c r="L58" s="174">
        <f t="shared" si="1"/>
        <v>1211.9936706073267</v>
      </c>
      <c r="M58" s="172">
        <f>'June2025-COLLECTION'!K57</f>
        <v>4778</v>
      </c>
      <c r="N58" s="172">
        <f>'June2025-EXPENSE'!R61</f>
        <v>4529.4555908263319</v>
      </c>
      <c r="O58" s="172"/>
      <c r="P58" s="172">
        <f t="shared" si="2"/>
        <v>248.5444091736681</v>
      </c>
      <c r="Q58" s="41">
        <f>'July2025-COLLECTION'!K57</f>
        <v>4529</v>
      </c>
      <c r="R58" s="174">
        <f>'July2025-EXPENSE'!R61</f>
        <v>5200.4826553324474</v>
      </c>
      <c r="S58" s="174"/>
      <c r="T58" s="174">
        <f t="shared" si="3"/>
        <v>-671.48265533244739</v>
      </c>
      <c r="U58" s="167">
        <f>'Aug2025-COLLECTION'!K57</f>
        <v>5200</v>
      </c>
      <c r="V58" s="172">
        <f>'Aug2025-EXPENSE'!R61</f>
        <v>5707.1431674399928</v>
      </c>
      <c r="W58" s="172"/>
      <c r="X58" s="172">
        <f t="shared" si="4"/>
        <v>-507.14316743999279</v>
      </c>
      <c r="Y58" s="41">
        <f>'Sep2025-COLLECTION'!K57</f>
        <v>0</v>
      </c>
      <c r="Z58" s="174">
        <f>'Sep2025-EXPENSE'!R61</f>
        <v>4881.0747331643579</v>
      </c>
      <c r="AA58" s="174"/>
      <c r="AB58" s="174">
        <f t="shared" si="5"/>
        <v>-4881.0747331643579</v>
      </c>
      <c r="AC58" s="41">
        <f>'Oct2025-COLLECTION'!K57</f>
        <v>4881</v>
      </c>
      <c r="AD58" s="174">
        <f>'Oct2025-EXPENSE'!R61</f>
        <v>6140.1955147909794</v>
      </c>
      <c r="AE58" s="174"/>
      <c r="AF58" s="174">
        <f t="shared" si="6"/>
        <v>-1259.1955147909794</v>
      </c>
      <c r="AG58" s="41">
        <f>'Nov2025-COLLECTION'!K57</f>
        <v>6114</v>
      </c>
      <c r="AH58" s="174">
        <f>'Nov2025-EXPENSE'!R61</f>
        <v>6607.2671043960991</v>
      </c>
      <c r="AI58" s="174"/>
      <c r="AJ58" s="174">
        <f t="shared" si="7"/>
        <v>-493.26710439609906</v>
      </c>
      <c r="AK58" s="41">
        <f>'Dec2025-COLLECTION'!K57</f>
        <v>0</v>
      </c>
      <c r="AL58" s="174">
        <f>'Dec2025-EXPENSE'!R61</f>
        <v>4817.4831315705342</v>
      </c>
      <c r="AM58" s="174"/>
      <c r="AN58" s="174">
        <f t="shared" si="8"/>
        <v>-4817.4831315705342</v>
      </c>
      <c r="AO58" s="7">
        <f>'Jan2026-COLLECTION'!K57</f>
        <v>4800.42</v>
      </c>
      <c r="AP58" s="10">
        <f>'Jan2026-EXPENSE'!R61</f>
        <v>5288.0139065972608</v>
      </c>
      <c r="AQ58" s="10"/>
      <c r="AR58" s="174">
        <f t="shared" si="9"/>
        <v>-487.59390659726068</v>
      </c>
      <c r="AS58" s="7">
        <f>'Feb2026-COLLECTION'!K57</f>
        <v>0</v>
      </c>
      <c r="AT58" s="10">
        <f>'Feb2026-EXPENSE'!R61</f>
        <v>4776.2952762935056</v>
      </c>
      <c r="AU58" s="10"/>
      <c r="AV58" s="174">
        <f t="shared" si="10"/>
        <v>-4776.2952762935056</v>
      </c>
      <c r="AW58" s="7">
        <f>'Mar2026-COLLECTION'!K57</f>
        <v>10081</v>
      </c>
      <c r="AX58" s="10">
        <f>'Mar2026-EXPENSE'!R61</f>
        <v>4917.6599264127854</v>
      </c>
      <c r="AY58" s="10"/>
      <c r="AZ58" s="174">
        <f t="shared" si="11"/>
        <v>5163.3400735872146</v>
      </c>
      <c r="BA58" s="172">
        <f t="shared" ref="BA58:BC58" si="69">SUM(E58,I58,M58,Q58,U58,Y58,AC58,AG58,AK58,AO58,AS58,AW58)</f>
        <v>56958.42</v>
      </c>
      <c r="BB58" s="172">
        <f t="shared" si="69"/>
        <v>63695.151685420511</v>
      </c>
      <c r="BC58" s="172">
        <f t="shared" si="69"/>
        <v>0</v>
      </c>
      <c r="BD58" s="233">
        <f t="shared" si="13"/>
        <v>-6736.7316854205128</v>
      </c>
      <c r="BE58" s="236">
        <f t="shared" si="15"/>
        <v>-6736.7316854205128</v>
      </c>
    </row>
    <row r="59" spans="1:57" ht="15.75" customHeight="1">
      <c r="A59" s="169" t="s">
        <v>147</v>
      </c>
      <c r="B59" s="13"/>
      <c r="C59" s="13" t="s">
        <v>148</v>
      </c>
      <c r="D59" s="230"/>
      <c r="E59" s="171">
        <f>'Apr2025-COLLECTION'!K58</f>
        <v>5255</v>
      </c>
      <c r="F59" s="172">
        <f>'Apr2025-EXPENSE'!R62</f>
        <v>6009.1683148292941</v>
      </c>
      <c r="G59" s="172"/>
      <c r="H59" s="172">
        <f t="shared" si="0"/>
        <v>-754.1683148292941</v>
      </c>
      <c r="I59" s="173">
        <f>'May2025-COLLECTION'!K58</f>
        <v>5977</v>
      </c>
      <c r="J59" s="174">
        <f>'May2025-EXPENSE'!R62</f>
        <v>5448.6705798148232</v>
      </c>
      <c r="K59" s="174"/>
      <c r="L59" s="174">
        <f t="shared" si="1"/>
        <v>528.32942018517679</v>
      </c>
      <c r="M59" s="172">
        <f>'June2025-COLLECTION'!K58</f>
        <v>5426</v>
      </c>
      <c r="N59" s="172">
        <f>'June2025-EXPENSE'!R62</f>
        <v>5328.9205915204329</v>
      </c>
      <c r="O59" s="172"/>
      <c r="P59" s="172">
        <f t="shared" si="2"/>
        <v>97.079408479567064</v>
      </c>
      <c r="Q59" s="41">
        <f>'July2025-COLLECTION'!K58</f>
        <v>5329</v>
      </c>
      <c r="R59" s="174">
        <f>'July2025-EXPENSE'!R62</f>
        <v>5839.6991762003854</v>
      </c>
      <c r="S59" s="174"/>
      <c r="T59" s="174">
        <f t="shared" si="3"/>
        <v>-510.69917620038541</v>
      </c>
      <c r="U59" s="167">
        <f>'Aug2025-COLLECTION'!K58</f>
        <v>5840</v>
      </c>
      <c r="V59" s="172">
        <f>'Aug2025-EXPENSE'!R62</f>
        <v>6294.2659384193448</v>
      </c>
      <c r="W59" s="172"/>
      <c r="X59" s="172">
        <f t="shared" si="4"/>
        <v>-454.26593841934482</v>
      </c>
      <c r="Y59" s="41">
        <f>'Sep2025-COLLECTION'!K58</f>
        <v>5840</v>
      </c>
      <c r="Z59" s="174">
        <f>'Sep2025-EXPENSE'!R62</f>
        <v>5244.8607404005543</v>
      </c>
      <c r="AA59" s="174"/>
      <c r="AB59" s="174">
        <f t="shared" si="5"/>
        <v>595.13925959944572</v>
      </c>
      <c r="AC59" s="41">
        <f>'Oct2025-COLLECTION'!K58</f>
        <v>5245</v>
      </c>
      <c r="AD59" s="174">
        <f>'Oct2025-EXPENSE'!R62</f>
        <v>6555.9050616601162</v>
      </c>
      <c r="AE59" s="174"/>
      <c r="AF59" s="174">
        <f t="shared" si="6"/>
        <v>-1310.9050616601162</v>
      </c>
      <c r="AG59" s="41">
        <f>'Nov2025-COLLECTION'!K58</f>
        <v>6231</v>
      </c>
      <c r="AH59" s="174">
        <f>'Nov2025-EXPENSE'!R62</f>
        <v>7005.5728855373118</v>
      </c>
      <c r="AI59" s="174"/>
      <c r="AJ59" s="174">
        <f t="shared" si="7"/>
        <v>-774.57288553731178</v>
      </c>
      <c r="AK59" s="41">
        <f>'Dec2025-COLLECTION'!K58</f>
        <v>7087.29</v>
      </c>
      <c r="AL59" s="174">
        <f>'Dec2025-EXPENSE'!R62</f>
        <v>5478.0711536488943</v>
      </c>
      <c r="AM59" s="174"/>
      <c r="AN59" s="174">
        <f t="shared" si="8"/>
        <v>1609.2188463511056</v>
      </c>
      <c r="AO59" s="7">
        <f>'Jan2026-COLLECTION'!K58</f>
        <v>5455.4</v>
      </c>
      <c r="AP59" s="10">
        <f>'Jan2026-EXPENSE'!R62</f>
        <v>5485.4008214440555</v>
      </c>
      <c r="AQ59" s="10"/>
      <c r="AR59" s="174">
        <f t="shared" si="9"/>
        <v>-30.000821444055873</v>
      </c>
      <c r="AS59" s="7">
        <f>'Feb2026-COLLECTION'!K58</f>
        <v>5508</v>
      </c>
      <c r="AT59" s="10">
        <f>'Feb2026-EXPENSE'!R62</f>
        <v>4658.4535346439425</v>
      </c>
      <c r="AU59" s="10"/>
      <c r="AV59" s="174">
        <f t="shared" si="10"/>
        <v>849.54646535605752</v>
      </c>
      <c r="AW59" s="7">
        <f>'Mar2026-COLLECTION'!K58</f>
        <v>4658</v>
      </c>
      <c r="AX59" s="10">
        <f>'Mar2026-EXPENSE'!R62</f>
        <v>4785.0859117432874</v>
      </c>
      <c r="AY59" s="10"/>
      <c r="AZ59" s="174">
        <f t="shared" si="11"/>
        <v>-127.0859117432874</v>
      </c>
      <c r="BA59" s="172">
        <f t="shared" ref="BA59:BC59" si="70">SUM(E59,I59,M59,Q59,U59,Y59,AC59,AG59,AK59,AO59,AS59,AW59)</f>
        <v>67851.69</v>
      </c>
      <c r="BB59" s="172">
        <f t="shared" si="70"/>
        <v>68134.074709862442</v>
      </c>
      <c r="BC59" s="172">
        <f t="shared" si="70"/>
        <v>0</v>
      </c>
      <c r="BD59" s="233">
        <f t="shared" si="13"/>
        <v>-282.38470986243919</v>
      </c>
      <c r="BE59" s="236">
        <f t="shared" si="15"/>
        <v>-282.38470986243919</v>
      </c>
    </row>
    <row r="60" spans="1:57" ht="15.75" customHeight="1">
      <c r="A60" s="169" t="s">
        <v>149</v>
      </c>
      <c r="B60" s="13"/>
      <c r="C60" s="13" t="s">
        <v>36</v>
      </c>
      <c r="D60" s="230"/>
      <c r="E60" s="171">
        <f>'Apr2025-COLLECTION'!K59</f>
        <v>5754</v>
      </c>
      <c r="F60" s="172">
        <f>'Apr2025-EXPENSE'!R63</f>
        <v>6609.6644135550587</v>
      </c>
      <c r="G60" s="172"/>
      <c r="H60" s="172">
        <f t="shared" si="0"/>
        <v>-855.66441355505867</v>
      </c>
      <c r="I60" s="173">
        <f>'May2025-COLLECTION'!K59</f>
        <v>6577</v>
      </c>
      <c r="J60" s="174">
        <f>'May2025-EXPENSE'!R63</f>
        <v>4975.9120208897366</v>
      </c>
      <c r="K60" s="174"/>
      <c r="L60" s="174">
        <f t="shared" si="1"/>
        <v>1601.0879791102634</v>
      </c>
      <c r="M60" s="172">
        <f>'June2025-COLLECTION'!K59</f>
        <v>4959</v>
      </c>
      <c r="N60" s="172">
        <f>'June2025-EXPENSE'!R63</f>
        <v>5280.4170790428761</v>
      </c>
      <c r="O60" s="172"/>
      <c r="P60" s="172">
        <f t="shared" si="2"/>
        <v>-321.41707904287614</v>
      </c>
      <c r="Q60" s="41">
        <f>'July2025-COLLECTION'!K59</f>
        <v>5281</v>
      </c>
      <c r="R60" s="174">
        <f>'July2025-EXPENSE'!R63</f>
        <v>5885.059060160329</v>
      </c>
      <c r="S60" s="174"/>
      <c r="T60" s="174">
        <f t="shared" si="3"/>
        <v>-604.05906016032895</v>
      </c>
      <c r="U60" s="167">
        <f>'Aug2025-COLLECTION'!K59</f>
        <v>5886</v>
      </c>
      <c r="V60" s="172">
        <f>'Aug2025-EXPENSE'!R63</f>
        <v>6634.3188966284451</v>
      </c>
      <c r="W60" s="172"/>
      <c r="X60" s="172">
        <f t="shared" si="4"/>
        <v>-748.31889662844515</v>
      </c>
      <c r="Y60" s="41">
        <f>'Sep2025-COLLECTION'!K59</f>
        <v>9000</v>
      </c>
      <c r="Z60" s="174">
        <f>'Sep2025-EXPENSE'!R63</f>
        <v>5796.1214326295876</v>
      </c>
      <c r="AA60" s="174"/>
      <c r="AB60" s="174">
        <f t="shared" si="5"/>
        <v>3203.8785673704124</v>
      </c>
      <c r="AC60" s="41">
        <f>'Oct2025-COLLECTION'!K59</f>
        <v>5796</v>
      </c>
      <c r="AD60" s="174">
        <f>'Oct2025-EXPENSE'!R63</f>
        <v>7141.1268014694051</v>
      </c>
      <c r="AE60" s="174"/>
      <c r="AF60" s="174">
        <f t="shared" si="6"/>
        <v>-1345.1268014694051</v>
      </c>
      <c r="AG60" s="41">
        <f>'Nov2025-COLLECTION'!K59</f>
        <v>6864</v>
      </c>
      <c r="AH60" s="174">
        <f>'Nov2025-EXPENSE'!R63</f>
        <v>7240.3824486307121</v>
      </c>
      <c r="AI60" s="174"/>
      <c r="AJ60" s="174">
        <f t="shared" si="7"/>
        <v>-376.38244863071213</v>
      </c>
      <c r="AK60" s="41">
        <f>'Dec2025-COLLECTION'!K59</f>
        <v>7323</v>
      </c>
      <c r="AL60" s="174">
        <f>'Dec2025-EXPENSE'!R63</f>
        <v>5573.6612272837383</v>
      </c>
      <c r="AM60" s="174"/>
      <c r="AN60" s="174">
        <f t="shared" si="8"/>
        <v>1749.3387727162617</v>
      </c>
      <c r="AO60" s="7">
        <f>'Jan2026-COLLECTION'!K59</f>
        <v>0</v>
      </c>
      <c r="AP60" s="10">
        <f>'Jan2026-EXPENSE'!R63</f>
        <v>6779.4296299160942</v>
      </c>
      <c r="AQ60" s="10"/>
      <c r="AR60" s="174">
        <f t="shared" si="9"/>
        <v>-6779.4296299160942</v>
      </c>
      <c r="AS60" s="7">
        <f>'Feb2026-COLLECTION'!K59</f>
        <v>0</v>
      </c>
      <c r="AT60" s="10">
        <f>'Feb2026-EXPENSE'!R63</f>
        <v>5920.2021225136068</v>
      </c>
      <c r="AU60" s="10"/>
      <c r="AV60" s="174">
        <f t="shared" si="10"/>
        <v>-5920.2021225136068</v>
      </c>
      <c r="AW60" s="7">
        <f>'Mar2026-COLLECTION'!K59</f>
        <v>12354</v>
      </c>
      <c r="AX60" s="10">
        <f>'Mar2026-EXPENSE'!R63</f>
        <v>5652.9314549616392</v>
      </c>
      <c r="AY60" s="10"/>
      <c r="AZ60" s="174">
        <f t="shared" si="11"/>
        <v>6701.0685450383608</v>
      </c>
      <c r="BA60" s="172">
        <f t="shared" ref="BA60:BC60" si="71">SUM(E60,I60,M60,Q60,U60,Y60,AC60,AG60,AK60,AO60,AS60,AW60)</f>
        <v>69794</v>
      </c>
      <c r="BB60" s="172">
        <f t="shared" si="71"/>
        <v>73489.226587681231</v>
      </c>
      <c r="BC60" s="172">
        <f t="shared" si="71"/>
        <v>0</v>
      </c>
      <c r="BD60" s="233">
        <f t="shared" si="13"/>
        <v>-3695.2265876812307</v>
      </c>
      <c r="BE60" s="236">
        <f t="shared" si="15"/>
        <v>-3695.2265876812307</v>
      </c>
    </row>
    <row r="61" spans="1:57" ht="15.75" customHeight="1">
      <c r="A61" s="169" t="s">
        <v>150</v>
      </c>
      <c r="B61" s="13"/>
      <c r="C61" s="13" t="s">
        <v>151</v>
      </c>
      <c r="D61" s="230"/>
      <c r="E61" s="171">
        <f>'Apr2025-COLLECTION'!K60</f>
        <v>4809</v>
      </c>
      <c r="F61" s="172">
        <f>'Apr2025-EXPENSE'!R64</f>
        <v>5706.6308186711276</v>
      </c>
      <c r="G61" s="172"/>
      <c r="H61" s="172">
        <f t="shared" si="0"/>
        <v>-897.6308186711276</v>
      </c>
      <c r="I61" s="173">
        <f>'May2025-COLLECTION'!K60</f>
        <v>0</v>
      </c>
      <c r="J61" s="174">
        <f>'May2025-EXPENSE'!R64</f>
        <v>4876.4096570393358</v>
      </c>
      <c r="K61" s="174">
        <v>500</v>
      </c>
      <c r="L61" s="174">
        <f t="shared" si="1"/>
        <v>-5376.4096570393358</v>
      </c>
      <c r="M61" s="172">
        <f>'June2025-COLLECTION'!K60</f>
        <v>10528</v>
      </c>
      <c r="N61" s="172">
        <f>'June2025-EXPENSE'!R64</f>
        <v>4585.0546920438683</v>
      </c>
      <c r="O61" s="172"/>
      <c r="P61" s="172">
        <f t="shared" si="2"/>
        <v>5942.9453079561317</v>
      </c>
      <c r="Q61" s="41">
        <f>'July2025-COLLECTION'!K60</f>
        <v>4585</v>
      </c>
      <c r="R61" s="174">
        <f>'July2025-EXPENSE'!R64</f>
        <v>5351.2590180171919</v>
      </c>
      <c r="S61" s="174"/>
      <c r="T61" s="174">
        <f t="shared" si="3"/>
        <v>-766.25901801719192</v>
      </c>
      <c r="U61" s="167">
        <f>'Aug2025-COLLECTION'!K60</f>
        <v>5351</v>
      </c>
      <c r="V61" s="172">
        <f>'Aug2025-EXPENSE'!R64</f>
        <v>5680.5045475143197</v>
      </c>
      <c r="W61" s="172"/>
      <c r="X61" s="172">
        <f t="shared" si="4"/>
        <v>-329.50454751431971</v>
      </c>
      <c r="Y61" s="41">
        <f>'Sep2025-COLLECTION'!K60</f>
        <v>0</v>
      </c>
      <c r="Z61" s="174">
        <f>'Sep2025-EXPENSE'!R64</f>
        <v>4833.8341046948408</v>
      </c>
      <c r="AA61" s="174"/>
      <c r="AB61" s="174">
        <f t="shared" si="5"/>
        <v>-4833.8341046948408</v>
      </c>
      <c r="AC61" s="41">
        <f>'Oct2025-COLLECTION'!K60</f>
        <v>5176</v>
      </c>
      <c r="AD61" s="174">
        <f>'Oct2025-EXPENSE'!R64</f>
        <v>6194.0158394586151</v>
      </c>
      <c r="AE61" s="174"/>
      <c r="AF61" s="174">
        <f t="shared" si="6"/>
        <v>-1018.0158394586151</v>
      </c>
      <c r="AG61" s="41">
        <f>'Nov2025-COLLECTION'!K60</f>
        <v>4834</v>
      </c>
      <c r="AH61" s="174">
        <f>'Nov2025-EXPENSE'!R64</f>
        <v>6978.402517172276</v>
      </c>
      <c r="AI61" s="174"/>
      <c r="AJ61" s="174">
        <f t="shared" si="7"/>
        <v>-2144.402517172276</v>
      </c>
      <c r="AK61" s="41">
        <f>'Dec2025-COLLECTION'!K60</f>
        <v>13174.119999999999</v>
      </c>
      <c r="AL61" s="174">
        <f>'Dec2025-EXPENSE'!R64</f>
        <v>5229.3404587721434</v>
      </c>
      <c r="AM61" s="174"/>
      <c r="AN61" s="174">
        <f t="shared" si="8"/>
        <v>7944.7795412278556</v>
      </c>
      <c r="AO61" s="7">
        <f>'Jan2026-COLLECTION'!K60</f>
        <v>0</v>
      </c>
      <c r="AP61" s="10">
        <f>'Jan2026-EXPENSE'!R64</f>
        <v>5145.7879829009362</v>
      </c>
      <c r="AQ61" s="10"/>
      <c r="AR61" s="174">
        <f t="shared" si="9"/>
        <v>-5145.7879829009362</v>
      </c>
      <c r="AS61" s="7">
        <f>'Feb2026-COLLECTION'!K60</f>
        <v>0</v>
      </c>
      <c r="AT61" s="10">
        <f>'Feb2026-EXPENSE'!R64</f>
        <v>4887.7662155753778</v>
      </c>
      <c r="AU61" s="10"/>
      <c r="AV61" s="174">
        <f t="shared" si="10"/>
        <v>-4887.7662155753778</v>
      </c>
      <c r="AW61" s="7">
        <f>'Mar2026-COLLECTION'!K60</f>
        <v>5163</v>
      </c>
      <c r="AX61" s="10">
        <f>'Mar2026-EXPENSE'!R64</f>
        <v>4938.9786148195508</v>
      </c>
      <c r="AY61" s="10"/>
      <c r="AZ61" s="174">
        <f t="shared" si="11"/>
        <v>224.02138518044922</v>
      </c>
      <c r="BA61" s="172">
        <f t="shared" ref="BA61:BC61" si="72">SUM(E61,I61,M61,Q61,U61,Y61,AC61,AG61,AK61,AO61,AS61,AW61)</f>
        <v>53620.119999999995</v>
      </c>
      <c r="BB61" s="172">
        <f t="shared" si="72"/>
        <v>64407.984466679591</v>
      </c>
      <c r="BC61" s="172">
        <f t="shared" si="72"/>
        <v>500</v>
      </c>
      <c r="BD61" s="233">
        <f t="shared" si="13"/>
        <v>-11287.864466679595</v>
      </c>
      <c r="BE61" s="236">
        <f t="shared" si="15"/>
        <v>-11287.864466679595</v>
      </c>
    </row>
    <row r="62" spans="1:57" ht="15.75" customHeight="1">
      <c r="A62" s="169" t="s">
        <v>152</v>
      </c>
      <c r="B62" s="13"/>
      <c r="C62" s="13" t="s">
        <v>153</v>
      </c>
      <c r="D62" s="230"/>
      <c r="E62" s="171">
        <f>'Apr2025-COLLECTION'!K61</f>
        <v>4668</v>
      </c>
      <c r="F62" s="172">
        <f>'Apr2025-EXPENSE'!R65</f>
        <v>5470.8304828903083</v>
      </c>
      <c r="G62" s="172"/>
      <c r="H62" s="172">
        <f t="shared" si="0"/>
        <v>-802.8304828903083</v>
      </c>
      <c r="I62" s="173">
        <f>'May2025-COLLECTION'!K61</f>
        <v>6103</v>
      </c>
      <c r="J62" s="174">
        <f>'May2025-EXPENSE'!R65</f>
        <v>4212.2071024441493</v>
      </c>
      <c r="K62" s="174">
        <v>500</v>
      </c>
      <c r="L62" s="174">
        <f t="shared" si="1"/>
        <v>1390.7928975558507</v>
      </c>
      <c r="M62" s="172">
        <f>'June2025-COLLECTION'!K61</f>
        <v>4195</v>
      </c>
      <c r="N62" s="172">
        <f>'June2025-EXPENSE'!R65</f>
        <v>4410.3982673169003</v>
      </c>
      <c r="O62" s="172"/>
      <c r="P62" s="172">
        <f t="shared" si="2"/>
        <v>-215.39826731690027</v>
      </c>
      <c r="Q62" s="41">
        <f>'July2025-COLLECTION'!K61</f>
        <v>4410.3999999999996</v>
      </c>
      <c r="R62" s="174">
        <f>'July2025-EXPENSE'!R65</f>
        <v>5218.6984599151738</v>
      </c>
      <c r="S62" s="174"/>
      <c r="T62" s="174">
        <f t="shared" si="3"/>
        <v>-808.29845991517413</v>
      </c>
      <c r="U62" s="167">
        <f>'Aug2025-COLLECTION'!K61</f>
        <v>5218.7</v>
      </c>
      <c r="V62" s="172">
        <f>'Aug2025-EXPENSE'!R65</f>
        <v>5695.2247197937822</v>
      </c>
      <c r="W62" s="172"/>
      <c r="X62" s="172">
        <f t="shared" si="4"/>
        <v>-476.52471979378242</v>
      </c>
      <c r="Y62" s="41">
        <f>'Sep2025-COLLECTION'!K61</f>
        <v>5695.22</v>
      </c>
      <c r="Z62" s="174">
        <f>'Sep2025-EXPENSE'!R65</f>
        <v>4826.8209004683395</v>
      </c>
      <c r="AA62" s="174"/>
      <c r="AB62" s="174">
        <f t="shared" si="5"/>
        <v>868.3990995316608</v>
      </c>
      <c r="AC62" s="41">
        <f>'Oct2025-COLLECTION'!K61</f>
        <v>4826.82</v>
      </c>
      <c r="AD62" s="174">
        <f>'Oct2025-EXPENSE'!R65</f>
        <v>6263.6156670149858</v>
      </c>
      <c r="AE62" s="174"/>
      <c r="AF62" s="174">
        <f t="shared" si="6"/>
        <v>-1436.7956670149861</v>
      </c>
      <c r="AG62" s="41">
        <f>'Nov2025-COLLECTION'!K61</f>
        <v>6114</v>
      </c>
      <c r="AH62" s="174">
        <f>'Nov2025-EXPENSE'!R65</f>
        <v>6898.6071929380769</v>
      </c>
      <c r="AI62" s="174"/>
      <c r="AJ62" s="174">
        <f t="shared" si="7"/>
        <v>-784.60719293807688</v>
      </c>
      <c r="AK62" s="41">
        <f>'Dec2025-COLLECTION'!K61</f>
        <v>6980.33</v>
      </c>
      <c r="AL62" s="174">
        <f>'Dec2025-EXPENSE'!R65</f>
        <v>4994.4784995984328</v>
      </c>
      <c r="AM62" s="174"/>
      <c r="AN62" s="174">
        <f t="shared" si="8"/>
        <v>1985.8515004015671</v>
      </c>
      <c r="AO62" s="7">
        <f>'Jan2026-COLLECTION'!K61</f>
        <v>4977.41</v>
      </c>
      <c r="AP62" s="10">
        <f>'Jan2026-EXPENSE'!R65</f>
        <v>4964.7023143951001</v>
      </c>
      <c r="AQ62" s="10"/>
      <c r="AR62" s="174">
        <f t="shared" si="9"/>
        <v>12.70768560489978</v>
      </c>
      <c r="AS62" s="7">
        <f>'Feb2026-COLLECTION'!K61</f>
        <v>4982</v>
      </c>
      <c r="AT62" s="10">
        <f>'Feb2026-EXPENSE'!R65</f>
        <v>4604.3412142335828</v>
      </c>
      <c r="AU62" s="10"/>
      <c r="AV62" s="174">
        <f t="shared" si="10"/>
        <v>377.65878576641717</v>
      </c>
      <c r="AW62" s="7">
        <f>'Mar2026-COLLECTION'!K61</f>
        <v>4604</v>
      </c>
      <c r="AX62" s="10">
        <f>'Mar2026-EXPENSE'!R65</f>
        <v>4805.6262381672741</v>
      </c>
      <c r="AY62" s="10"/>
      <c r="AZ62" s="174">
        <f t="shared" si="11"/>
        <v>-201.6262381672741</v>
      </c>
      <c r="BA62" s="172">
        <f t="shared" ref="BA62:BC62" si="73">SUM(E62,I62,M62,Q62,U62,Y62,AC62,AG62,AK62,AO62,AS62,AW62)</f>
        <v>62774.880000000005</v>
      </c>
      <c r="BB62" s="172">
        <f t="shared" si="73"/>
        <v>62365.551059176098</v>
      </c>
      <c r="BC62" s="172">
        <f t="shared" si="73"/>
        <v>500</v>
      </c>
      <c r="BD62" s="233">
        <f t="shared" si="13"/>
        <v>-90.671059176092967</v>
      </c>
      <c r="BE62" s="236">
        <f t="shared" si="15"/>
        <v>-90.671059176092967</v>
      </c>
    </row>
    <row r="63" spans="1:57" ht="15.75" customHeight="1">
      <c r="A63" s="169" t="s">
        <v>154</v>
      </c>
      <c r="B63" s="13"/>
      <c r="C63" s="13" t="s">
        <v>155</v>
      </c>
      <c r="D63" s="230"/>
      <c r="E63" s="171">
        <f>'Apr2025-COLLECTION'!K62</f>
        <v>0</v>
      </c>
      <c r="F63" s="172">
        <f>'Apr2025-EXPENSE'!R66</f>
        <v>5694.202028619442</v>
      </c>
      <c r="G63" s="172"/>
      <c r="H63" s="172">
        <f t="shared" si="0"/>
        <v>-5694.202028619442</v>
      </c>
      <c r="I63" s="173">
        <f>'May2025-COLLECTION'!K62</f>
        <v>12000</v>
      </c>
      <c r="J63" s="174">
        <f>'May2025-EXPENSE'!R66</f>
        <v>4543.6113733886759</v>
      </c>
      <c r="K63" s="174">
        <v>500</v>
      </c>
      <c r="L63" s="174">
        <f t="shared" si="1"/>
        <v>6956.3886266113241</v>
      </c>
      <c r="M63" s="172">
        <f>'June2025-COLLECTION'!K62</f>
        <v>0</v>
      </c>
      <c r="N63" s="172">
        <f>'June2025-EXPENSE'!R66</f>
        <v>4891.4016491574712</v>
      </c>
      <c r="O63" s="172"/>
      <c r="P63" s="172">
        <f t="shared" si="2"/>
        <v>-4891.4016491574712</v>
      </c>
      <c r="Q63" s="41">
        <f>'July2025-COLLECTION'!K62</f>
        <v>12000</v>
      </c>
      <c r="R63" s="174">
        <f>'July2025-EXPENSE'!R66</f>
        <v>5534.9451584413582</v>
      </c>
      <c r="S63" s="174"/>
      <c r="T63" s="174">
        <f t="shared" si="3"/>
        <v>6465.0548415586418</v>
      </c>
      <c r="U63" s="167">
        <f>'Aug2025-COLLECTION'!K62</f>
        <v>0</v>
      </c>
      <c r="V63" s="172">
        <f>'Aug2025-EXPENSE'!R66</f>
        <v>6092.1415184490852</v>
      </c>
      <c r="W63" s="172"/>
      <c r="X63" s="172">
        <f t="shared" si="4"/>
        <v>-6092.1415184490852</v>
      </c>
      <c r="Y63" s="41">
        <f>'Sep2025-COLLECTION'!K62</f>
        <v>12000</v>
      </c>
      <c r="Z63" s="174">
        <f>'Sep2025-EXPENSE'!R66</f>
        <v>5042.0688181882042</v>
      </c>
      <c r="AA63" s="174"/>
      <c r="AB63" s="174">
        <f t="shared" si="5"/>
        <v>6957.9311818117958</v>
      </c>
      <c r="AC63" s="41">
        <f>'Oct2025-COLLECTION'!K62</f>
        <v>12000</v>
      </c>
      <c r="AD63" s="174">
        <f>'Oct2025-EXPENSE'!R66</f>
        <v>6302.636070850026</v>
      </c>
      <c r="AE63" s="174"/>
      <c r="AF63" s="174">
        <f t="shared" si="6"/>
        <v>5697.363929149974</v>
      </c>
      <c r="AG63" s="41">
        <f>'Nov2025-COLLECTION'!K62</f>
        <v>12000</v>
      </c>
      <c r="AH63" s="174">
        <f>'Nov2025-EXPENSE'!R66</f>
        <v>7071.9075907562765</v>
      </c>
      <c r="AI63" s="174"/>
      <c r="AJ63" s="174">
        <f t="shared" si="7"/>
        <v>4928.0924092437235</v>
      </c>
      <c r="AK63" s="41">
        <f>'Dec2025-COLLECTION'!K62</f>
        <v>0</v>
      </c>
      <c r="AL63" s="174">
        <f>'Dec2025-EXPENSE'!R66</f>
        <v>5485.1453090456926</v>
      </c>
      <c r="AM63" s="174"/>
      <c r="AN63" s="174">
        <f t="shared" si="8"/>
        <v>-5485.1453090456926</v>
      </c>
      <c r="AO63" s="7">
        <f>'Jan2026-COLLECTION'!K62</f>
        <v>12000</v>
      </c>
      <c r="AP63" s="10">
        <f>'Jan2026-EXPENSE'!R66</f>
        <v>5204.7347371560591</v>
      </c>
      <c r="AQ63" s="10"/>
      <c r="AR63" s="174">
        <f t="shared" si="9"/>
        <v>6795.2652628439409</v>
      </c>
      <c r="AS63" s="7">
        <f>'Feb2026-COLLECTION'!K62</f>
        <v>12000</v>
      </c>
      <c r="AT63" s="10">
        <f>'Feb2026-EXPENSE'!R66</f>
        <v>4990.8881636824244</v>
      </c>
      <c r="AU63" s="10"/>
      <c r="AV63" s="174">
        <f t="shared" si="10"/>
        <v>7009.1118363175756</v>
      </c>
      <c r="AW63" s="7">
        <f>'Mar2026-COLLECTION'!K62</f>
        <v>0</v>
      </c>
      <c r="AX63" s="10">
        <f>'Mar2026-EXPENSE'!R66</f>
        <v>5788.2584672491867</v>
      </c>
      <c r="AY63" s="10"/>
      <c r="AZ63" s="174">
        <f t="shared" si="11"/>
        <v>-5788.2584672491867</v>
      </c>
      <c r="BA63" s="172">
        <f t="shared" ref="BA63:BC63" si="74">SUM(E63,I63,M63,Q63,U63,Y63,AC63,AG63,AK63,AO63,AS63,AW63)</f>
        <v>84000</v>
      </c>
      <c r="BB63" s="172">
        <f t="shared" si="74"/>
        <v>66641.940884983895</v>
      </c>
      <c r="BC63" s="172">
        <f t="shared" si="74"/>
        <v>500</v>
      </c>
      <c r="BD63" s="233">
        <f t="shared" si="13"/>
        <v>16858.059115016105</v>
      </c>
      <c r="BE63" s="236">
        <f t="shared" si="15"/>
        <v>16858.059115016105</v>
      </c>
    </row>
    <row r="64" spans="1:57" ht="15.75" customHeight="1">
      <c r="A64" s="169" t="s">
        <v>156</v>
      </c>
      <c r="B64" s="13"/>
      <c r="C64" s="13" t="s">
        <v>157</v>
      </c>
      <c r="D64" s="230"/>
      <c r="E64" s="171">
        <f>'Apr2025-COLLECTION'!K63</f>
        <v>6065</v>
      </c>
      <c r="F64" s="172">
        <f>'Apr2025-EXPENSE'!R67</f>
        <v>6372.3337534446046</v>
      </c>
      <c r="G64" s="172"/>
      <c r="H64" s="172">
        <f t="shared" si="0"/>
        <v>-307.33375344460455</v>
      </c>
      <c r="I64" s="173">
        <f>'May2025-COLLECTION'!K63</f>
        <v>11709</v>
      </c>
      <c r="J64" s="174">
        <f>'May2025-EXPENSE'!R67</f>
        <v>4561.1556129590908</v>
      </c>
      <c r="K64" s="174"/>
      <c r="L64" s="174">
        <f t="shared" si="1"/>
        <v>7147.8443870409092</v>
      </c>
      <c r="M64" s="172">
        <f>'June2025-COLLECTION'!K63</f>
        <v>5262</v>
      </c>
      <c r="N64" s="172">
        <f>'June2025-EXPENSE'!R67</f>
        <v>4851.7716131016623</v>
      </c>
      <c r="O64" s="172"/>
      <c r="P64" s="172">
        <f t="shared" si="2"/>
        <v>410.2283868983377</v>
      </c>
      <c r="Q64" s="41">
        <f>'July2025-COLLECTION'!K63</f>
        <v>4875</v>
      </c>
      <c r="R64" s="174">
        <f>'July2025-EXPENSE'!R67</f>
        <v>5513.3927955934787</v>
      </c>
      <c r="S64" s="174"/>
      <c r="T64" s="174">
        <f t="shared" si="3"/>
        <v>-638.3927955934787</v>
      </c>
      <c r="U64" s="167">
        <f>'Aug2025-COLLECTION'!K63</f>
        <v>5514</v>
      </c>
      <c r="V64" s="172">
        <f>'Aug2025-EXPENSE'!R67</f>
        <v>6276.2993233108773</v>
      </c>
      <c r="W64" s="172"/>
      <c r="X64" s="172">
        <f t="shared" si="4"/>
        <v>-762.2993233108773</v>
      </c>
      <c r="Y64" s="41">
        <f>'Sep2025-COLLECTION'!K63</f>
        <v>0</v>
      </c>
      <c r="Z64" s="174">
        <f>'Sep2025-EXPENSE'!R67</f>
        <v>5236.5867354142338</v>
      </c>
      <c r="AA64" s="174"/>
      <c r="AB64" s="174">
        <f t="shared" si="5"/>
        <v>-5236.5867354142338</v>
      </c>
      <c r="AC64" s="41">
        <f>'Oct2025-COLLECTION'!K63</f>
        <v>5237</v>
      </c>
      <c r="AD64" s="174">
        <f>'Oct2025-EXPENSE'!R67</f>
        <v>6525.621167227192</v>
      </c>
      <c r="AE64" s="174"/>
      <c r="AF64" s="174">
        <f t="shared" si="6"/>
        <v>-1288.621167227192</v>
      </c>
      <c r="AG64" s="41">
        <f>'Nov2025-COLLECTION'!K63</f>
        <v>6231</v>
      </c>
      <c r="AH64" s="174">
        <f>'Nov2025-EXPENSE'!R67</f>
        <v>6963.3510877629051</v>
      </c>
      <c r="AI64" s="174"/>
      <c r="AJ64" s="174">
        <f t="shared" si="7"/>
        <v>-732.35108776290508</v>
      </c>
      <c r="AK64" s="41">
        <f>'Dec2025-COLLECTION'!K63</f>
        <v>7045</v>
      </c>
      <c r="AL64" s="174">
        <f>'Dec2025-EXPENSE'!R67</f>
        <v>5511.1782009059107</v>
      </c>
      <c r="AM64" s="174"/>
      <c r="AN64" s="174">
        <f t="shared" si="8"/>
        <v>1533.8217990940893</v>
      </c>
      <c r="AO64" s="7">
        <f>'Jan2026-COLLECTION'!K63</f>
        <v>5556</v>
      </c>
      <c r="AP64" s="10">
        <f>'Jan2026-EXPENSE'!R67</f>
        <v>5164.6130713116627</v>
      </c>
      <c r="AQ64" s="10"/>
      <c r="AR64" s="174">
        <f t="shared" si="9"/>
        <v>391.38692868833732</v>
      </c>
      <c r="AS64" s="7">
        <f>'Feb2026-COLLECTION'!K63</f>
        <v>1489</v>
      </c>
      <c r="AT64" s="10">
        <f>'Feb2026-EXPENSE'!R67</f>
        <v>4936.4879714863027</v>
      </c>
      <c r="AU64" s="10"/>
      <c r="AV64" s="174">
        <f t="shared" si="10"/>
        <v>-3447.4879714863027</v>
      </c>
      <c r="AW64" s="7">
        <f>'Mar2026-COLLECTION'!K63</f>
        <v>3631</v>
      </c>
      <c r="AX64" s="10">
        <f>'Mar2026-EXPENSE'!R67</f>
        <v>5178.1105283045245</v>
      </c>
      <c r="AY64" s="10"/>
      <c r="AZ64" s="174">
        <f t="shared" si="11"/>
        <v>-1547.1105283045245</v>
      </c>
      <c r="BA64" s="172">
        <f t="shared" ref="BA64:BC64" si="75">SUM(E64,I64,M64,Q64,U64,Y64,AC64,AG64,AK64,AO64,AS64,AW64)</f>
        <v>62614</v>
      </c>
      <c r="BB64" s="172">
        <f t="shared" si="75"/>
        <v>67090.901860822443</v>
      </c>
      <c r="BC64" s="172">
        <f t="shared" si="75"/>
        <v>0</v>
      </c>
      <c r="BD64" s="233">
        <f t="shared" si="13"/>
        <v>-4476.9018608224433</v>
      </c>
      <c r="BE64" s="236">
        <f t="shared" si="15"/>
        <v>-4476.9018608224433</v>
      </c>
    </row>
    <row r="65" spans="1:57" ht="15.75" customHeight="1">
      <c r="A65" s="169" t="s">
        <v>158</v>
      </c>
      <c r="B65" s="13"/>
      <c r="C65" s="13" t="s">
        <v>159</v>
      </c>
      <c r="D65" s="230"/>
      <c r="E65" s="171">
        <f>'Apr2025-COLLECTION'!K64</f>
        <v>5359</v>
      </c>
      <c r="F65" s="172">
        <f>'Apr2025-EXPENSE'!R68</f>
        <v>6270.6371426595524</v>
      </c>
      <c r="G65" s="172"/>
      <c r="H65" s="172">
        <f t="shared" si="0"/>
        <v>-911.63714265955241</v>
      </c>
      <c r="I65" s="173">
        <f>'May2025-COLLECTION'!K64</f>
        <v>6247</v>
      </c>
      <c r="J65" s="174">
        <f>'May2025-EXPENSE'!R68</f>
        <v>5213.694407175054</v>
      </c>
      <c r="K65" s="174"/>
      <c r="L65" s="174">
        <f t="shared" si="1"/>
        <v>1033.305592824946</v>
      </c>
      <c r="M65" s="172">
        <f>'June2025-COLLECTION'!K64</f>
        <v>0</v>
      </c>
      <c r="N65" s="172">
        <f>'June2025-EXPENSE'!R68</f>
        <v>5151.5887213213418</v>
      </c>
      <c r="O65" s="172"/>
      <c r="P65" s="172">
        <f t="shared" si="2"/>
        <v>-5151.5887213213418</v>
      </c>
      <c r="Q65" s="41">
        <f>'July2025-COLLECTION'!K64</f>
        <v>5152</v>
      </c>
      <c r="R65" s="174">
        <f>'July2025-EXPENSE'!R68</f>
        <v>6160.9556307843577</v>
      </c>
      <c r="S65" s="174"/>
      <c r="T65" s="174">
        <f t="shared" si="3"/>
        <v>-1008.9556307843577</v>
      </c>
      <c r="U65" s="167">
        <f>'Aug2025-COLLECTION'!K64</f>
        <v>6161</v>
      </c>
      <c r="V65" s="172">
        <f>'Aug2025-EXPENSE'!R68</f>
        <v>7579.2858300781791</v>
      </c>
      <c r="W65" s="172"/>
      <c r="X65" s="172">
        <f t="shared" si="4"/>
        <v>-1418.2858300781791</v>
      </c>
      <c r="Y65" s="41">
        <f>'Sep2025-COLLECTION'!K64</f>
        <v>0</v>
      </c>
      <c r="Z65" s="174">
        <f>'Sep2025-EXPENSE'!R68</f>
        <v>5511.480701078809</v>
      </c>
      <c r="AA65" s="174"/>
      <c r="AB65" s="174">
        <f t="shared" si="5"/>
        <v>-5511.480701078809</v>
      </c>
      <c r="AC65" s="41">
        <f>'Oct2025-COLLECTION'!K64</f>
        <v>5511</v>
      </c>
      <c r="AD65" s="174">
        <f>'Oct2025-EXPENSE'!R68</f>
        <v>7138.0465200838971</v>
      </c>
      <c r="AE65" s="174"/>
      <c r="AF65" s="174">
        <f t="shared" si="6"/>
        <v>-1627.0465200838971</v>
      </c>
      <c r="AG65" s="41">
        <f>'Nov2025-COLLECTION'!K64</f>
        <v>0</v>
      </c>
      <c r="AH65" s="174">
        <f>'Nov2025-EXPENSE'!R68</f>
        <v>7376.3693618634643</v>
      </c>
      <c r="AI65" s="174"/>
      <c r="AJ65" s="174">
        <f t="shared" si="7"/>
        <v>-7376.3693618634643</v>
      </c>
      <c r="AK65" s="41">
        <f>'Dec2025-COLLECTION'!K64</f>
        <v>6231</v>
      </c>
      <c r="AL65" s="174">
        <f>'Dec2025-EXPENSE'!R68</f>
        <v>5804.0953953693479</v>
      </c>
      <c r="AM65" s="174"/>
      <c r="AN65" s="174">
        <f t="shared" si="8"/>
        <v>426.9046046306521</v>
      </c>
      <c r="AO65" s="7">
        <f>'Jan2026-COLLECTION'!K64</f>
        <v>0</v>
      </c>
      <c r="AP65" s="10">
        <f>'Jan2026-EXPENSE'!R68</f>
        <v>11613.994558006725</v>
      </c>
      <c r="AQ65" s="10"/>
      <c r="AR65" s="174">
        <f t="shared" si="9"/>
        <v>-11613.994558006725</v>
      </c>
      <c r="AS65" s="7">
        <f>'Feb2026-COLLECTION'!K64</f>
        <v>5781</v>
      </c>
      <c r="AT65" s="10">
        <f>'Feb2026-EXPENSE'!R68</f>
        <v>5352.8967153875265</v>
      </c>
      <c r="AU65" s="10"/>
      <c r="AV65" s="174">
        <f t="shared" si="10"/>
        <v>428.10328461247354</v>
      </c>
      <c r="AW65" s="7">
        <f>'Mar2026-COLLECTION'!K64</f>
        <v>5832</v>
      </c>
      <c r="AX65" s="10">
        <f>'Mar2026-EXPENSE'!R68</f>
        <v>5419.781303106528</v>
      </c>
      <c r="AY65" s="10"/>
      <c r="AZ65" s="174">
        <f t="shared" si="11"/>
        <v>412.21869689347204</v>
      </c>
      <c r="BA65" s="172">
        <f t="shared" ref="BA65:BC65" si="76">SUM(E65,I65,M65,Q65,U65,Y65,AC65,AG65,AK65,AO65,AS65,AW65)</f>
        <v>46274</v>
      </c>
      <c r="BB65" s="172">
        <f t="shared" si="76"/>
        <v>78592.826286914787</v>
      </c>
      <c r="BC65" s="172">
        <f t="shared" si="76"/>
        <v>0</v>
      </c>
      <c r="BD65" s="233">
        <f t="shared" si="13"/>
        <v>-32318.826286914787</v>
      </c>
      <c r="BE65" s="236">
        <f t="shared" si="15"/>
        <v>-32318.826286914787</v>
      </c>
    </row>
    <row r="66" spans="1:57" ht="15.75" customHeight="1">
      <c r="A66" s="169" t="s">
        <v>160</v>
      </c>
      <c r="B66" s="13"/>
      <c r="C66" s="13" t="s">
        <v>161</v>
      </c>
      <c r="D66" s="230"/>
      <c r="E66" s="171">
        <f>'Apr2025-COLLECTION'!K65</f>
        <v>9775</v>
      </c>
      <c r="F66" s="172">
        <f>'Apr2025-EXPENSE'!R69</f>
        <v>5663.8842918312803</v>
      </c>
      <c r="G66" s="172"/>
      <c r="H66" s="172">
        <f t="shared" si="0"/>
        <v>4111.1157081687197</v>
      </c>
      <c r="I66" s="173">
        <f>'May2025-COLLECTION'!K65</f>
        <v>5625</v>
      </c>
      <c r="J66" s="174">
        <f>'May2025-EXPENSE'!R69</f>
        <v>4136.1982639728776</v>
      </c>
      <c r="K66" s="174"/>
      <c r="L66" s="174">
        <f t="shared" si="1"/>
        <v>1488.8017360271224</v>
      </c>
      <c r="M66" s="172">
        <f>'June2025-COLLECTION'!K65</f>
        <v>4119</v>
      </c>
      <c r="N66" s="172">
        <f>'June2025-EXPENSE'!R69</f>
        <v>4961.749053751555</v>
      </c>
      <c r="O66" s="172"/>
      <c r="P66" s="172">
        <f t="shared" si="2"/>
        <v>-842.74905375155504</v>
      </c>
      <c r="Q66" s="41">
        <f>'July2025-COLLECTION'!K65</f>
        <v>4962</v>
      </c>
      <c r="R66" s="174">
        <f>'July2025-EXPENSE'!R69</f>
        <v>5875.2339315218014</v>
      </c>
      <c r="S66" s="174"/>
      <c r="T66" s="174">
        <f t="shared" si="3"/>
        <v>-913.23393152180142</v>
      </c>
      <c r="U66" s="167">
        <f>'Aug2025-COLLECTION'!K65</f>
        <v>5875</v>
      </c>
      <c r="V66" s="172">
        <f>'Aug2025-EXPENSE'!R69</f>
        <v>6217.0125788721234</v>
      </c>
      <c r="W66" s="172"/>
      <c r="X66" s="172">
        <f t="shared" si="4"/>
        <v>-342.01257887212341</v>
      </c>
      <c r="Y66" s="41">
        <f>'Sep2025-COLLECTION'!K65</f>
        <v>0</v>
      </c>
      <c r="Z66" s="174">
        <f>'Sep2025-EXPENSE'!R69</f>
        <v>5153.9592976179702</v>
      </c>
      <c r="AA66" s="174"/>
      <c r="AB66" s="174">
        <f t="shared" si="5"/>
        <v>-5153.9592976179702</v>
      </c>
      <c r="AC66" s="41">
        <f>'Oct2025-COLLECTION'!K65</f>
        <v>5154</v>
      </c>
      <c r="AD66" s="174">
        <f>'Oct2025-EXPENSE'!R69</f>
        <v>6593.1788199403036</v>
      </c>
      <c r="AE66" s="174"/>
      <c r="AF66" s="174">
        <f t="shared" si="6"/>
        <v>-1439.1788199403036</v>
      </c>
      <c r="AG66" s="41">
        <f>'Nov2025-COLLECTION'!K65</f>
        <v>0</v>
      </c>
      <c r="AH66" s="174">
        <f>'Nov2025-EXPENSE'!R69</f>
        <v>7142.980373405313</v>
      </c>
      <c r="AI66" s="174"/>
      <c r="AJ66" s="174">
        <f t="shared" si="7"/>
        <v>-7142.980373405313</v>
      </c>
      <c r="AK66" s="41">
        <f>'Dec2025-COLLECTION'!K65</f>
        <v>6114</v>
      </c>
      <c r="AL66" s="174">
        <f>'Dec2025-EXPENSE'!R69</f>
        <v>5476.3699652283467</v>
      </c>
      <c r="AM66" s="174"/>
      <c r="AN66" s="174">
        <f t="shared" si="8"/>
        <v>637.6300347716533</v>
      </c>
      <c r="AO66" s="7">
        <f>'Jan2026-COLLECTION'!K65</f>
        <v>5460</v>
      </c>
      <c r="AP66" s="10">
        <f>'Jan2026-EXPENSE'!R69</f>
        <v>5369.9274278910461</v>
      </c>
      <c r="AQ66" s="10"/>
      <c r="AR66" s="174">
        <f t="shared" si="9"/>
        <v>90.072572108953864</v>
      </c>
      <c r="AS66" s="7">
        <f>'Feb2026-COLLECTION'!K65</f>
        <v>5387</v>
      </c>
      <c r="AT66" s="10">
        <f>'Feb2026-EXPENSE'!R69</f>
        <v>5365.5977219380402</v>
      </c>
      <c r="AU66" s="10"/>
      <c r="AV66" s="174">
        <f t="shared" si="10"/>
        <v>21.402278061959805</v>
      </c>
      <c r="AW66" s="7">
        <f>'Mar2026-COLLECTION'!K65</f>
        <v>5366</v>
      </c>
      <c r="AX66" s="10">
        <f>'Mar2026-EXPENSE'!R69</f>
        <v>5231.1154134226317</v>
      </c>
      <c r="AY66" s="10"/>
      <c r="AZ66" s="174">
        <f t="shared" si="11"/>
        <v>134.88458657736828</v>
      </c>
      <c r="BA66" s="172">
        <f t="shared" ref="BA66:BC66" si="77">SUM(E66,I66,M66,Q66,U66,Y66,AC66,AG66,AK66,AO66,AS66,AW66)</f>
        <v>57837</v>
      </c>
      <c r="BB66" s="172">
        <f t="shared" si="77"/>
        <v>67187.2071393933</v>
      </c>
      <c r="BC66" s="172">
        <f t="shared" si="77"/>
        <v>0</v>
      </c>
      <c r="BD66" s="233">
        <f t="shared" si="13"/>
        <v>-9350.2071393933002</v>
      </c>
      <c r="BE66" s="236">
        <f t="shared" si="15"/>
        <v>-9350.2071393933002</v>
      </c>
    </row>
    <row r="67" spans="1:57" ht="15.75" customHeight="1">
      <c r="A67" s="169"/>
      <c r="B67" s="156"/>
      <c r="C67" s="156" t="s">
        <v>162</v>
      </c>
      <c r="D67" s="143">
        <f t="shared" ref="D67:F67" si="78">SUM(D3:D66)</f>
        <v>-310964.90999999997</v>
      </c>
      <c r="E67" s="178">
        <f t="shared" si="78"/>
        <v>327195</v>
      </c>
      <c r="F67" s="174">
        <f t="shared" si="78"/>
        <v>389100.83000000013</v>
      </c>
      <c r="G67" s="174">
        <f>SUM(G3:G66)</f>
        <v>0</v>
      </c>
      <c r="H67" s="174">
        <f t="shared" ref="H67:J67" si="79">SUM(H3:H66)</f>
        <v>-61905.82999999998</v>
      </c>
      <c r="I67" s="174">
        <f t="shared" si="79"/>
        <v>353995</v>
      </c>
      <c r="J67" s="174">
        <f t="shared" si="79"/>
        <v>308559.99995700002</v>
      </c>
      <c r="K67" s="174">
        <f>SUM(K3:K66)</f>
        <v>8500</v>
      </c>
      <c r="L67" s="174">
        <f t="shared" ref="L67:R67" si="80">SUM(L3:L66)</f>
        <v>36935.000043000007</v>
      </c>
      <c r="M67" s="174">
        <f t="shared" si="80"/>
        <v>587135.71</v>
      </c>
      <c r="N67" s="174">
        <f t="shared" si="80"/>
        <v>316511.99995700002</v>
      </c>
      <c r="O67" s="174">
        <f t="shared" si="80"/>
        <v>0</v>
      </c>
      <c r="P67" s="174">
        <f t="shared" si="80"/>
        <v>270623.71004300006</v>
      </c>
      <c r="Q67" s="174">
        <f t="shared" si="80"/>
        <v>263304.58999999997</v>
      </c>
      <c r="R67" s="174">
        <f t="shared" si="80"/>
        <v>372950.99995700008</v>
      </c>
      <c r="S67" s="174">
        <f>SUM(S3:S66)</f>
        <v>2500</v>
      </c>
      <c r="T67" s="174">
        <f t="shared" ref="T67:V67" si="81">SUM(T3:T66)</f>
        <v>-112146.40995700003</v>
      </c>
      <c r="U67" s="174">
        <f t="shared" si="81"/>
        <v>326216.61000000004</v>
      </c>
      <c r="V67" s="174">
        <f t="shared" si="81"/>
        <v>404240.99995700002</v>
      </c>
      <c r="W67" s="174">
        <f>SUM(W3:W66)</f>
        <v>0</v>
      </c>
      <c r="X67" s="174">
        <f t="shared" ref="X67:Z67" si="82">SUM(X3:X66)</f>
        <v>-78024.389957000007</v>
      </c>
      <c r="Y67" s="174">
        <f t="shared" si="82"/>
        <v>377525.13999999996</v>
      </c>
      <c r="Z67" s="174">
        <f t="shared" si="82"/>
        <v>339897.99995700002</v>
      </c>
      <c r="AA67" s="174">
        <f>SUM(AA3:AA66)</f>
        <v>0</v>
      </c>
      <c r="AB67" s="174">
        <f t="shared" ref="AB67:AD67" si="83">SUM(AB3:AB66)</f>
        <v>37627.140042999992</v>
      </c>
      <c r="AC67" s="174">
        <f t="shared" si="83"/>
        <v>276048.51</v>
      </c>
      <c r="AD67" s="174">
        <f t="shared" si="83"/>
        <v>433066.99995700002</v>
      </c>
      <c r="AE67" s="174">
        <f>SUM(AE3:AE66)</f>
        <v>0</v>
      </c>
      <c r="AF67" s="174">
        <f t="shared" ref="AF67:AH67" si="84">SUM(AF3:AF66)</f>
        <v>-157018.4899570001</v>
      </c>
      <c r="AG67" s="174">
        <f t="shared" si="84"/>
        <v>273730.38</v>
      </c>
      <c r="AH67" s="174">
        <f t="shared" si="84"/>
        <v>460167.99995699996</v>
      </c>
      <c r="AI67" s="174">
        <f>SUM(AI3:AI66)</f>
        <v>0</v>
      </c>
      <c r="AJ67" s="174">
        <f t="shared" ref="AJ67:AL67" si="85">SUM(AJ3:AJ66)</f>
        <v>-186437.61995700002</v>
      </c>
      <c r="AK67" s="174">
        <f t="shared" si="85"/>
        <v>378644.99</v>
      </c>
      <c r="AL67" s="174">
        <f t="shared" si="85"/>
        <v>354395.99995700008</v>
      </c>
      <c r="AM67" s="174">
        <f>SUM(AM3:AM66)</f>
        <v>0</v>
      </c>
      <c r="AN67" s="174">
        <f t="shared" ref="AN67:BD67" si="86">SUM(AN3:AN66)</f>
        <v>24248.990042999998</v>
      </c>
      <c r="AO67" s="7">
        <f t="shared" si="86"/>
        <v>362273.94</v>
      </c>
      <c r="AP67" s="10">
        <f t="shared" si="86"/>
        <v>350803.99995700002</v>
      </c>
      <c r="AQ67" s="10">
        <f t="shared" si="86"/>
        <v>0</v>
      </c>
      <c r="AR67" s="10">
        <f t="shared" si="86"/>
        <v>11469.94004300001</v>
      </c>
      <c r="AS67" s="7">
        <f t="shared" si="86"/>
        <v>256044.66</v>
      </c>
      <c r="AT67" s="10">
        <f t="shared" si="86"/>
        <v>329671.63000000006</v>
      </c>
      <c r="AU67" s="10">
        <f t="shared" si="86"/>
        <v>0</v>
      </c>
      <c r="AV67" s="10">
        <f t="shared" si="86"/>
        <v>-73626.970000000016</v>
      </c>
      <c r="AW67" s="7">
        <f t="shared" si="86"/>
        <v>283757.58</v>
      </c>
      <c r="AX67" s="10">
        <f t="shared" si="86"/>
        <v>343422.62999999989</v>
      </c>
      <c r="AY67" s="10">
        <f t="shared" si="86"/>
        <v>0</v>
      </c>
      <c r="AZ67" s="10">
        <f t="shared" si="86"/>
        <v>-59665.050000000017</v>
      </c>
      <c r="BA67" s="174">
        <f t="shared" si="86"/>
        <v>4065872.1099999989</v>
      </c>
      <c r="BB67" s="174">
        <f t="shared" si="86"/>
        <v>4402792.089612999</v>
      </c>
      <c r="BC67" s="174">
        <f t="shared" si="86"/>
        <v>11000</v>
      </c>
      <c r="BD67" s="234">
        <f t="shared" si="86"/>
        <v>-347919.97961299983</v>
      </c>
      <c r="BE67" s="236">
        <f t="shared" si="15"/>
        <v>-658884.88961299974</v>
      </c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83A21A0A-6595-5540-AD53-C8279C5F64C7}"/>
    </customSheetView>
  </customSheetViews>
  <mergeCells count="12">
    <mergeCell ref="AG1:AJ1"/>
    <mergeCell ref="AK1:AN1"/>
    <mergeCell ref="AO1:AR1"/>
    <mergeCell ref="AS1:AV1"/>
    <mergeCell ref="AW1:AZ1"/>
    <mergeCell ref="Y1:AB1"/>
    <mergeCell ref="AC1:AF1"/>
    <mergeCell ref="E1:H1"/>
    <mergeCell ref="I1:L1"/>
    <mergeCell ref="M1:P1"/>
    <mergeCell ref="Q1:T1"/>
    <mergeCell ref="U1:X1"/>
  </mergeCells>
  <conditionalFormatting sqref="K1:L66 AO2:AQ2 AS2:AU2 AW2:AY2 G2:H66 O2:P66 S2:T66 W2:X66 AA2:AB66 AE2:AF66 AI2:AJ66 AM2:AN66 AR2:AR66 AV2:AV66 AZ2:AZ66">
    <cfRule type="cellIs" dxfId="13" priority="1" operator="lessThan">
      <formula>0</formula>
    </cfRule>
  </conditionalFormatting>
  <conditionalFormatting sqref="AO2:AQ2 AS2:AU2 AW2:AY2 AE2:AF66 AI2:AJ66 AM2:AN66 AR2:AR66 AV2:AV66 AZ2:AZ66 BE1 BC1:BD66">
    <cfRule type="cellIs" dxfId="12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5" width="23.5" customWidth="1"/>
    <col min="56" max="59" width="30.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40">
        <v>45748</v>
      </c>
      <c r="G1" s="238"/>
      <c r="H1" s="238"/>
      <c r="I1" s="239"/>
      <c r="J1" s="241">
        <v>45778</v>
      </c>
      <c r="K1" s="238"/>
      <c r="L1" s="238"/>
      <c r="M1" s="239"/>
      <c r="N1" s="242">
        <v>45809</v>
      </c>
      <c r="O1" s="238"/>
      <c r="P1" s="238"/>
      <c r="Q1" s="239"/>
      <c r="R1" s="237">
        <v>45839</v>
      </c>
      <c r="S1" s="238"/>
      <c r="T1" s="238"/>
      <c r="U1" s="239"/>
      <c r="V1" s="242">
        <v>45870</v>
      </c>
      <c r="W1" s="238"/>
      <c r="X1" s="238"/>
      <c r="Y1" s="239"/>
      <c r="Z1" s="237">
        <v>45901</v>
      </c>
      <c r="AA1" s="238"/>
      <c r="AB1" s="238"/>
      <c r="AC1" s="239"/>
      <c r="AD1" s="237">
        <v>45931</v>
      </c>
      <c r="AE1" s="238"/>
      <c r="AF1" s="238"/>
      <c r="AG1" s="239"/>
      <c r="AH1" s="237">
        <v>45962</v>
      </c>
      <c r="AI1" s="238"/>
      <c r="AJ1" s="238"/>
      <c r="AK1" s="239"/>
      <c r="AL1" s="237">
        <v>45992</v>
      </c>
      <c r="AM1" s="238"/>
      <c r="AN1" s="238"/>
      <c r="AO1" s="239"/>
      <c r="AP1" s="237">
        <v>46023</v>
      </c>
      <c r="AQ1" s="238"/>
      <c r="AR1" s="238"/>
      <c r="AS1" s="239"/>
      <c r="AT1" s="237">
        <v>46054</v>
      </c>
      <c r="AU1" s="238"/>
      <c r="AV1" s="238"/>
      <c r="AW1" s="239"/>
      <c r="AX1" s="237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-9442.7062374071102</v>
      </c>
      <c r="BG3" s="175">
        <v>18307</v>
      </c>
    </row>
    <row r="4" spans="1:59" ht="16">
      <c r="A4" s="169" t="s">
        <v>26</v>
      </c>
      <c r="B4" s="13" t="s">
        <v>336</v>
      </c>
      <c r="C4" s="13" t="s">
        <v>337</v>
      </c>
      <c r="D4" s="170">
        <v>-14948.14</v>
      </c>
      <c r="E4" s="176">
        <f>-43932</f>
        <v>-43932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-16320.482029729232</v>
      </c>
      <c r="BG4" s="175">
        <v>-43932</v>
      </c>
    </row>
    <row r="5" spans="1:59" ht="1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-6637.2588210155081</v>
      </c>
      <c r="BG5" s="175">
        <v>2305.7199999999975</v>
      </c>
    </row>
    <row r="6" spans="1:59" ht="1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-5635.2218819063273</v>
      </c>
      <c r="BG6" s="175">
        <v>10818.2</v>
      </c>
    </row>
    <row r="7" spans="1:59" ht="3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-5354.8841577092899</v>
      </c>
      <c r="BG7" s="175">
        <v>-9442.43</v>
      </c>
    </row>
    <row r="8" spans="1:59" ht="48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-10594.016743712622</v>
      </c>
      <c r="BG8" s="175">
        <v>-5637.0399999999991</v>
      </c>
    </row>
    <row r="9" spans="1:59" ht="1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-7173.7550935869367</v>
      </c>
      <c r="BG9" s="175">
        <v>23875.61</v>
      </c>
    </row>
    <row r="10" spans="1:59" ht="4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-1965.4992871002469</v>
      </c>
      <c r="BG10" s="175">
        <v>25458.48</v>
      </c>
    </row>
    <row r="11" spans="1:59" ht="3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-597.25759262442443</v>
      </c>
      <c r="BG11" s="175">
        <v>14757.41</v>
      </c>
    </row>
    <row r="12" spans="1:59" ht="1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-27822.52559480886</v>
      </c>
      <c r="BG12" s="175">
        <v>84</v>
      </c>
    </row>
    <row r="13" spans="1:59" ht="1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-559.96745995847596</v>
      </c>
      <c r="BG13" s="175">
        <v>8863.65</v>
      </c>
    </row>
    <row r="14" spans="1:59" ht="1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-1356.3917729266104</v>
      </c>
      <c r="BG14" s="175">
        <v>10151</v>
      </c>
    </row>
    <row r="15" spans="1:59" ht="1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-846.2808571424539</v>
      </c>
      <c r="BG15" s="175">
        <v>-14476.16</v>
      </c>
    </row>
    <row r="16" spans="1:59" ht="1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-12874.258470356348</v>
      </c>
      <c r="BG16" s="175">
        <v>13511.970000000001</v>
      </c>
    </row>
    <row r="17" spans="1:59" ht="1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-422.40099231299246</v>
      </c>
      <c r="BG17" s="175">
        <v>13024</v>
      </c>
    </row>
    <row r="18" spans="1:59" ht="1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-56105.777670755546</v>
      </c>
      <c r="BG18" s="175">
        <v>52406.48</v>
      </c>
    </row>
    <row r="19" spans="1:59" ht="16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-1773.2262888071855</v>
      </c>
      <c r="BG19" s="175">
        <v>-4630.41</v>
      </c>
    </row>
    <row r="20" spans="1:59" ht="1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-11.717401342015364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-1839.4420770711877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-9508.1920305931417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-10635.874814900235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-11167.958349255379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48700</v>
      </c>
      <c r="BC25" s="172">
        <f t="shared" si="36"/>
        <v>64956.707172954615</v>
      </c>
      <c r="BD25" s="172">
        <f t="shared" si="36"/>
        <v>0</v>
      </c>
      <c r="BE25" s="172">
        <f t="shared" si="13"/>
        <v>-16256.707172954615</v>
      </c>
      <c r="BF25" s="172">
        <f t="shared" si="14"/>
        <v>-16256.707172954615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181.1683346767386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-1212.098747103606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454.06122389114171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-21576.000027028662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-4486.3036413142254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-15613.118622663489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-2407.6294062694942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-19283.526193221041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9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4963.4245165784887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-984.97557015961502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-48657.91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-7792.8222877893859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-408.90026229088107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-23595.748161596755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-34060.529189590728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-40782.055087147586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-653.37342170197371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-3028.6744377408031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5912.2148233442567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-61862.504287912656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28937.78037681448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-11301.558049287749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-715.4835979536947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-2900.4863152417965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-22738.054557790572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5182.7806714851613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-1934.277729935653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-39847.337807852397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4061.8841708605323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-36051.195877806924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-26326.006199165728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-19999.373550838864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-18487.043222335458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-6736.7316854205128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-282.38470986243919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-3695.2265876812307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-11287.864466679595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-90.671059176092967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16858.059115016105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-4476.9018608224433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-32318.826286914787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-9350.2071393933002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-286718.33999999997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326216.61000000004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-78024.389957000007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4065872.1099999989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-347919.97961299983</v>
      </c>
      <c r="BF67" s="174">
        <f t="shared" si="14"/>
        <v>-634638.3196129998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032C5220-A053-3A40-927A-4E63C288EA32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11" priority="1" operator="lessThan">
      <formula>0</formula>
    </cfRule>
  </conditionalFormatting>
  <conditionalFormatting sqref="AP2:AR2 AT2:AV2 AX2:AZ2 AF2:AG66 AJ2:AK66 AN2:AO66 AS2:AS66 AW2:AW66 BA2:BA66 BD1:BG66">
    <cfRule type="cellIs" dxfId="1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J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6" width="23.5" customWidth="1"/>
    <col min="57" max="62" width="30.5" customWidth="1"/>
  </cols>
  <sheetData>
    <row r="1" spans="1:62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40">
        <v>45748</v>
      </c>
      <c r="G1" s="238"/>
      <c r="H1" s="238"/>
      <c r="I1" s="239"/>
      <c r="J1" s="241">
        <v>45778</v>
      </c>
      <c r="K1" s="238"/>
      <c r="L1" s="238"/>
      <c r="M1" s="239"/>
      <c r="N1" s="242">
        <v>45809</v>
      </c>
      <c r="O1" s="238"/>
      <c r="P1" s="238"/>
      <c r="Q1" s="239"/>
      <c r="R1" s="237">
        <v>45839</v>
      </c>
      <c r="S1" s="238"/>
      <c r="T1" s="238"/>
      <c r="U1" s="239"/>
      <c r="V1" s="242">
        <v>45870</v>
      </c>
      <c r="W1" s="238"/>
      <c r="X1" s="238"/>
      <c r="Y1" s="239"/>
      <c r="Z1" s="237">
        <v>45901</v>
      </c>
      <c r="AA1" s="238"/>
      <c r="AB1" s="238"/>
      <c r="AC1" s="239"/>
      <c r="AD1" s="237">
        <v>45931</v>
      </c>
      <c r="AE1" s="238"/>
      <c r="AF1" s="238"/>
      <c r="AG1" s="239"/>
      <c r="AH1" s="237">
        <v>45962</v>
      </c>
      <c r="AI1" s="238"/>
      <c r="AJ1" s="238"/>
      <c r="AK1" s="239"/>
      <c r="AL1" s="237">
        <v>45992</v>
      </c>
      <c r="AM1" s="238"/>
      <c r="AN1" s="238"/>
      <c r="AO1" s="239"/>
      <c r="AP1" s="237">
        <v>46023</v>
      </c>
      <c r="AQ1" s="238"/>
      <c r="AR1" s="238"/>
      <c r="AS1" s="239"/>
      <c r="AT1" s="237">
        <v>46054</v>
      </c>
      <c r="AU1" s="238"/>
      <c r="AV1" s="238"/>
      <c r="AW1" s="239"/>
      <c r="AX1" s="237">
        <v>46082</v>
      </c>
      <c r="AY1" s="238"/>
      <c r="AZ1" s="238"/>
      <c r="BA1" s="239"/>
      <c r="BB1" s="159" t="s">
        <v>324</v>
      </c>
      <c r="BC1" s="159" t="s">
        <v>345</v>
      </c>
      <c r="BD1" s="159" t="s">
        <v>325</v>
      </c>
      <c r="BE1" s="159" t="s">
        <v>326</v>
      </c>
      <c r="BF1" s="159" t="s">
        <v>327</v>
      </c>
      <c r="BG1" s="159" t="s">
        <v>346</v>
      </c>
      <c r="BH1" s="159" t="s">
        <v>328</v>
      </c>
      <c r="BI1" s="160"/>
      <c r="BJ1" s="160"/>
    </row>
    <row r="2" spans="1:62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7"/>
      <c r="BH2" s="167"/>
      <c r="BI2" s="168"/>
      <c r="BJ2" s="168"/>
    </row>
    <row r="3" spans="1:62" ht="32">
      <c r="A3" s="169" t="s">
        <v>24</v>
      </c>
      <c r="B3" s="13"/>
      <c r="C3" s="13" t="s">
        <v>25</v>
      </c>
      <c r="D3" s="170">
        <v>18760.240000000002</v>
      </c>
      <c r="E3" s="136">
        <v>0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B66" si="12">SUM(F3,J3,N3,R3,V3,Z3,AD3,AH3,AL3,AP3,AT3,AX3)</f>
        <v>54342</v>
      </c>
      <c r="BC3" s="172">
        <f t="shared" ref="BC3:BC67" si="13">SUM(J3,N3,R3,V3,Z3,AD3,AH3,AL3,AP3,AT3,AX3)</f>
        <v>49398</v>
      </c>
      <c r="BD3" s="172">
        <f t="shared" ref="BD3:BD66" si="14">SUM(G3,K3,O3,S3,W3,AA3,AE3,AI3,AM3,AQ3,AU3,AY3)</f>
        <v>63784.70623740711</v>
      </c>
      <c r="BE3" s="172">
        <v>0</v>
      </c>
      <c r="BF3" s="172">
        <f t="shared" ref="BF3:BF66" si="15">BB3-(BD3+BE3)</f>
        <v>-9442.7062374071102</v>
      </c>
      <c r="BG3" s="172">
        <f t="shared" ref="BG3:BG67" si="16">BC3-(BD3+BE3)</f>
        <v>-14386.70623740711</v>
      </c>
      <c r="BH3" s="172">
        <f t="shared" ref="BH3:BH67" si="17">E3+BF3</f>
        <v>-9442.7062374071102</v>
      </c>
      <c r="BI3" s="175">
        <f t="shared" ref="BI3:BI66" si="18">E3+F3+IF(BG3&gt;=0,BG3,0)</f>
        <v>4944</v>
      </c>
      <c r="BJ3" s="175">
        <v>23251</v>
      </c>
    </row>
    <row r="4" spans="1:62" ht="16">
      <c r="A4" s="169" t="s">
        <v>26</v>
      </c>
      <c r="B4" s="13" t="s">
        <v>336</v>
      </c>
      <c r="C4" s="13" t="s">
        <v>337</v>
      </c>
      <c r="D4" s="170">
        <v>-14948.14</v>
      </c>
      <c r="E4" s="176">
        <v>0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si="12"/>
        <v>103041</v>
      </c>
      <c r="BC4" s="172">
        <f t="shared" si="13"/>
        <v>103041</v>
      </c>
      <c r="BD4" s="172">
        <f t="shared" si="14"/>
        <v>74429.482029729232</v>
      </c>
      <c r="BE4" s="172">
        <v>0</v>
      </c>
      <c r="BF4" s="172">
        <f t="shared" si="15"/>
        <v>28611.517970270768</v>
      </c>
      <c r="BG4" s="172">
        <f t="shared" si="16"/>
        <v>28611.517970270768</v>
      </c>
      <c r="BH4" s="172">
        <f t="shared" si="17"/>
        <v>28611.517970270768</v>
      </c>
      <c r="BI4" s="175">
        <f t="shared" si="18"/>
        <v>28611.517970270768</v>
      </c>
      <c r="BJ4" s="175">
        <v>-25005.64423405788</v>
      </c>
    </row>
    <row r="5" spans="1:62" ht="16">
      <c r="A5" s="169" t="s">
        <v>29</v>
      </c>
      <c r="B5" s="13"/>
      <c r="C5" s="13" t="s">
        <v>30</v>
      </c>
      <c r="D5" s="170">
        <v>21737.21</v>
      </c>
      <c r="E5" s="176">
        <v>0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si="12"/>
        <v>78317</v>
      </c>
      <c r="BC5" s="172">
        <f t="shared" si="13"/>
        <v>66000</v>
      </c>
      <c r="BD5" s="172">
        <f t="shared" si="14"/>
        <v>84954.258821015508</v>
      </c>
      <c r="BE5" s="172">
        <v>0</v>
      </c>
      <c r="BF5" s="172">
        <f t="shared" si="15"/>
        <v>-6637.2588210155081</v>
      </c>
      <c r="BG5" s="172">
        <f t="shared" si="16"/>
        <v>-18954.258821015508</v>
      </c>
      <c r="BH5" s="172">
        <f t="shared" si="17"/>
        <v>-6637.2588210155081</v>
      </c>
      <c r="BI5" s="175">
        <f t="shared" si="18"/>
        <v>12317</v>
      </c>
      <c r="BJ5" s="175">
        <v>14622.719999999998</v>
      </c>
    </row>
    <row r="6" spans="1:62" ht="16">
      <c r="A6" s="169" t="s">
        <v>32</v>
      </c>
      <c r="B6" s="13"/>
      <c r="C6" s="13" t="s">
        <v>33</v>
      </c>
      <c r="D6" s="170">
        <v>59073.67</v>
      </c>
      <c r="E6" s="176">
        <v>0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si="12"/>
        <v>60060</v>
      </c>
      <c r="BC6" s="172">
        <f t="shared" si="13"/>
        <v>55060</v>
      </c>
      <c r="BD6" s="172">
        <f t="shared" si="14"/>
        <v>65695.221881906327</v>
      </c>
      <c r="BE6" s="172">
        <v>0</v>
      </c>
      <c r="BF6" s="172">
        <f t="shared" si="15"/>
        <v>-5635.2218819063273</v>
      </c>
      <c r="BG6" s="172">
        <f t="shared" si="16"/>
        <v>-10635.221881906327</v>
      </c>
      <c r="BH6" s="172">
        <f t="shared" si="17"/>
        <v>-5635.2218819063273</v>
      </c>
      <c r="BI6" s="175">
        <f t="shared" si="18"/>
        <v>5000</v>
      </c>
      <c r="BJ6" s="175">
        <v>15818.2</v>
      </c>
    </row>
    <row r="7" spans="1:62" ht="32">
      <c r="A7" s="169" t="s">
        <v>35</v>
      </c>
      <c r="B7" s="13"/>
      <c r="C7" s="13" t="s">
        <v>36</v>
      </c>
      <c r="D7" s="170">
        <v>3061.33</v>
      </c>
      <c r="E7" s="176">
        <f>-1876.43+(-7566)</f>
        <v>-9442.43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si="12"/>
        <v>68971.399999999994</v>
      </c>
      <c r="BC7" s="172">
        <f t="shared" si="13"/>
        <v>59514.399999999994</v>
      </c>
      <c r="BD7" s="172">
        <f t="shared" si="14"/>
        <v>64883.854157709284</v>
      </c>
      <c r="BE7" s="172">
        <v>0</v>
      </c>
      <c r="BF7" s="172">
        <f t="shared" si="15"/>
        <v>4087.5458422907104</v>
      </c>
      <c r="BG7" s="172">
        <f t="shared" si="16"/>
        <v>-5369.4541577092896</v>
      </c>
      <c r="BH7" s="172">
        <f t="shared" si="17"/>
        <v>-5354.8841577092899</v>
      </c>
      <c r="BI7" s="175">
        <f t="shared" si="18"/>
        <v>14.569999999999709</v>
      </c>
      <c r="BJ7" s="175">
        <v>14.569999999999709</v>
      </c>
    </row>
    <row r="8" spans="1:62" ht="48">
      <c r="A8" s="169" t="s">
        <v>37</v>
      </c>
      <c r="B8" s="13"/>
      <c r="C8" s="13" t="s">
        <v>38</v>
      </c>
      <c r="D8" s="170">
        <v>-6419.98</v>
      </c>
      <c r="E8" s="176">
        <v>0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si="12"/>
        <v>54539.81</v>
      </c>
      <c r="BC8" s="172">
        <f t="shared" si="13"/>
        <v>45513.81</v>
      </c>
      <c r="BD8" s="172">
        <f t="shared" si="14"/>
        <v>65133.82674371262</v>
      </c>
      <c r="BE8" s="172">
        <v>0</v>
      </c>
      <c r="BF8" s="172">
        <f t="shared" si="15"/>
        <v>-10594.016743712622</v>
      </c>
      <c r="BG8" s="172">
        <f t="shared" si="16"/>
        <v>-19620.016743712622</v>
      </c>
      <c r="BH8" s="172">
        <f t="shared" si="17"/>
        <v>-10594.016743712622</v>
      </c>
      <c r="BI8" s="175">
        <f t="shared" si="18"/>
        <v>9026</v>
      </c>
      <c r="BJ8" s="175">
        <v>3388.9600000000009</v>
      </c>
    </row>
    <row r="9" spans="1:62" ht="16">
      <c r="A9" s="169" t="s">
        <v>40</v>
      </c>
      <c r="B9" s="13"/>
      <c r="C9" s="13" t="s">
        <v>41</v>
      </c>
      <c r="D9" s="170">
        <v>32308.66</v>
      </c>
      <c r="E9" s="176">
        <v>0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si="12"/>
        <v>62407.619999999995</v>
      </c>
      <c r="BC9" s="172">
        <f t="shared" si="13"/>
        <v>62407.619999999995</v>
      </c>
      <c r="BD9" s="172">
        <f t="shared" si="14"/>
        <v>69581.375093586932</v>
      </c>
      <c r="BE9" s="172">
        <v>0</v>
      </c>
      <c r="BF9" s="172">
        <f t="shared" si="15"/>
        <v>-7173.7550935869367</v>
      </c>
      <c r="BG9" s="172">
        <f t="shared" si="16"/>
        <v>-7173.7550935869367</v>
      </c>
      <c r="BH9" s="172">
        <f t="shared" si="17"/>
        <v>-7173.7550935869367</v>
      </c>
      <c r="BI9" s="175">
        <f t="shared" si="18"/>
        <v>0</v>
      </c>
      <c r="BJ9" s="175">
        <v>23875.61</v>
      </c>
    </row>
    <row r="10" spans="1:62" ht="48">
      <c r="A10" s="169" t="s">
        <v>43</v>
      </c>
      <c r="B10" s="13"/>
      <c r="C10" s="13" t="s">
        <v>44</v>
      </c>
      <c r="D10" s="170">
        <v>34719.379999999997</v>
      </c>
      <c r="E10" s="176">
        <v>0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si="12"/>
        <v>66089</v>
      </c>
      <c r="BC10" s="172">
        <f t="shared" si="13"/>
        <v>61486</v>
      </c>
      <c r="BD10" s="172">
        <f t="shared" si="14"/>
        <v>68054.499287100247</v>
      </c>
      <c r="BE10" s="172">
        <v>0</v>
      </c>
      <c r="BF10" s="172">
        <f t="shared" si="15"/>
        <v>-1965.4992871002469</v>
      </c>
      <c r="BG10" s="172">
        <f t="shared" si="16"/>
        <v>-6568.4992871002469</v>
      </c>
      <c r="BH10" s="172">
        <f t="shared" si="17"/>
        <v>-1965.4992871002469</v>
      </c>
      <c r="BI10" s="175">
        <f t="shared" si="18"/>
        <v>4603</v>
      </c>
      <c r="BJ10" s="175">
        <v>30061.48</v>
      </c>
    </row>
    <row r="11" spans="1:62" ht="32">
      <c r="A11" s="169" t="s">
        <v>46</v>
      </c>
      <c r="B11" s="13"/>
      <c r="C11" s="13" t="s">
        <v>47</v>
      </c>
      <c r="D11" s="170">
        <v>23795.88</v>
      </c>
      <c r="E11" s="176">
        <v>0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si="12"/>
        <v>63304</v>
      </c>
      <c r="BC11" s="172">
        <f t="shared" si="13"/>
        <v>58361</v>
      </c>
      <c r="BD11" s="172">
        <f t="shared" si="14"/>
        <v>63901.257592624424</v>
      </c>
      <c r="BE11" s="172">
        <v>0</v>
      </c>
      <c r="BF11" s="172">
        <f t="shared" si="15"/>
        <v>-597.25759262442443</v>
      </c>
      <c r="BG11" s="172">
        <f t="shared" si="16"/>
        <v>-5540.2575926244244</v>
      </c>
      <c r="BH11" s="172">
        <f t="shared" si="17"/>
        <v>-597.25759262442443</v>
      </c>
      <c r="BI11" s="175">
        <f t="shared" si="18"/>
        <v>4943</v>
      </c>
      <c r="BJ11" s="175">
        <v>19700.41</v>
      </c>
    </row>
    <row r="12" spans="1:62" ht="16">
      <c r="A12" s="169" t="s">
        <v>49</v>
      </c>
      <c r="B12" s="13"/>
      <c r="C12" s="13" t="s">
        <v>50</v>
      </c>
      <c r="D12" s="170">
        <v>7567.28</v>
      </c>
      <c r="E12" s="176">
        <v>0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si="12"/>
        <v>38275</v>
      </c>
      <c r="BC12" s="172">
        <f t="shared" si="13"/>
        <v>32961</v>
      </c>
      <c r="BD12" s="172">
        <f t="shared" si="14"/>
        <v>66097.52559480886</v>
      </c>
      <c r="BE12" s="172">
        <v>0</v>
      </c>
      <c r="BF12" s="172">
        <f t="shared" si="15"/>
        <v>-27822.52559480886</v>
      </c>
      <c r="BG12" s="172">
        <f t="shared" si="16"/>
        <v>-33136.52559480886</v>
      </c>
      <c r="BH12" s="172">
        <f t="shared" si="17"/>
        <v>-27822.52559480886</v>
      </c>
      <c r="BI12" s="175">
        <f t="shared" si="18"/>
        <v>5314</v>
      </c>
      <c r="BJ12" s="175">
        <v>5398</v>
      </c>
    </row>
    <row r="13" spans="1:62" ht="16">
      <c r="A13" s="169" t="s">
        <v>52</v>
      </c>
      <c r="B13" s="13"/>
      <c r="C13" s="13" t="s">
        <v>53</v>
      </c>
      <c r="D13" s="170">
        <v>-8157.15</v>
      </c>
      <c r="E13" s="176">
        <v>0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si="12"/>
        <v>61003</v>
      </c>
      <c r="BC13" s="172">
        <f t="shared" si="13"/>
        <v>56371</v>
      </c>
      <c r="BD13" s="172">
        <f t="shared" si="14"/>
        <v>61562.967459958476</v>
      </c>
      <c r="BE13" s="172">
        <v>0</v>
      </c>
      <c r="BF13" s="172">
        <f t="shared" si="15"/>
        <v>-559.96745995847596</v>
      </c>
      <c r="BG13" s="172">
        <f t="shared" si="16"/>
        <v>-5191.967459958476</v>
      </c>
      <c r="BH13" s="172">
        <f t="shared" si="17"/>
        <v>-559.96745995847596</v>
      </c>
      <c r="BI13" s="175">
        <f t="shared" si="18"/>
        <v>4632</v>
      </c>
      <c r="BJ13" s="175">
        <v>13495.65</v>
      </c>
    </row>
    <row r="14" spans="1:62" ht="16">
      <c r="A14" s="169" t="s">
        <v>55</v>
      </c>
      <c r="B14" s="13"/>
      <c r="C14" s="13" t="s">
        <v>56</v>
      </c>
      <c r="D14" s="170">
        <v>27748.65</v>
      </c>
      <c r="E14" s="176">
        <v>0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si="12"/>
        <v>61076</v>
      </c>
      <c r="BC14" s="172">
        <f t="shared" si="13"/>
        <v>56473</v>
      </c>
      <c r="BD14" s="172">
        <f t="shared" si="14"/>
        <v>62432.39177292661</v>
      </c>
      <c r="BE14" s="172">
        <v>0</v>
      </c>
      <c r="BF14" s="172">
        <f t="shared" si="15"/>
        <v>-1356.3917729266104</v>
      </c>
      <c r="BG14" s="172">
        <f t="shared" si="16"/>
        <v>-5959.3917729266104</v>
      </c>
      <c r="BH14" s="172">
        <f t="shared" si="17"/>
        <v>-1356.3917729266104</v>
      </c>
      <c r="BI14" s="175">
        <f t="shared" si="18"/>
        <v>4603</v>
      </c>
      <c r="BJ14" s="175">
        <v>14754</v>
      </c>
    </row>
    <row r="15" spans="1:62" ht="16">
      <c r="A15" s="169" t="s">
        <v>58</v>
      </c>
      <c r="B15" s="13"/>
      <c r="C15" s="13" t="s">
        <v>59</v>
      </c>
      <c r="D15" s="170">
        <v>-4883.33</v>
      </c>
      <c r="E15" s="176">
        <v>0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si="12"/>
        <v>68011.569999999992</v>
      </c>
      <c r="BC15" s="172">
        <f t="shared" si="13"/>
        <v>63281.569999999992</v>
      </c>
      <c r="BD15" s="172">
        <f t="shared" si="14"/>
        <v>68357.850857142446</v>
      </c>
      <c r="BE15" s="172">
        <v>0</v>
      </c>
      <c r="BF15" s="172">
        <f t="shared" si="15"/>
        <v>-346.2808571424539</v>
      </c>
      <c r="BG15" s="172">
        <f t="shared" si="16"/>
        <v>-5076.2808571424539</v>
      </c>
      <c r="BH15" s="172">
        <f t="shared" si="17"/>
        <v>-346.2808571424539</v>
      </c>
      <c r="BI15" s="175">
        <f t="shared" si="18"/>
        <v>4730</v>
      </c>
      <c r="BJ15" s="175">
        <v>-9746.16</v>
      </c>
    </row>
    <row r="16" spans="1:62" ht="16">
      <c r="A16" s="169" t="s">
        <v>61</v>
      </c>
      <c r="B16" s="13"/>
      <c r="C16" s="13" t="s">
        <v>62</v>
      </c>
      <c r="D16" s="170">
        <v>-31252.22</v>
      </c>
      <c r="E16" s="176">
        <v>0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si="12"/>
        <v>55157</v>
      </c>
      <c r="BC16" s="172">
        <f t="shared" si="13"/>
        <v>49430</v>
      </c>
      <c r="BD16" s="172">
        <f t="shared" si="14"/>
        <v>68031.258470356348</v>
      </c>
      <c r="BE16" s="172">
        <v>0</v>
      </c>
      <c r="BF16" s="172">
        <f t="shared" si="15"/>
        <v>-12874.258470356348</v>
      </c>
      <c r="BG16" s="172">
        <f t="shared" si="16"/>
        <v>-18601.258470356348</v>
      </c>
      <c r="BH16" s="172">
        <f t="shared" si="17"/>
        <v>-12874.258470356348</v>
      </c>
      <c r="BI16" s="175">
        <f t="shared" si="18"/>
        <v>5727</v>
      </c>
      <c r="BJ16" s="175">
        <v>19238.97</v>
      </c>
    </row>
    <row r="17" spans="1:62" ht="16">
      <c r="A17" s="169" t="s">
        <v>63</v>
      </c>
      <c r="B17" s="13"/>
      <c r="C17" s="13" t="s">
        <v>64</v>
      </c>
      <c r="D17" s="170">
        <v>9544.0499999999993</v>
      </c>
      <c r="E17" s="176">
        <v>0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si="12"/>
        <v>74308.429999999993</v>
      </c>
      <c r="BC17" s="172">
        <f t="shared" si="13"/>
        <v>68599.429999999993</v>
      </c>
      <c r="BD17" s="172">
        <f t="shared" si="14"/>
        <v>74730.830992312985</v>
      </c>
      <c r="BE17" s="172">
        <v>0</v>
      </c>
      <c r="BF17" s="172">
        <f t="shared" si="15"/>
        <v>-422.40099231299246</v>
      </c>
      <c r="BG17" s="172">
        <f t="shared" si="16"/>
        <v>-6131.4009923129925</v>
      </c>
      <c r="BH17" s="172">
        <f t="shared" si="17"/>
        <v>-422.40099231299246</v>
      </c>
      <c r="BI17" s="175">
        <f t="shared" si="18"/>
        <v>5709</v>
      </c>
      <c r="BJ17" s="175">
        <v>18733</v>
      </c>
    </row>
    <row r="18" spans="1:62" ht="16">
      <c r="A18" s="169" t="s">
        <v>65</v>
      </c>
      <c r="B18" s="13"/>
      <c r="C18" s="13" t="s">
        <v>66</v>
      </c>
      <c r="D18" s="170">
        <v>23774.75</v>
      </c>
      <c r="E18" s="176">
        <v>0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si="12"/>
        <v>20561.03</v>
      </c>
      <c r="BC18" s="172">
        <f t="shared" si="13"/>
        <v>20561.03</v>
      </c>
      <c r="BD18" s="172">
        <f t="shared" si="14"/>
        <v>76666.807670755545</v>
      </c>
      <c r="BE18" s="172">
        <v>0</v>
      </c>
      <c r="BF18" s="172">
        <f t="shared" si="15"/>
        <v>-56105.777670755546</v>
      </c>
      <c r="BG18" s="172">
        <f t="shared" si="16"/>
        <v>-56105.777670755546</v>
      </c>
      <c r="BH18" s="172">
        <f t="shared" si="17"/>
        <v>-56105.777670755546</v>
      </c>
      <c r="BI18" s="175">
        <f t="shared" si="18"/>
        <v>0</v>
      </c>
      <c r="BJ18" s="175">
        <v>52406.48</v>
      </c>
    </row>
    <row r="19" spans="1:62" ht="16">
      <c r="A19" s="169" t="s">
        <v>67</v>
      </c>
      <c r="B19" s="13" t="s">
        <v>338</v>
      </c>
      <c r="C19" s="13" t="s">
        <v>68</v>
      </c>
      <c r="D19" s="170">
        <v>19317.669999999998</v>
      </c>
      <c r="E19" s="176">
        <v>0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si="12"/>
        <v>71076</v>
      </c>
      <c r="BC19" s="172">
        <f t="shared" si="13"/>
        <v>65937</v>
      </c>
      <c r="BD19" s="172">
        <f t="shared" si="14"/>
        <v>72849.226288807185</v>
      </c>
      <c r="BE19" s="172">
        <v>0</v>
      </c>
      <c r="BF19" s="172">
        <f t="shared" si="15"/>
        <v>-1773.2262888071855</v>
      </c>
      <c r="BG19" s="172">
        <f t="shared" si="16"/>
        <v>-6912.2262888071855</v>
      </c>
      <c r="BH19" s="172">
        <f t="shared" si="17"/>
        <v>-1773.2262888071855</v>
      </c>
      <c r="BI19" s="175">
        <f t="shared" si="18"/>
        <v>5139</v>
      </c>
      <c r="BJ19" s="175">
        <v>508.59000000000015</v>
      </c>
    </row>
    <row r="20" spans="1:62" ht="16">
      <c r="A20" s="169" t="s">
        <v>69</v>
      </c>
      <c r="B20" s="13"/>
      <c r="C20" s="13" t="s">
        <v>70</v>
      </c>
      <c r="D20" s="170">
        <v>-8827.18</v>
      </c>
      <c r="E20" s="176">
        <v>0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si="12"/>
        <v>76652.72</v>
      </c>
      <c r="BC20" s="172">
        <f t="shared" si="13"/>
        <v>71007.72</v>
      </c>
      <c r="BD20" s="172">
        <f t="shared" si="14"/>
        <v>76664.437401342017</v>
      </c>
      <c r="BE20" s="172">
        <v>0</v>
      </c>
      <c r="BF20" s="172">
        <f t="shared" si="15"/>
        <v>-11.717401342015364</v>
      </c>
      <c r="BG20" s="172">
        <f t="shared" si="16"/>
        <v>-5656.7174013420154</v>
      </c>
      <c r="BH20" s="172">
        <f t="shared" si="17"/>
        <v>-11.717401342015364</v>
      </c>
      <c r="BI20" s="175">
        <f t="shared" si="18"/>
        <v>5645</v>
      </c>
      <c r="BJ20" s="175">
        <v>3602.75</v>
      </c>
    </row>
    <row r="21" spans="1:62" ht="15.75" customHeight="1">
      <c r="A21" s="169" t="s">
        <v>71</v>
      </c>
      <c r="B21" s="13"/>
      <c r="C21" s="13" t="s">
        <v>72</v>
      </c>
      <c r="D21" s="170">
        <v>10325.59</v>
      </c>
      <c r="E21" s="176">
        <v>0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si="12"/>
        <v>72078</v>
      </c>
      <c r="BC21" s="172">
        <f t="shared" si="13"/>
        <v>66714</v>
      </c>
      <c r="BD21" s="172">
        <f t="shared" si="14"/>
        <v>73917.442077071188</v>
      </c>
      <c r="BE21" s="172">
        <v>0</v>
      </c>
      <c r="BF21" s="172">
        <f t="shared" si="15"/>
        <v>-1839.4420770711877</v>
      </c>
      <c r="BG21" s="172">
        <f t="shared" si="16"/>
        <v>-7203.4420770711877</v>
      </c>
      <c r="BH21" s="172">
        <f t="shared" si="17"/>
        <v>-1839.4420770711877</v>
      </c>
      <c r="BI21" s="175">
        <f t="shared" si="18"/>
        <v>5364</v>
      </c>
      <c r="BJ21" s="175">
        <v>15251</v>
      </c>
    </row>
    <row r="22" spans="1:62" ht="15.75" customHeight="1">
      <c r="A22" s="169" t="s">
        <v>73</v>
      </c>
      <c r="B22" s="13"/>
      <c r="C22" s="13" t="s">
        <v>74</v>
      </c>
      <c r="D22" s="170">
        <v>-16432.39</v>
      </c>
      <c r="E22" s="176">
        <v>0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si="12"/>
        <v>68489</v>
      </c>
      <c r="BC22" s="172">
        <f t="shared" si="13"/>
        <v>63048</v>
      </c>
      <c r="BD22" s="172">
        <f t="shared" si="14"/>
        <v>77997.192030593142</v>
      </c>
      <c r="BE22" s="172">
        <v>0</v>
      </c>
      <c r="BF22" s="172">
        <f t="shared" si="15"/>
        <v>-9508.1920305931417</v>
      </c>
      <c r="BG22" s="172">
        <f t="shared" si="16"/>
        <v>-14949.192030593142</v>
      </c>
      <c r="BH22" s="172">
        <f t="shared" si="17"/>
        <v>-9508.1920305931417</v>
      </c>
      <c r="BI22" s="175">
        <f t="shared" si="18"/>
        <v>5441</v>
      </c>
      <c r="BJ22" s="175">
        <v>31503</v>
      </c>
    </row>
    <row r="23" spans="1:62" ht="15.75" customHeight="1">
      <c r="A23" s="169" t="s">
        <v>75</v>
      </c>
      <c r="B23" s="13"/>
      <c r="C23" s="13" t="s">
        <v>76</v>
      </c>
      <c r="D23" s="170">
        <v>55071.25</v>
      </c>
      <c r="E23" s="176">
        <v>0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si="12"/>
        <v>56216.41</v>
      </c>
      <c r="BC23" s="172">
        <f t="shared" si="13"/>
        <v>56216.41</v>
      </c>
      <c r="BD23" s="172">
        <f t="shared" si="14"/>
        <v>66852.284814900238</v>
      </c>
      <c r="BE23" s="172">
        <v>0</v>
      </c>
      <c r="BF23" s="172">
        <f t="shared" si="15"/>
        <v>-10635.874814900235</v>
      </c>
      <c r="BG23" s="172">
        <f t="shared" si="16"/>
        <v>-10635.874814900235</v>
      </c>
      <c r="BH23" s="172">
        <f t="shared" si="17"/>
        <v>-10635.874814900235</v>
      </c>
      <c r="BI23" s="175">
        <f t="shared" si="18"/>
        <v>0</v>
      </c>
      <c r="BJ23" s="175">
        <v>8660.68</v>
      </c>
    </row>
    <row r="24" spans="1:62" ht="15.75" customHeight="1">
      <c r="A24" s="169" t="s">
        <v>77</v>
      </c>
      <c r="B24" s="13"/>
      <c r="C24" s="13" t="s">
        <v>339</v>
      </c>
      <c r="D24" s="170">
        <v>-36141.31</v>
      </c>
      <c r="E24" s="176">
        <f>-87741.03+10034+15000-9500-9500</f>
        <v>-81707.03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si="12"/>
        <v>139606</v>
      </c>
      <c r="BC24" s="172">
        <f t="shared" si="13"/>
        <v>139606</v>
      </c>
      <c r="BD24" s="172">
        <f t="shared" si="14"/>
        <v>68566.92834925538</v>
      </c>
      <c r="BE24" s="172">
        <v>0</v>
      </c>
      <c r="BF24" s="172">
        <f t="shared" si="15"/>
        <v>71039.07165074462</v>
      </c>
      <c r="BG24" s="172">
        <f t="shared" si="16"/>
        <v>71039.07165074462</v>
      </c>
      <c r="BH24" s="172">
        <f t="shared" si="17"/>
        <v>-10667.958349255379</v>
      </c>
      <c r="BI24" s="175">
        <f t="shared" si="18"/>
        <v>-10667.958349255379</v>
      </c>
      <c r="BJ24" s="175">
        <v>-5705.3496748187172</v>
      </c>
    </row>
    <row r="25" spans="1:62" ht="15.75" customHeight="1">
      <c r="A25" s="169" t="s">
        <v>79</v>
      </c>
      <c r="B25" s="13"/>
      <c r="C25" s="13" t="s">
        <v>80</v>
      </c>
      <c r="D25" s="170">
        <v>29214.74</v>
      </c>
      <c r="E25" s="176">
        <v>0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si="12"/>
        <v>48700</v>
      </c>
      <c r="BC25" s="172">
        <f t="shared" si="13"/>
        <v>39086</v>
      </c>
      <c r="BD25" s="172">
        <f t="shared" si="14"/>
        <v>64956.707172954615</v>
      </c>
      <c r="BE25" s="172">
        <v>0</v>
      </c>
      <c r="BF25" s="172">
        <f t="shared" si="15"/>
        <v>-16256.707172954615</v>
      </c>
      <c r="BG25" s="172">
        <f t="shared" si="16"/>
        <v>-25870.707172954615</v>
      </c>
      <c r="BH25" s="172">
        <f t="shared" si="17"/>
        <v>-16256.707172954615</v>
      </c>
      <c r="BI25" s="175">
        <f t="shared" si="18"/>
        <v>9614</v>
      </c>
      <c r="BJ25" s="175">
        <v>44009.490000000005</v>
      </c>
    </row>
    <row r="26" spans="1:62" ht="15.75" customHeight="1">
      <c r="A26" s="169" t="s">
        <v>81</v>
      </c>
      <c r="B26" s="13"/>
      <c r="C26" s="13" t="s">
        <v>82</v>
      </c>
      <c r="D26" s="170">
        <v>48086.36</v>
      </c>
      <c r="E26" s="176">
        <v>0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si="12"/>
        <v>69781</v>
      </c>
      <c r="BC26" s="172">
        <f t="shared" si="13"/>
        <v>54781</v>
      </c>
      <c r="BD26" s="172">
        <f t="shared" si="14"/>
        <v>69599.831665323261</v>
      </c>
      <c r="BE26" s="172">
        <v>0</v>
      </c>
      <c r="BF26" s="172">
        <f t="shared" si="15"/>
        <v>181.1683346767386</v>
      </c>
      <c r="BG26" s="172">
        <f t="shared" si="16"/>
        <v>-14818.831665323261</v>
      </c>
      <c r="BH26" s="172">
        <f t="shared" si="17"/>
        <v>181.1683346767386</v>
      </c>
      <c r="BI26" s="175">
        <f t="shared" si="18"/>
        <v>15000</v>
      </c>
      <c r="BJ26" s="175">
        <v>4598</v>
      </c>
    </row>
    <row r="27" spans="1:62" ht="15.75" customHeight="1">
      <c r="A27" s="169" t="s">
        <v>83</v>
      </c>
      <c r="B27" s="13"/>
      <c r="C27" s="13" t="s">
        <v>84</v>
      </c>
      <c r="D27" s="170">
        <v>17364.919999999998</v>
      </c>
      <c r="E27" s="176">
        <v>0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si="12"/>
        <v>68429</v>
      </c>
      <c r="BC27" s="172">
        <f t="shared" si="13"/>
        <v>68429</v>
      </c>
      <c r="BD27" s="172">
        <f t="shared" si="14"/>
        <v>69641.098747103606</v>
      </c>
      <c r="BE27" s="172">
        <v>0</v>
      </c>
      <c r="BF27" s="172">
        <f t="shared" si="15"/>
        <v>-1212.098747103606</v>
      </c>
      <c r="BG27" s="172">
        <f t="shared" si="16"/>
        <v>-1212.098747103606</v>
      </c>
      <c r="BH27" s="172">
        <f t="shared" si="17"/>
        <v>-1212.098747103606</v>
      </c>
      <c r="BI27" s="175">
        <f t="shared" si="18"/>
        <v>0</v>
      </c>
      <c r="BJ27" s="175">
        <v>42515</v>
      </c>
    </row>
    <row r="28" spans="1:62" ht="15.75" customHeight="1">
      <c r="A28" s="169" t="s">
        <v>85</v>
      </c>
      <c r="B28" s="13"/>
      <c r="C28" s="13" t="s">
        <v>86</v>
      </c>
      <c r="D28" s="170">
        <v>47007.83</v>
      </c>
      <c r="E28" s="176">
        <v>0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si="12"/>
        <v>68420.27</v>
      </c>
      <c r="BC28" s="172">
        <f t="shared" si="13"/>
        <v>63455.270000000004</v>
      </c>
      <c r="BD28" s="172">
        <f t="shared" si="14"/>
        <v>67966.208776108862</v>
      </c>
      <c r="BE28" s="172">
        <v>0</v>
      </c>
      <c r="BF28" s="172">
        <f t="shared" si="15"/>
        <v>454.06122389114171</v>
      </c>
      <c r="BG28" s="172">
        <f t="shared" si="16"/>
        <v>-4510.9387761088583</v>
      </c>
      <c r="BH28" s="172">
        <f t="shared" si="17"/>
        <v>454.06122389114171</v>
      </c>
      <c r="BI28" s="175">
        <f t="shared" si="18"/>
        <v>4965</v>
      </c>
      <c r="BJ28" s="175">
        <v>43337</v>
      </c>
    </row>
    <row r="29" spans="1:62" ht="15.75" customHeight="1">
      <c r="A29" s="169" t="s">
        <v>87</v>
      </c>
      <c r="B29" s="13"/>
      <c r="C29" s="13" t="s">
        <v>88</v>
      </c>
      <c r="D29" s="170">
        <v>22741.79</v>
      </c>
      <c r="E29" s="176">
        <v>0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si="12"/>
        <v>41031</v>
      </c>
      <c r="BC29" s="172">
        <f t="shared" si="13"/>
        <v>41031</v>
      </c>
      <c r="BD29" s="172">
        <f t="shared" si="14"/>
        <v>62607.000027028662</v>
      </c>
      <c r="BE29" s="172">
        <v>0</v>
      </c>
      <c r="BF29" s="172">
        <f t="shared" si="15"/>
        <v>-21576.000027028662</v>
      </c>
      <c r="BG29" s="172">
        <f t="shared" si="16"/>
        <v>-21576.000027028662</v>
      </c>
      <c r="BH29" s="172">
        <f t="shared" si="17"/>
        <v>-21576.000027028662</v>
      </c>
      <c r="BI29" s="175">
        <f t="shared" si="18"/>
        <v>0</v>
      </c>
      <c r="BJ29" s="175">
        <v>16680.73</v>
      </c>
    </row>
    <row r="30" spans="1:62" ht="15.75" customHeight="1">
      <c r="A30" s="169" t="s">
        <v>89</v>
      </c>
      <c r="B30" s="13"/>
      <c r="C30" s="13" t="s">
        <v>90</v>
      </c>
      <c r="D30" s="170">
        <v>18683.66</v>
      </c>
      <c r="E30" s="176">
        <v>0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si="12"/>
        <v>65779</v>
      </c>
      <c r="BC30" s="172">
        <f t="shared" si="13"/>
        <v>56799</v>
      </c>
      <c r="BD30" s="172">
        <f t="shared" si="14"/>
        <v>70265.303641314225</v>
      </c>
      <c r="BE30" s="172">
        <v>0</v>
      </c>
      <c r="BF30" s="172">
        <f t="shared" si="15"/>
        <v>-4486.3036413142254</v>
      </c>
      <c r="BG30" s="172">
        <f t="shared" si="16"/>
        <v>-13466.303641314225</v>
      </c>
      <c r="BH30" s="172">
        <f t="shared" si="17"/>
        <v>-4486.3036413142254</v>
      </c>
      <c r="BI30" s="175">
        <f t="shared" si="18"/>
        <v>8980</v>
      </c>
      <c r="BJ30" s="175">
        <v>-6326.6026330882451</v>
      </c>
    </row>
    <row r="31" spans="1:62" ht="15.75" customHeight="1">
      <c r="A31" s="169" t="s">
        <v>91</v>
      </c>
      <c r="B31" s="13"/>
      <c r="C31" s="13" t="s">
        <v>92</v>
      </c>
      <c r="D31" s="170">
        <v>20723.71</v>
      </c>
      <c r="E31" s="176">
        <v>0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si="12"/>
        <v>53926</v>
      </c>
      <c r="BC31" s="172">
        <f t="shared" si="13"/>
        <v>53926</v>
      </c>
      <c r="BD31" s="172">
        <f t="shared" si="14"/>
        <v>69039.118622663489</v>
      </c>
      <c r="BE31" s="172">
        <v>0</v>
      </c>
      <c r="BF31" s="172">
        <f t="shared" si="15"/>
        <v>-15113.118622663489</v>
      </c>
      <c r="BG31" s="172">
        <f t="shared" si="16"/>
        <v>-15113.118622663489</v>
      </c>
      <c r="BH31" s="172">
        <f t="shared" si="17"/>
        <v>-15113.118622663489</v>
      </c>
      <c r="BI31" s="175">
        <f t="shared" si="18"/>
        <v>0</v>
      </c>
      <c r="BJ31" s="175">
        <v>-3389.09</v>
      </c>
    </row>
    <row r="32" spans="1:62" ht="15.75" customHeight="1">
      <c r="A32" s="169" t="s">
        <v>93</v>
      </c>
      <c r="B32" s="13"/>
      <c r="C32" s="13" t="s">
        <v>94</v>
      </c>
      <c r="D32" s="170">
        <v>1082.01</v>
      </c>
      <c r="E32" s="176">
        <v>0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si="12"/>
        <v>68488.97</v>
      </c>
      <c r="BC32" s="172">
        <f t="shared" si="13"/>
        <v>63407.97</v>
      </c>
      <c r="BD32" s="172">
        <f t="shared" si="14"/>
        <v>70896.599406269495</v>
      </c>
      <c r="BE32" s="172">
        <v>0</v>
      </c>
      <c r="BF32" s="172">
        <f t="shared" si="15"/>
        <v>-2407.6294062694942</v>
      </c>
      <c r="BG32" s="172">
        <f t="shared" si="16"/>
        <v>-7488.6294062694942</v>
      </c>
      <c r="BH32" s="172">
        <f t="shared" si="17"/>
        <v>-2407.6294062694942</v>
      </c>
      <c r="BI32" s="175">
        <f t="shared" si="18"/>
        <v>5081</v>
      </c>
      <c r="BJ32" s="175">
        <v>22526</v>
      </c>
    </row>
    <row r="33" spans="1:62" ht="15.75" customHeight="1">
      <c r="A33" s="169" t="s">
        <v>95</v>
      </c>
      <c r="B33" s="13"/>
      <c r="C33" s="13" t="s">
        <v>96</v>
      </c>
      <c r="D33" s="170">
        <v>4478.43</v>
      </c>
      <c r="E33" s="176">
        <v>0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si="12"/>
        <v>46463.17</v>
      </c>
      <c r="BC33" s="172">
        <f t="shared" si="13"/>
        <v>37125.17</v>
      </c>
      <c r="BD33" s="172">
        <f t="shared" si="14"/>
        <v>65746.69619322104</v>
      </c>
      <c r="BE33" s="172">
        <v>0</v>
      </c>
      <c r="BF33" s="172">
        <f t="shared" si="15"/>
        <v>-19283.526193221041</v>
      </c>
      <c r="BG33" s="172">
        <f t="shared" si="16"/>
        <v>-28621.526193221041</v>
      </c>
      <c r="BH33" s="172">
        <f t="shared" si="17"/>
        <v>-19283.526193221041</v>
      </c>
      <c r="BI33" s="175">
        <f t="shared" si="18"/>
        <v>9338</v>
      </c>
      <c r="BJ33" s="175">
        <v>31816</v>
      </c>
    </row>
    <row r="34" spans="1:62" ht="15.75" customHeight="1">
      <c r="A34" s="169" t="s">
        <v>97</v>
      </c>
      <c r="B34" s="13"/>
      <c r="C34" s="13" t="s">
        <v>98</v>
      </c>
      <c r="D34" s="170">
        <v>-43941.66</v>
      </c>
      <c r="E34" s="176">
        <v>0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si="12"/>
        <v>69743.09</v>
      </c>
      <c r="BC34" s="172">
        <f t="shared" si="13"/>
        <v>60696.09</v>
      </c>
      <c r="BD34" s="172">
        <f t="shared" si="14"/>
        <v>64279.665483421508</v>
      </c>
      <c r="BE34" s="172">
        <v>0</v>
      </c>
      <c r="BF34" s="172">
        <f t="shared" si="15"/>
        <v>5463.4245165784887</v>
      </c>
      <c r="BG34" s="172">
        <f t="shared" si="16"/>
        <v>-3583.5754834215113</v>
      </c>
      <c r="BH34" s="172">
        <f t="shared" si="17"/>
        <v>5463.4245165784887</v>
      </c>
      <c r="BI34" s="175">
        <f t="shared" si="18"/>
        <v>9047</v>
      </c>
      <c r="BJ34" s="175">
        <v>-906.81000000000131</v>
      </c>
    </row>
    <row r="35" spans="1:62" ht="15.75" customHeight="1">
      <c r="A35" s="169" t="s">
        <v>99</v>
      </c>
      <c r="B35" s="13"/>
      <c r="C35" s="13" t="s">
        <v>100</v>
      </c>
      <c r="D35" s="170">
        <v>-14777.27</v>
      </c>
      <c r="E35" s="176">
        <v>0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si="12"/>
        <v>61873.909999999996</v>
      </c>
      <c r="BC35" s="172">
        <f t="shared" si="13"/>
        <v>57281.909999999996</v>
      </c>
      <c r="BD35" s="172">
        <f t="shared" si="14"/>
        <v>62358.885570159611</v>
      </c>
      <c r="BE35" s="172">
        <v>0</v>
      </c>
      <c r="BF35" s="172">
        <f t="shared" si="15"/>
        <v>-484.97557015961502</v>
      </c>
      <c r="BG35" s="172">
        <f t="shared" si="16"/>
        <v>-5076.975570159615</v>
      </c>
      <c r="BH35" s="172">
        <f t="shared" si="17"/>
        <v>-484.97557015961502</v>
      </c>
      <c r="BI35" s="175">
        <f t="shared" si="18"/>
        <v>4592</v>
      </c>
      <c r="BJ35" s="175">
        <v>-22380.800000000003</v>
      </c>
    </row>
    <row r="36" spans="1:62" ht="15.75" customHeight="1">
      <c r="A36" s="169" t="s">
        <v>101</v>
      </c>
      <c r="B36" s="13"/>
      <c r="C36" s="13" t="s">
        <v>340</v>
      </c>
      <c r="D36" s="170">
        <v>-86620.5</v>
      </c>
      <c r="E36" s="176">
        <v>-47620.72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si="12"/>
        <v>131911.25</v>
      </c>
      <c r="BC36" s="172">
        <f t="shared" si="13"/>
        <v>131911.25</v>
      </c>
      <c r="BD36" s="172">
        <f t="shared" si="14"/>
        <v>90046.162287789382</v>
      </c>
      <c r="BE36" s="172">
        <v>0</v>
      </c>
      <c r="BF36" s="172">
        <f t="shared" si="15"/>
        <v>41865.087712210618</v>
      </c>
      <c r="BG36" s="172">
        <f t="shared" si="16"/>
        <v>41865.087712210618</v>
      </c>
      <c r="BH36" s="172">
        <f t="shared" si="17"/>
        <v>-5755.6322877893836</v>
      </c>
      <c r="BI36" s="175">
        <f t="shared" si="18"/>
        <v>-5755.6322877893836</v>
      </c>
      <c r="BJ36" s="175">
        <v>-47620.721317381802</v>
      </c>
    </row>
    <row r="37" spans="1:62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6">
        <f>-45044.64+0.23+10000</f>
        <v>-35044.409999999996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si="12"/>
        <v>98867.540000000008</v>
      </c>
      <c r="BC37" s="172">
        <f t="shared" si="13"/>
        <v>93779.540000000008</v>
      </c>
      <c r="BD37" s="172">
        <f t="shared" si="14"/>
        <v>64232.030262290893</v>
      </c>
      <c r="BE37" s="172">
        <v>0</v>
      </c>
      <c r="BF37" s="172">
        <f t="shared" si="15"/>
        <v>34635.509737709115</v>
      </c>
      <c r="BG37" s="172">
        <f t="shared" si="16"/>
        <v>29547.509737709115</v>
      </c>
      <c r="BH37" s="172">
        <f t="shared" si="17"/>
        <v>-408.90026229088107</v>
      </c>
      <c r="BI37" s="175">
        <f t="shared" si="18"/>
        <v>-408.90026229088107</v>
      </c>
      <c r="BJ37" s="175">
        <v>-2308.8191154821034</v>
      </c>
    </row>
    <row r="38" spans="1:62" ht="15.75" customHeight="1">
      <c r="A38" s="169" t="s">
        <v>105</v>
      </c>
      <c r="B38" s="13"/>
      <c r="C38" s="13" t="s">
        <v>106</v>
      </c>
      <c r="D38" s="170">
        <v>-8330.82</v>
      </c>
      <c r="E38" s="176">
        <v>0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si="12"/>
        <v>48726</v>
      </c>
      <c r="BC38" s="172">
        <f t="shared" si="13"/>
        <v>43958</v>
      </c>
      <c r="BD38" s="172">
        <f t="shared" si="14"/>
        <v>72321.748161596755</v>
      </c>
      <c r="BE38" s="172">
        <v>0</v>
      </c>
      <c r="BF38" s="172">
        <f t="shared" si="15"/>
        <v>-23595.748161596755</v>
      </c>
      <c r="BG38" s="172">
        <f t="shared" si="16"/>
        <v>-28363.748161596755</v>
      </c>
      <c r="BH38" s="172">
        <f t="shared" si="17"/>
        <v>-23595.748161596755</v>
      </c>
      <c r="BI38" s="175">
        <f t="shared" si="18"/>
        <v>4768</v>
      </c>
      <c r="BJ38" s="175">
        <v>19747.489999999998</v>
      </c>
    </row>
    <row r="39" spans="1:62" ht="15.75" customHeight="1">
      <c r="A39" s="169" t="s">
        <v>107</v>
      </c>
      <c r="B39" s="13"/>
      <c r="C39" s="13" t="s">
        <v>108</v>
      </c>
      <c r="D39" s="170">
        <v>37108.99</v>
      </c>
      <c r="E39" s="176">
        <v>0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si="12"/>
        <v>31874</v>
      </c>
      <c r="BC39" s="172">
        <f t="shared" si="13"/>
        <v>31874</v>
      </c>
      <c r="BD39" s="172">
        <f t="shared" si="14"/>
        <v>65934.529189590728</v>
      </c>
      <c r="BE39" s="172">
        <v>0</v>
      </c>
      <c r="BF39" s="172">
        <f t="shared" si="15"/>
        <v>-34060.529189590728</v>
      </c>
      <c r="BG39" s="172">
        <f t="shared" si="16"/>
        <v>-34060.529189590728</v>
      </c>
      <c r="BH39" s="172">
        <f t="shared" si="17"/>
        <v>-34060.529189590728</v>
      </c>
      <c r="BI39" s="175">
        <f t="shared" si="18"/>
        <v>0</v>
      </c>
      <c r="BJ39" s="175">
        <v>18968.16</v>
      </c>
    </row>
    <row r="40" spans="1:62" ht="15.75" customHeight="1">
      <c r="A40" s="169" t="s">
        <v>109</v>
      </c>
      <c r="B40" s="30"/>
      <c r="C40" s="30" t="s">
        <v>110</v>
      </c>
      <c r="D40" s="170">
        <v>30080.35</v>
      </c>
      <c r="E40" s="176">
        <v>0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si="12"/>
        <v>20320</v>
      </c>
      <c r="BC40" s="172">
        <f t="shared" si="13"/>
        <v>20320</v>
      </c>
      <c r="BD40" s="172">
        <f t="shared" si="14"/>
        <v>61102.055087147586</v>
      </c>
      <c r="BE40" s="172">
        <v>0</v>
      </c>
      <c r="BF40" s="172">
        <f t="shared" si="15"/>
        <v>-40782.055087147586</v>
      </c>
      <c r="BG40" s="172">
        <f t="shared" si="16"/>
        <v>-40782.055087147586</v>
      </c>
      <c r="BH40" s="172">
        <f t="shared" si="17"/>
        <v>-40782.055087147586</v>
      </c>
      <c r="BI40" s="175">
        <f t="shared" si="18"/>
        <v>0</v>
      </c>
      <c r="BJ40" s="175">
        <v>12756.36</v>
      </c>
    </row>
    <row r="41" spans="1:62" ht="15.75" customHeight="1">
      <c r="A41" s="169" t="s">
        <v>111</v>
      </c>
      <c r="B41" s="13"/>
      <c r="C41" s="13" t="s">
        <v>112</v>
      </c>
      <c r="D41" s="170">
        <v>30955.51</v>
      </c>
      <c r="E41" s="176">
        <v>0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si="12"/>
        <v>61201.13</v>
      </c>
      <c r="BC41" s="172">
        <f t="shared" si="13"/>
        <v>56524.13</v>
      </c>
      <c r="BD41" s="172">
        <f t="shared" si="14"/>
        <v>61854.503421701971</v>
      </c>
      <c r="BE41" s="172">
        <v>0</v>
      </c>
      <c r="BF41" s="172">
        <f t="shared" si="15"/>
        <v>-653.37342170197371</v>
      </c>
      <c r="BG41" s="172">
        <f t="shared" si="16"/>
        <v>-5330.3734217019737</v>
      </c>
      <c r="BH41" s="172">
        <f t="shared" si="17"/>
        <v>-653.37342170197371</v>
      </c>
      <c r="BI41" s="175">
        <f t="shared" si="18"/>
        <v>4677</v>
      </c>
      <c r="BJ41" s="175">
        <v>28850.080000000002</v>
      </c>
    </row>
    <row r="42" spans="1:62" ht="15.75" customHeight="1">
      <c r="A42" s="169" t="s">
        <v>113</v>
      </c>
      <c r="B42" s="13"/>
      <c r="C42" s="13" t="s">
        <v>114</v>
      </c>
      <c r="D42" s="170">
        <v>42482.7</v>
      </c>
      <c r="E42" s="176">
        <v>0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si="12"/>
        <v>73355.03</v>
      </c>
      <c r="BC42" s="172">
        <f t="shared" si="13"/>
        <v>67361.03</v>
      </c>
      <c r="BD42" s="172">
        <f t="shared" si="14"/>
        <v>76383.704437740802</v>
      </c>
      <c r="BE42" s="172">
        <v>0</v>
      </c>
      <c r="BF42" s="172">
        <f t="shared" si="15"/>
        <v>-3028.6744377408031</v>
      </c>
      <c r="BG42" s="172">
        <f t="shared" si="16"/>
        <v>-9022.6744377408031</v>
      </c>
      <c r="BH42" s="172">
        <f t="shared" si="17"/>
        <v>-3028.6744377408031</v>
      </c>
      <c r="BI42" s="175">
        <f t="shared" si="18"/>
        <v>5994</v>
      </c>
      <c r="BJ42" s="175">
        <v>36780.589999999997</v>
      </c>
    </row>
    <row r="43" spans="1:62" ht="15.75" customHeight="1">
      <c r="A43" s="169" t="s">
        <v>115</v>
      </c>
      <c r="B43" s="13"/>
      <c r="C43" s="13" t="s">
        <v>116</v>
      </c>
      <c r="D43" s="170">
        <v>-12683.27</v>
      </c>
      <c r="E43" s="176">
        <v>0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si="12"/>
        <v>74604</v>
      </c>
      <c r="BC43" s="172">
        <f t="shared" si="13"/>
        <v>68604</v>
      </c>
      <c r="BD43" s="172">
        <f t="shared" si="14"/>
        <v>68691.785176655743</v>
      </c>
      <c r="BE43" s="172">
        <v>0</v>
      </c>
      <c r="BF43" s="172">
        <f t="shared" si="15"/>
        <v>5912.2148233442567</v>
      </c>
      <c r="BG43" s="172">
        <f t="shared" si="16"/>
        <v>-87.785176655743271</v>
      </c>
      <c r="BH43" s="172">
        <f t="shared" si="17"/>
        <v>5912.2148233442567</v>
      </c>
      <c r="BI43" s="175">
        <f t="shared" si="18"/>
        <v>6000</v>
      </c>
      <c r="BJ43" s="175">
        <v>-5302.42</v>
      </c>
    </row>
    <row r="44" spans="1:62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6">
        <v>0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si="12"/>
        <v>0</v>
      </c>
      <c r="BC44" s="172">
        <f t="shared" si="13"/>
        <v>0</v>
      </c>
      <c r="BD44" s="172">
        <f t="shared" si="14"/>
        <v>60862.504287912656</v>
      </c>
      <c r="BE44" s="172">
        <v>0</v>
      </c>
      <c r="BF44" s="172">
        <f t="shared" si="15"/>
        <v>-60862.504287912656</v>
      </c>
      <c r="BG44" s="172">
        <f t="shared" si="16"/>
        <v>-60862.504287912656</v>
      </c>
      <c r="BH44" s="172">
        <f t="shared" si="17"/>
        <v>-60862.504287912656</v>
      </c>
      <c r="BI44" s="175">
        <f t="shared" si="18"/>
        <v>0</v>
      </c>
      <c r="BJ44" s="175">
        <v>-11827.04</v>
      </c>
    </row>
    <row r="45" spans="1:62" ht="15.75" customHeight="1">
      <c r="A45" s="169" t="s">
        <v>119</v>
      </c>
      <c r="B45" s="13"/>
      <c r="C45" s="13" t="s">
        <v>120</v>
      </c>
      <c r="D45" s="170">
        <v>-62427.69</v>
      </c>
      <c r="E45" s="176">
        <v>0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si="12"/>
        <v>96075</v>
      </c>
      <c r="BC45" s="172">
        <f t="shared" si="13"/>
        <v>91390</v>
      </c>
      <c r="BD45" s="172">
        <f t="shared" si="14"/>
        <v>66637.21962318552</v>
      </c>
      <c r="BE45" s="172">
        <v>0</v>
      </c>
      <c r="BF45" s="172">
        <f t="shared" si="15"/>
        <v>29437.78037681448</v>
      </c>
      <c r="BG45" s="172">
        <f t="shared" si="16"/>
        <v>24752.78037681448</v>
      </c>
      <c r="BH45" s="172">
        <f t="shared" si="17"/>
        <v>29437.78037681448</v>
      </c>
      <c r="BI45" s="175">
        <f t="shared" si="18"/>
        <v>29437.78037681448</v>
      </c>
      <c r="BJ45" s="175">
        <v>-29570.949999999997</v>
      </c>
    </row>
    <row r="46" spans="1:62" ht="15.75" customHeight="1">
      <c r="A46" s="169" t="s">
        <v>121</v>
      </c>
      <c r="B46" s="13"/>
      <c r="C46" s="13" t="s">
        <v>122</v>
      </c>
      <c r="D46" s="170">
        <v>-6659.47</v>
      </c>
      <c r="E46" s="176">
        <v>0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si="12"/>
        <v>57395.09</v>
      </c>
      <c r="BC46" s="172">
        <f t="shared" si="13"/>
        <v>52125.09</v>
      </c>
      <c r="BD46" s="172">
        <f t="shared" si="14"/>
        <v>68696.648049287745</v>
      </c>
      <c r="BE46" s="172">
        <v>0</v>
      </c>
      <c r="BF46" s="172">
        <f t="shared" si="15"/>
        <v>-11301.558049287749</v>
      </c>
      <c r="BG46" s="172">
        <f t="shared" si="16"/>
        <v>-16571.558049287749</v>
      </c>
      <c r="BH46" s="172">
        <f t="shared" si="17"/>
        <v>-11301.558049287749</v>
      </c>
      <c r="BI46" s="175">
        <f t="shared" si="18"/>
        <v>5270</v>
      </c>
      <c r="BJ46" s="175">
        <v>107182.71</v>
      </c>
    </row>
    <row r="47" spans="1:62" ht="15.75" customHeight="1">
      <c r="A47" s="169" t="s">
        <v>123</v>
      </c>
      <c r="B47" s="13"/>
      <c r="C47" s="13" t="s">
        <v>124</v>
      </c>
      <c r="D47" s="170">
        <v>-17999.490000000002</v>
      </c>
      <c r="E47" s="176">
        <v>0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si="12"/>
        <v>63944.049999999996</v>
      </c>
      <c r="BC47" s="172">
        <f t="shared" si="13"/>
        <v>59136.049999999996</v>
      </c>
      <c r="BD47" s="172">
        <f t="shared" si="14"/>
        <v>64159.53359795369</v>
      </c>
      <c r="BE47" s="172">
        <v>0</v>
      </c>
      <c r="BF47" s="172">
        <f t="shared" si="15"/>
        <v>-215.4835979536947</v>
      </c>
      <c r="BG47" s="172">
        <f t="shared" si="16"/>
        <v>-5023.4835979536947</v>
      </c>
      <c r="BH47" s="172">
        <f t="shared" si="17"/>
        <v>-215.4835979536947</v>
      </c>
      <c r="BI47" s="175">
        <f t="shared" si="18"/>
        <v>4808</v>
      </c>
      <c r="BJ47" s="175">
        <v>-15734.34</v>
      </c>
    </row>
    <row r="48" spans="1:62" ht="15.75" customHeight="1">
      <c r="A48" s="169" t="s">
        <v>125</v>
      </c>
      <c r="B48" s="13"/>
      <c r="C48" s="13" t="s">
        <v>126</v>
      </c>
      <c r="D48" s="170">
        <v>21692.9</v>
      </c>
      <c r="E48" s="176">
        <v>0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si="12"/>
        <v>62998</v>
      </c>
      <c r="BC48" s="172">
        <f t="shared" si="13"/>
        <v>50504</v>
      </c>
      <c r="BD48" s="172">
        <f t="shared" si="14"/>
        <v>64898.486315241797</v>
      </c>
      <c r="BE48" s="172">
        <v>0</v>
      </c>
      <c r="BF48" s="172">
        <f t="shared" si="15"/>
        <v>-1900.4863152417965</v>
      </c>
      <c r="BG48" s="172">
        <f t="shared" si="16"/>
        <v>-14394.486315241797</v>
      </c>
      <c r="BH48" s="172">
        <f t="shared" si="17"/>
        <v>-1900.4863152417965</v>
      </c>
      <c r="BI48" s="175">
        <f t="shared" si="18"/>
        <v>12494</v>
      </c>
      <c r="BJ48" s="175">
        <v>236.81999999999607</v>
      </c>
    </row>
    <row r="49" spans="1:62" ht="15.75" customHeight="1">
      <c r="A49" s="169" t="s">
        <v>127</v>
      </c>
      <c r="B49" s="13"/>
      <c r="C49" s="13" t="s">
        <v>128</v>
      </c>
      <c r="D49" s="170">
        <v>-28051.73</v>
      </c>
      <c r="E49" s="176">
        <v>0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si="12"/>
        <v>54776</v>
      </c>
      <c r="BC49" s="172">
        <f t="shared" si="13"/>
        <v>54776</v>
      </c>
      <c r="BD49" s="172">
        <f t="shared" si="14"/>
        <v>77014.054557790572</v>
      </c>
      <c r="BE49" s="172">
        <v>0</v>
      </c>
      <c r="BF49" s="172">
        <f t="shared" si="15"/>
        <v>-22238.054557790572</v>
      </c>
      <c r="BG49" s="172">
        <f t="shared" si="16"/>
        <v>-22238.054557790572</v>
      </c>
      <c r="BH49" s="172">
        <f t="shared" si="17"/>
        <v>-22238.054557790572</v>
      </c>
      <c r="BI49" s="175">
        <f t="shared" si="18"/>
        <v>0</v>
      </c>
      <c r="BJ49" s="175">
        <v>1318.26</v>
      </c>
    </row>
    <row r="50" spans="1:62" ht="15.75" customHeight="1">
      <c r="A50" s="169" t="s">
        <v>129</v>
      </c>
      <c r="B50" s="13"/>
      <c r="C50" s="13" t="s">
        <v>130</v>
      </c>
      <c r="D50" s="170">
        <v>-10704.71</v>
      </c>
      <c r="E50" s="176">
        <v>0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si="12"/>
        <v>70074</v>
      </c>
      <c r="BC50" s="172">
        <f t="shared" si="13"/>
        <v>59619</v>
      </c>
      <c r="BD50" s="172">
        <f t="shared" si="14"/>
        <v>64891.219328514839</v>
      </c>
      <c r="BE50" s="172">
        <v>0</v>
      </c>
      <c r="BF50" s="172">
        <f t="shared" si="15"/>
        <v>5182.7806714851613</v>
      </c>
      <c r="BG50" s="172">
        <f t="shared" si="16"/>
        <v>-5272.2193285148387</v>
      </c>
      <c r="BH50" s="172">
        <f t="shared" si="17"/>
        <v>5182.7806714851613</v>
      </c>
      <c r="BI50" s="175">
        <f t="shared" si="18"/>
        <v>10455</v>
      </c>
      <c r="BJ50" s="175">
        <v>134.5</v>
      </c>
    </row>
    <row r="51" spans="1:62" ht="15.75" customHeight="1">
      <c r="A51" s="169" t="s">
        <v>131</v>
      </c>
      <c r="B51" s="13"/>
      <c r="C51" s="13" t="s">
        <v>132</v>
      </c>
      <c r="D51" s="170">
        <v>14185.9</v>
      </c>
      <c r="E51" s="176">
        <v>0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si="12"/>
        <v>74670</v>
      </c>
      <c r="BC51" s="172">
        <f t="shared" si="13"/>
        <v>68850</v>
      </c>
      <c r="BD51" s="172">
        <f t="shared" si="14"/>
        <v>76604.277729935653</v>
      </c>
      <c r="BE51" s="172">
        <v>0</v>
      </c>
      <c r="BF51" s="172">
        <f t="shared" si="15"/>
        <v>-1934.277729935653</v>
      </c>
      <c r="BG51" s="172">
        <f t="shared" si="16"/>
        <v>-7754.277729935653</v>
      </c>
      <c r="BH51" s="172">
        <f t="shared" si="17"/>
        <v>-1934.277729935653</v>
      </c>
      <c r="BI51" s="175">
        <f t="shared" si="18"/>
        <v>5820</v>
      </c>
      <c r="BJ51" s="175">
        <v>8375.25</v>
      </c>
    </row>
    <row r="52" spans="1:62" ht="15.75" customHeight="1">
      <c r="A52" s="169" t="s">
        <v>133</v>
      </c>
      <c r="B52" s="13"/>
      <c r="C52" s="13" t="s">
        <v>134</v>
      </c>
      <c r="D52" s="170">
        <v>-95754.96</v>
      </c>
      <c r="E52" s="176">
        <f>-77968.56+10034</f>
        <v>-67934.559999999998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si="12"/>
        <v>105538</v>
      </c>
      <c r="BC52" s="172">
        <f t="shared" si="13"/>
        <v>100302</v>
      </c>
      <c r="BD52" s="172">
        <f t="shared" si="14"/>
        <v>76450.777807852399</v>
      </c>
      <c r="BE52" s="172">
        <v>0</v>
      </c>
      <c r="BF52" s="172">
        <f t="shared" si="15"/>
        <v>29087.222192147601</v>
      </c>
      <c r="BG52" s="172">
        <f t="shared" si="16"/>
        <v>23851.222192147601</v>
      </c>
      <c r="BH52" s="172">
        <f t="shared" si="17"/>
        <v>-38847.337807852397</v>
      </c>
      <c r="BI52" s="175">
        <f t="shared" si="18"/>
        <v>-38847.337807852397</v>
      </c>
      <c r="BJ52" s="175">
        <v>-15186.806955318374</v>
      </c>
    </row>
    <row r="53" spans="1:62" ht="15.75" customHeight="1">
      <c r="A53" s="169" t="s">
        <v>135</v>
      </c>
      <c r="B53" s="13"/>
      <c r="C53" s="13" t="s">
        <v>136</v>
      </c>
      <c r="D53" s="170">
        <v>5261.88</v>
      </c>
      <c r="E53" s="176">
        <v>0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si="12"/>
        <v>73836.570000000007</v>
      </c>
      <c r="BC53" s="172">
        <f t="shared" si="13"/>
        <v>68858.570000000007</v>
      </c>
      <c r="BD53" s="172">
        <f t="shared" si="14"/>
        <v>69274.685829139475</v>
      </c>
      <c r="BE53" s="172">
        <v>0</v>
      </c>
      <c r="BF53" s="172">
        <f t="shared" si="15"/>
        <v>4561.8841708605323</v>
      </c>
      <c r="BG53" s="172">
        <f t="shared" si="16"/>
        <v>-416.11582913946768</v>
      </c>
      <c r="BH53" s="172">
        <f t="shared" si="17"/>
        <v>4561.8841708605323</v>
      </c>
      <c r="BI53" s="175">
        <f t="shared" si="18"/>
        <v>4978</v>
      </c>
      <c r="BJ53" s="175">
        <v>-6949.6900000000023</v>
      </c>
    </row>
    <row r="54" spans="1:62" ht="15.75" customHeight="1">
      <c r="A54" s="169" t="s">
        <v>137</v>
      </c>
      <c r="B54" s="13"/>
      <c r="C54" s="13" t="s">
        <v>138</v>
      </c>
      <c r="D54" s="170">
        <v>-16511.91</v>
      </c>
      <c r="E54" s="176">
        <v>0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si="12"/>
        <v>33046</v>
      </c>
      <c r="BC54" s="172">
        <f t="shared" si="13"/>
        <v>22947</v>
      </c>
      <c r="BD54" s="172">
        <f t="shared" si="14"/>
        <v>69097.195877806924</v>
      </c>
      <c r="BE54" s="172">
        <v>0</v>
      </c>
      <c r="BF54" s="172">
        <f t="shared" si="15"/>
        <v>-36051.195877806924</v>
      </c>
      <c r="BG54" s="172">
        <f t="shared" si="16"/>
        <v>-46150.195877806924</v>
      </c>
      <c r="BH54" s="172">
        <f t="shared" si="17"/>
        <v>-36051.195877806924</v>
      </c>
      <c r="BI54" s="175">
        <f t="shared" si="18"/>
        <v>10099</v>
      </c>
      <c r="BJ54" s="175">
        <v>24885.55</v>
      </c>
    </row>
    <row r="55" spans="1:62" ht="15.75" customHeight="1">
      <c r="A55" s="169" t="s">
        <v>139</v>
      </c>
      <c r="B55" s="13"/>
      <c r="C55" s="13" t="s">
        <v>140</v>
      </c>
      <c r="D55" s="170">
        <v>-1440.38</v>
      </c>
      <c r="E55" s="176">
        <v>0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si="12"/>
        <v>36531</v>
      </c>
      <c r="BC55" s="172">
        <f t="shared" si="13"/>
        <v>31535</v>
      </c>
      <c r="BD55" s="172">
        <f t="shared" si="14"/>
        <v>62857.006199165728</v>
      </c>
      <c r="BE55" s="172">
        <v>0</v>
      </c>
      <c r="BF55" s="172">
        <f t="shared" si="15"/>
        <v>-26326.006199165728</v>
      </c>
      <c r="BG55" s="172">
        <f t="shared" si="16"/>
        <v>-31322.006199165728</v>
      </c>
      <c r="BH55" s="172">
        <f t="shared" si="17"/>
        <v>-26326.006199165728</v>
      </c>
      <c r="BI55" s="175">
        <f t="shared" si="18"/>
        <v>4996</v>
      </c>
      <c r="BJ55" s="175">
        <v>23027</v>
      </c>
    </row>
    <row r="56" spans="1:62" ht="15.75" customHeight="1">
      <c r="A56" s="169" t="s">
        <v>141</v>
      </c>
      <c r="B56" s="13"/>
      <c r="C56" s="13" t="s">
        <v>142</v>
      </c>
      <c r="D56" s="170">
        <v>30052.14</v>
      </c>
      <c r="E56" s="176">
        <v>0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si="12"/>
        <v>54678.61</v>
      </c>
      <c r="BC56" s="172">
        <f t="shared" si="13"/>
        <v>44315.61</v>
      </c>
      <c r="BD56" s="172">
        <f t="shared" si="14"/>
        <v>74677.983550838864</v>
      </c>
      <c r="BE56" s="172">
        <v>0</v>
      </c>
      <c r="BF56" s="172">
        <f t="shared" si="15"/>
        <v>-19999.373550838864</v>
      </c>
      <c r="BG56" s="172">
        <f t="shared" si="16"/>
        <v>-30362.373550838864</v>
      </c>
      <c r="BH56" s="172">
        <f t="shared" si="17"/>
        <v>-19999.373550838864</v>
      </c>
      <c r="BI56" s="175">
        <f t="shared" si="18"/>
        <v>10363</v>
      </c>
      <c r="BJ56" s="175">
        <v>21346.41</v>
      </c>
    </row>
    <row r="57" spans="1:62" ht="15.75" customHeight="1">
      <c r="A57" s="169" t="s">
        <v>143</v>
      </c>
      <c r="B57" s="13"/>
      <c r="C57" s="13" t="s">
        <v>144</v>
      </c>
      <c r="D57" s="170">
        <v>11655.8</v>
      </c>
      <c r="E57" s="176">
        <v>0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si="12"/>
        <v>43509.33</v>
      </c>
      <c r="BC57" s="172">
        <f t="shared" si="13"/>
        <v>43509.33</v>
      </c>
      <c r="BD57" s="172">
        <f t="shared" si="14"/>
        <v>61996.37322233546</v>
      </c>
      <c r="BE57" s="172">
        <v>0</v>
      </c>
      <c r="BF57" s="172">
        <f t="shared" si="15"/>
        <v>-18487.043222335458</v>
      </c>
      <c r="BG57" s="172">
        <f t="shared" si="16"/>
        <v>-18487.043222335458</v>
      </c>
      <c r="BH57" s="172">
        <f t="shared" si="17"/>
        <v>-18487.043222335458</v>
      </c>
      <c r="BI57" s="175">
        <f t="shared" si="18"/>
        <v>0</v>
      </c>
      <c r="BJ57" s="175">
        <v>8849.2100000000009</v>
      </c>
    </row>
    <row r="58" spans="1:62" ht="15.75" customHeight="1">
      <c r="A58" s="169" t="s">
        <v>145</v>
      </c>
      <c r="B58" s="13"/>
      <c r="C58" s="13" t="s">
        <v>146</v>
      </c>
      <c r="D58" s="170">
        <v>52886.239999999998</v>
      </c>
      <c r="E58" s="176">
        <v>0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si="12"/>
        <v>56958.42</v>
      </c>
      <c r="BC58" s="172">
        <f t="shared" si="13"/>
        <v>46390.42</v>
      </c>
      <c r="BD58" s="172">
        <f t="shared" si="14"/>
        <v>63695.151685420511</v>
      </c>
      <c r="BE58" s="172">
        <v>0</v>
      </c>
      <c r="BF58" s="172">
        <f t="shared" si="15"/>
        <v>-6736.7316854205128</v>
      </c>
      <c r="BG58" s="172">
        <f t="shared" si="16"/>
        <v>-17304.731685420513</v>
      </c>
      <c r="BH58" s="172">
        <f t="shared" si="17"/>
        <v>-6736.7316854205128</v>
      </c>
      <c r="BI58" s="175">
        <f t="shared" si="18"/>
        <v>10568</v>
      </c>
      <c r="BJ58" s="175">
        <v>45505.31</v>
      </c>
    </row>
    <row r="59" spans="1:62" ht="15.75" customHeight="1">
      <c r="A59" s="169" t="s">
        <v>147</v>
      </c>
      <c r="B59" s="13"/>
      <c r="C59" s="13" t="s">
        <v>148</v>
      </c>
      <c r="D59" s="170">
        <v>29774.18</v>
      </c>
      <c r="E59" s="176">
        <v>0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si="12"/>
        <v>67851.69</v>
      </c>
      <c r="BC59" s="172">
        <f t="shared" si="13"/>
        <v>62596.69</v>
      </c>
      <c r="BD59" s="172">
        <f t="shared" si="14"/>
        <v>68134.074709862442</v>
      </c>
      <c r="BE59" s="172">
        <v>0</v>
      </c>
      <c r="BF59" s="172">
        <f t="shared" si="15"/>
        <v>-282.38470986243919</v>
      </c>
      <c r="BG59" s="172">
        <f t="shared" si="16"/>
        <v>-5537.3847098624392</v>
      </c>
      <c r="BH59" s="172">
        <f t="shared" si="17"/>
        <v>-282.38470986243919</v>
      </c>
      <c r="BI59" s="175">
        <f t="shared" si="18"/>
        <v>5255</v>
      </c>
      <c r="BJ59" s="175">
        <v>19894.25</v>
      </c>
    </row>
    <row r="60" spans="1:62" ht="15.75" customHeight="1">
      <c r="A60" s="169" t="s">
        <v>149</v>
      </c>
      <c r="B60" s="13"/>
      <c r="C60" s="13" t="s">
        <v>36</v>
      </c>
      <c r="D60" s="170">
        <v>-9084.31</v>
      </c>
      <c r="E60" s="176">
        <v>0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si="12"/>
        <v>69794</v>
      </c>
      <c r="BC60" s="172">
        <f t="shared" si="13"/>
        <v>64040</v>
      </c>
      <c r="BD60" s="172">
        <f t="shared" si="14"/>
        <v>73489.226587681231</v>
      </c>
      <c r="BE60" s="172">
        <v>0</v>
      </c>
      <c r="BF60" s="172">
        <f t="shared" si="15"/>
        <v>-3695.2265876812307</v>
      </c>
      <c r="BG60" s="172">
        <f t="shared" si="16"/>
        <v>-9449.2265876812307</v>
      </c>
      <c r="BH60" s="172">
        <f t="shared" si="17"/>
        <v>-3695.2265876812307</v>
      </c>
      <c r="BI60" s="175">
        <f t="shared" si="18"/>
        <v>5754</v>
      </c>
      <c r="BJ60" s="175">
        <v>12101</v>
      </c>
    </row>
    <row r="61" spans="1:62" ht="15.75" customHeight="1">
      <c r="A61" s="169" t="s">
        <v>150</v>
      </c>
      <c r="B61" s="13"/>
      <c r="C61" s="13" t="s">
        <v>151</v>
      </c>
      <c r="D61" s="170">
        <v>18172.14</v>
      </c>
      <c r="E61" s="176">
        <v>0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si="12"/>
        <v>53620.119999999995</v>
      </c>
      <c r="BC61" s="172">
        <f t="shared" si="13"/>
        <v>48811.119999999995</v>
      </c>
      <c r="BD61" s="172">
        <f t="shared" si="14"/>
        <v>64407.984466679591</v>
      </c>
      <c r="BE61" s="172">
        <v>0</v>
      </c>
      <c r="BF61" s="172">
        <f t="shared" si="15"/>
        <v>-10787.864466679595</v>
      </c>
      <c r="BG61" s="172">
        <f t="shared" si="16"/>
        <v>-15596.864466679595</v>
      </c>
      <c r="BH61" s="172">
        <f t="shared" si="17"/>
        <v>-10787.864466679595</v>
      </c>
      <c r="BI61" s="175">
        <f t="shared" si="18"/>
        <v>4809</v>
      </c>
      <c r="BJ61" s="175">
        <v>807.65999999999804</v>
      </c>
    </row>
    <row r="62" spans="1:62" ht="15.75" customHeight="1">
      <c r="A62" s="169" t="s">
        <v>152</v>
      </c>
      <c r="B62" s="13"/>
      <c r="C62" s="13" t="s">
        <v>153</v>
      </c>
      <c r="D62" s="170">
        <v>-4201.6899999999996</v>
      </c>
      <c r="E62" s="176">
        <v>0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si="12"/>
        <v>62774.880000000005</v>
      </c>
      <c r="BC62" s="172">
        <f t="shared" si="13"/>
        <v>58106.880000000005</v>
      </c>
      <c r="BD62" s="172">
        <f t="shared" si="14"/>
        <v>62365.551059176098</v>
      </c>
      <c r="BE62" s="172">
        <v>0</v>
      </c>
      <c r="BF62" s="172">
        <f t="shared" si="15"/>
        <v>409.32894082390703</v>
      </c>
      <c r="BG62" s="172">
        <f t="shared" si="16"/>
        <v>-4258.671059176093</v>
      </c>
      <c r="BH62" s="172">
        <f t="shared" si="17"/>
        <v>409.32894082390703</v>
      </c>
      <c r="BI62" s="175">
        <f t="shared" si="18"/>
        <v>4668</v>
      </c>
      <c r="BJ62" s="175">
        <v>-13443.343737614523</v>
      </c>
    </row>
    <row r="63" spans="1:62" ht="15.75" customHeight="1">
      <c r="A63" s="169" t="s">
        <v>154</v>
      </c>
      <c r="B63" s="13"/>
      <c r="C63" s="13" t="s">
        <v>155</v>
      </c>
      <c r="D63" s="170">
        <v>-21644.38</v>
      </c>
      <c r="E63" s="176">
        <v>0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si="12"/>
        <v>84000</v>
      </c>
      <c r="BC63" s="172">
        <f t="shared" si="13"/>
        <v>84000</v>
      </c>
      <c r="BD63" s="172">
        <f t="shared" si="14"/>
        <v>66641.940884983895</v>
      </c>
      <c r="BE63" s="172">
        <v>0</v>
      </c>
      <c r="BF63" s="172">
        <f t="shared" si="15"/>
        <v>17358.059115016105</v>
      </c>
      <c r="BG63" s="172">
        <f t="shared" si="16"/>
        <v>17358.059115016105</v>
      </c>
      <c r="BH63" s="172">
        <f t="shared" si="17"/>
        <v>17358.059115016105</v>
      </c>
      <c r="BI63" s="175">
        <f t="shared" si="18"/>
        <v>17358.059115016105</v>
      </c>
      <c r="BJ63" s="175">
        <v>-15412.390303130611</v>
      </c>
    </row>
    <row r="64" spans="1:62" ht="15.75" customHeight="1">
      <c r="A64" s="169" t="s">
        <v>156</v>
      </c>
      <c r="B64" s="13"/>
      <c r="C64" s="13" t="s">
        <v>157</v>
      </c>
      <c r="D64" s="170">
        <v>-3401.65</v>
      </c>
      <c r="E64" s="176">
        <v>0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si="12"/>
        <v>62614</v>
      </c>
      <c r="BC64" s="172">
        <f t="shared" si="13"/>
        <v>56549</v>
      </c>
      <c r="BD64" s="172">
        <f t="shared" si="14"/>
        <v>67090.901860822443</v>
      </c>
      <c r="BE64" s="172">
        <v>0</v>
      </c>
      <c r="BF64" s="172">
        <f t="shared" si="15"/>
        <v>-4476.9018608224433</v>
      </c>
      <c r="BG64" s="172">
        <f t="shared" si="16"/>
        <v>-10541.901860822443</v>
      </c>
      <c r="BH64" s="172">
        <f t="shared" si="17"/>
        <v>-4476.9018608224433</v>
      </c>
      <c r="BI64" s="175">
        <f t="shared" si="18"/>
        <v>6065</v>
      </c>
      <c r="BJ64" s="175">
        <v>-6060.9900000000016</v>
      </c>
    </row>
    <row r="65" spans="1:62" ht="15.75" customHeight="1">
      <c r="A65" s="169" t="s">
        <v>158</v>
      </c>
      <c r="B65" s="13"/>
      <c r="C65" s="13" t="s">
        <v>159</v>
      </c>
      <c r="D65" s="170">
        <v>4456.1400000000003</v>
      </c>
      <c r="E65" s="176">
        <v>0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si="12"/>
        <v>46274</v>
      </c>
      <c r="BC65" s="172">
        <f t="shared" si="13"/>
        <v>40915</v>
      </c>
      <c r="BD65" s="172">
        <f t="shared" si="14"/>
        <v>78592.826286914787</v>
      </c>
      <c r="BE65" s="172">
        <v>0</v>
      </c>
      <c r="BF65" s="172">
        <f t="shared" si="15"/>
        <v>-32318.826286914787</v>
      </c>
      <c r="BG65" s="172">
        <f t="shared" si="16"/>
        <v>-37677.826286914787</v>
      </c>
      <c r="BH65" s="172">
        <f t="shared" si="17"/>
        <v>-32318.826286914787</v>
      </c>
      <c r="BI65" s="175">
        <f t="shared" si="18"/>
        <v>5359</v>
      </c>
      <c r="BJ65" s="175">
        <v>34138.04</v>
      </c>
    </row>
    <row r="66" spans="1:62" ht="15.75" customHeight="1">
      <c r="A66" s="169" t="s">
        <v>160</v>
      </c>
      <c r="B66" s="13"/>
      <c r="C66" s="13" t="s">
        <v>161</v>
      </c>
      <c r="D66" s="170">
        <v>20295.53</v>
      </c>
      <c r="E66" s="176">
        <v>0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si="12"/>
        <v>57837</v>
      </c>
      <c r="BC66" s="172">
        <f t="shared" si="13"/>
        <v>48062</v>
      </c>
      <c r="BD66" s="172">
        <f t="shared" si="14"/>
        <v>67187.2071393933</v>
      </c>
      <c r="BE66" s="172">
        <v>0</v>
      </c>
      <c r="BF66" s="172">
        <f t="shared" si="15"/>
        <v>-9350.2071393933002</v>
      </c>
      <c r="BG66" s="172">
        <f t="shared" si="16"/>
        <v>-19125.2071393933</v>
      </c>
      <c r="BH66" s="172">
        <f t="shared" si="17"/>
        <v>-9350.2071393933002</v>
      </c>
      <c r="BI66" s="175">
        <f t="shared" si="18"/>
        <v>9775</v>
      </c>
      <c r="BJ66" s="175">
        <v>9786</v>
      </c>
    </row>
    <row r="67" spans="1:62" ht="15.75" customHeight="1">
      <c r="A67" s="169"/>
      <c r="B67" s="156"/>
      <c r="C67" s="156" t="s">
        <v>162</v>
      </c>
      <c r="D67" s="177">
        <f t="shared" ref="D67:G67" si="19">SUM(D3:D66)</f>
        <v>316807.84999999986</v>
      </c>
      <c r="E67" s="143">
        <f t="shared" si="19"/>
        <v>-241749.15</v>
      </c>
      <c r="F67" s="178">
        <f t="shared" si="19"/>
        <v>327195</v>
      </c>
      <c r="G67" s="174">
        <f t="shared" si="19"/>
        <v>389100.83000000013</v>
      </c>
      <c r="H67" s="174">
        <f>SUM(H3:H66)</f>
        <v>0</v>
      </c>
      <c r="I67" s="174">
        <f t="shared" ref="I67:K67" si="20">SUM(I3:I66)</f>
        <v>-61905.82999999998</v>
      </c>
      <c r="J67" s="174">
        <f t="shared" si="20"/>
        <v>353995</v>
      </c>
      <c r="K67" s="174">
        <f t="shared" si="20"/>
        <v>308559.99995700002</v>
      </c>
      <c r="L67" s="174">
        <f>SUM(L3:L66)</f>
        <v>8500</v>
      </c>
      <c r="M67" s="174">
        <f t="shared" ref="M67:S67" si="21">SUM(M3:M66)</f>
        <v>36935.000043000007</v>
      </c>
      <c r="N67" s="174">
        <f t="shared" si="21"/>
        <v>587135.71</v>
      </c>
      <c r="O67" s="174">
        <f t="shared" si="21"/>
        <v>316511.99995700002</v>
      </c>
      <c r="P67" s="174">
        <f t="shared" si="21"/>
        <v>0</v>
      </c>
      <c r="Q67" s="174">
        <f t="shared" si="21"/>
        <v>270623.71004300006</v>
      </c>
      <c r="R67" s="174">
        <f t="shared" si="21"/>
        <v>263304.58999999997</v>
      </c>
      <c r="S67" s="174">
        <f t="shared" si="21"/>
        <v>372950.99995700008</v>
      </c>
      <c r="T67" s="174">
        <f>SUM(T3:T66)</f>
        <v>2500</v>
      </c>
      <c r="U67" s="174">
        <f t="shared" ref="U67:W67" si="22">SUM(U3:U66)</f>
        <v>-112146.40995700003</v>
      </c>
      <c r="V67" s="174">
        <f t="shared" si="22"/>
        <v>326216.61000000004</v>
      </c>
      <c r="W67" s="174">
        <f t="shared" si="22"/>
        <v>404240.99995700002</v>
      </c>
      <c r="X67" s="174">
        <f>SUM(X3:X66)</f>
        <v>0</v>
      </c>
      <c r="Y67" s="174">
        <f t="shared" ref="Y67:AA67" si="23">SUM(Y3:Y66)</f>
        <v>-78024.389957000007</v>
      </c>
      <c r="Z67" s="174">
        <f t="shared" si="23"/>
        <v>377525.13999999996</v>
      </c>
      <c r="AA67" s="174">
        <f t="shared" si="23"/>
        <v>339897.99995700002</v>
      </c>
      <c r="AB67" s="174">
        <f>SUM(AB3:AB66)</f>
        <v>0</v>
      </c>
      <c r="AC67" s="174">
        <f t="shared" ref="AC67:AE67" si="24">SUM(AC3:AC66)</f>
        <v>37627.140042999992</v>
      </c>
      <c r="AD67" s="174">
        <f t="shared" si="24"/>
        <v>276048.51</v>
      </c>
      <c r="AE67" s="174">
        <f t="shared" si="24"/>
        <v>433066.99995700002</v>
      </c>
      <c r="AF67" s="174">
        <f>SUM(AF3:AF66)</f>
        <v>0</v>
      </c>
      <c r="AG67" s="174">
        <f t="shared" ref="AG67:AI67" si="25">SUM(AG3:AG66)</f>
        <v>-157018.4899570001</v>
      </c>
      <c r="AH67" s="174">
        <f t="shared" si="25"/>
        <v>273730.38</v>
      </c>
      <c r="AI67" s="174">
        <f t="shared" si="25"/>
        <v>460167.99995699996</v>
      </c>
      <c r="AJ67" s="174">
        <f>SUM(AJ3:AJ66)</f>
        <v>0</v>
      </c>
      <c r="AK67" s="174">
        <f t="shared" ref="AK67:AM67" si="26">SUM(AK3:AK66)</f>
        <v>-186437.61995700002</v>
      </c>
      <c r="AL67" s="174">
        <f t="shared" si="26"/>
        <v>378644.99</v>
      </c>
      <c r="AM67" s="174">
        <f t="shared" si="26"/>
        <v>354395.99995700008</v>
      </c>
      <c r="AN67" s="174">
        <f>SUM(AN3:AN66)</f>
        <v>0</v>
      </c>
      <c r="AO67" s="174">
        <f t="shared" ref="AO67:BB67" si="27">SUM(AO3:AO66)</f>
        <v>24248.990042999998</v>
      </c>
      <c r="AP67" s="7">
        <f t="shared" si="27"/>
        <v>362273.94</v>
      </c>
      <c r="AQ67" s="10">
        <f t="shared" si="27"/>
        <v>350803.99995700002</v>
      </c>
      <c r="AR67" s="10">
        <f t="shared" si="27"/>
        <v>0</v>
      </c>
      <c r="AS67" s="10">
        <f t="shared" si="27"/>
        <v>11469.94004300001</v>
      </c>
      <c r="AT67" s="7">
        <f t="shared" si="27"/>
        <v>256044.66</v>
      </c>
      <c r="AU67" s="10">
        <f t="shared" si="27"/>
        <v>329671.63000000006</v>
      </c>
      <c r="AV67" s="10">
        <f t="shared" si="27"/>
        <v>0</v>
      </c>
      <c r="AW67" s="10">
        <f t="shared" si="27"/>
        <v>-73626.970000000016</v>
      </c>
      <c r="AX67" s="7">
        <f t="shared" si="27"/>
        <v>283757.58</v>
      </c>
      <c r="AY67" s="10">
        <f t="shared" si="27"/>
        <v>343422.62999999989</v>
      </c>
      <c r="AZ67" s="10">
        <f t="shared" si="27"/>
        <v>0</v>
      </c>
      <c r="BA67" s="10">
        <f t="shared" si="27"/>
        <v>-59665.050000000017</v>
      </c>
      <c r="BB67" s="174">
        <f t="shared" si="27"/>
        <v>4065872.1099999989</v>
      </c>
      <c r="BC67" s="172">
        <f t="shared" si="13"/>
        <v>3738677.11</v>
      </c>
      <c r="BD67" s="174">
        <f t="shared" ref="BD67:BF67" si="28">SUM(BD3:BD66)</f>
        <v>4402792.089612999</v>
      </c>
      <c r="BE67" s="174">
        <f t="shared" si="28"/>
        <v>0</v>
      </c>
      <c r="BF67" s="174">
        <f t="shared" si="28"/>
        <v>-336919.97961299983</v>
      </c>
      <c r="BG67" s="172">
        <f t="shared" si="16"/>
        <v>-664114.97961299913</v>
      </c>
      <c r="BH67" s="174">
        <f t="shared" si="17"/>
        <v>-578669.12961299985</v>
      </c>
      <c r="BI67" s="147"/>
      <c r="BJ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H67" xr:uid="{0ADB7750-EADB-E14C-8776-83FBBF5DA2B8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9" priority="1" operator="lessThan">
      <formula>0</formula>
    </cfRule>
  </conditionalFormatting>
  <conditionalFormatting sqref="AP2:AR2 AT2:AV2 AX2:AZ2 AF2:AG66 AJ2:AK66 AN2:AO66 AS2:AS66 AW2:AW66 BA2:BA66 BE1:BF66 BH1:BJ66 BG1:BG67">
    <cfRule type="cellIs" dxfId="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G6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4.5" defaultRowHeight="15" customHeight="1"/>
  <cols>
    <col min="1" max="1" width="12.5" customWidth="1"/>
    <col min="2" max="2" width="22.33203125" hidden="1" customWidth="1"/>
    <col min="3" max="3" width="26.83203125" customWidth="1"/>
    <col min="4" max="4" width="23.5" hidden="1" customWidth="1"/>
    <col min="5" max="19" width="23.5" customWidth="1"/>
    <col min="20" max="21" width="29" customWidth="1"/>
    <col min="22" max="55" width="23.5" customWidth="1"/>
    <col min="56" max="59" width="30.5" customWidth="1"/>
  </cols>
  <sheetData>
    <row r="1" spans="1:59" ht="39" customHeight="1">
      <c r="A1" s="155"/>
      <c r="B1" s="156"/>
      <c r="C1" s="156" t="s">
        <v>321</v>
      </c>
      <c r="D1" s="157" t="s">
        <v>322</v>
      </c>
      <c r="E1" s="158" t="s">
        <v>323</v>
      </c>
      <c r="F1" s="240">
        <v>45748</v>
      </c>
      <c r="G1" s="238"/>
      <c r="H1" s="238"/>
      <c r="I1" s="239"/>
      <c r="J1" s="241">
        <v>45778</v>
      </c>
      <c r="K1" s="238"/>
      <c r="L1" s="238"/>
      <c r="M1" s="239"/>
      <c r="N1" s="242">
        <v>45809</v>
      </c>
      <c r="O1" s="238"/>
      <c r="P1" s="238"/>
      <c r="Q1" s="239"/>
      <c r="R1" s="237">
        <v>45839</v>
      </c>
      <c r="S1" s="238"/>
      <c r="T1" s="238"/>
      <c r="U1" s="239"/>
      <c r="V1" s="242">
        <v>45870</v>
      </c>
      <c r="W1" s="238"/>
      <c r="X1" s="238"/>
      <c r="Y1" s="239"/>
      <c r="Z1" s="237">
        <v>45901</v>
      </c>
      <c r="AA1" s="238"/>
      <c r="AB1" s="238"/>
      <c r="AC1" s="239"/>
      <c r="AD1" s="237">
        <v>45931</v>
      </c>
      <c r="AE1" s="238"/>
      <c r="AF1" s="238"/>
      <c r="AG1" s="239"/>
      <c r="AH1" s="237">
        <v>45962</v>
      </c>
      <c r="AI1" s="238"/>
      <c r="AJ1" s="238"/>
      <c r="AK1" s="239"/>
      <c r="AL1" s="237">
        <v>45992</v>
      </c>
      <c r="AM1" s="238"/>
      <c r="AN1" s="238"/>
      <c r="AO1" s="239"/>
      <c r="AP1" s="237">
        <v>46023</v>
      </c>
      <c r="AQ1" s="238"/>
      <c r="AR1" s="238"/>
      <c r="AS1" s="239"/>
      <c r="AT1" s="237">
        <v>46054</v>
      </c>
      <c r="AU1" s="238"/>
      <c r="AV1" s="238"/>
      <c r="AW1" s="239"/>
      <c r="AX1" s="237">
        <v>46082</v>
      </c>
      <c r="AY1" s="238"/>
      <c r="AZ1" s="238"/>
      <c r="BA1" s="239"/>
      <c r="BB1" s="159" t="s">
        <v>324</v>
      </c>
      <c r="BC1" s="159" t="s">
        <v>325</v>
      </c>
      <c r="BD1" s="159" t="s">
        <v>326</v>
      </c>
      <c r="BE1" s="159" t="s">
        <v>327</v>
      </c>
      <c r="BF1" s="159" t="s">
        <v>328</v>
      </c>
      <c r="BG1" s="160"/>
    </row>
    <row r="2" spans="1:59">
      <c r="A2" s="161" t="s">
        <v>329</v>
      </c>
      <c r="B2" s="161" t="s">
        <v>330</v>
      </c>
      <c r="C2" s="161" t="s">
        <v>331</v>
      </c>
      <c r="D2" s="162"/>
      <c r="E2" s="163"/>
      <c r="F2" s="164" t="s">
        <v>332</v>
      </c>
      <c r="G2" s="165" t="s">
        <v>333</v>
      </c>
      <c r="H2" s="165" t="s">
        <v>334</v>
      </c>
      <c r="I2" s="165" t="s">
        <v>335</v>
      </c>
      <c r="J2" s="166" t="s">
        <v>332</v>
      </c>
      <c r="K2" s="166" t="s">
        <v>333</v>
      </c>
      <c r="L2" s="166" t="s">
        <v>334</v>
      </c>
      <c r="M2" s="166" t="s">
        <v>335</v>
      </c>
      <c r="N2" s="165" t="s">
        <v>332</v>
      </c>
      <c r="O2" s="165" t="s">
        <v>333</v>
      </c>
      <c r="P2" s="165" t="s">
        <v>334</v>
      </c>
      <c r="Q2" s="165" t="s">
        <v>335</v>
      </c>
      <c r="R2" s="166" t="s">
        <v>332</v>
      </c>
      <c r="S2" s="166" t="s">
        <v>333</v>
      </c>
      <c r="T2" s="166" t="s">
        <v>334</v>
      </c>
      <c r="U2" s="166" t="s">
        <v>335</v>
      </c>
      <c r="V2" s="165" t="s">
        <v>332</v>
      </c>
      <c r="W2" s="165" t="s">
        <v>333</v>
      </c>
      <c r="X2" s="165" t="s">
        <v>334</v>
      </c>
      <c r="Y2" s="165" t="s">
        <v>335</v>
      </c>
      <c r="Z2" s="166" t="s">
        <v>332</v>
      </c>
      <c r="AA2" s="166" t="s">
        <v>333</v>
      </c>
      <c r="AB2" s="166" t="s">
        <v>334</v>
      </c>
      <c r="AC2" s="166" t="s">
        <v>335</v>
      </c>
      <c r="AD2" s="166" t="s">
        <v>332</v>
      </c>
      <c r="AE2" s="166" t="s">
        <v>333</v>
      </c>
      <c r="AF2" s="166" t="s">
        <v>334</v>
      </c>
      <c r="AG2" s="166" t="s">
        <v>335</v>
      </c>
      <c r="AH2" s="166" t="s">
        <v>332</v>
      </c>
      <c r="AI2" s="166" t="s">
        <v>333</v>
      </c>
      <c r="AJ2" s="166" t="s">
        <v>334</v>
      </c>
      <c r="AK2" s="166" t="s">
        <v>335</v>
      </c>
      <c r="AL2" s="166" t="s">
        <v>332</v>
      </c>
      <c r="AM2" s="166" t="s">
        <v>333</v>
      </c>
      <c r="AN2" s="166" t="s">
        <v>334</v>
      </c>
      <c r="AO2" s="166" t="s">
        <v>335</v>
      </c>
      <c r="AP2" s="166" t="s">
        <v>332</v>
      </c>
      <c r="AQ2" s="166" t="s">
        <v>333</v>
      </c>
      <c r="AR2" s="166" t="s">
        <v>334</v>
      </c>
      <c r="AS2" s="166" t="s">
        <v>335</v>
      </c>
      <c r="AT2" s="166" t="s">
        <v>332</v>
      </c>
      <c r="AU2" s="166" t="s">
        <v>333</v>
      </c>
      <c r="AV2" s="166" t="s">
        <v>334</v>
      </c>
      <c r="AW2" s="166" t="s">
        <v>335</v>
      </c>
      <c r="AX2" s="166" t="s">
        <v>332</v>
      </c>
      <c r="AY2" s="166" t="s">
        <v>333</v>
      </c>
      <c r="AZ2" s="166" t="s">
        <v>334</v>
      </c>
      <c r="BA2" s="166" t="s">
        <v>335</v>
      </c>
      <c r="BB2" s="167"/>
      <c r="BC2" s="167"/>
      <c r="BD2" s="167"/>
      <c r="BE2" s="167"/>
      <c r="BF2" s="167"/>
      <c r="BG2" s="168"/>
    </row>
    <row r="3" spans="1:59" ht="32">
      <c r="A3" s="169" t="s">
        <v>24</v>
      </c>
      <c r="B3" s="13"/>
      <c r="C3" s="13" t="s">
        <v>25</v>
      </c>
      <c r="D3" s="170">
        <v>18760.240000000002</v>
      </c>
      <c r="E3" s="175">
        <v>23251</v>
      </c>
      <c r="F3" s="171">
        <f>'Apr2025-COLLECTION'!K2</f>
        <v>4944</v>
      </c>
      <c r="G3" s="172">
        <f>'Apr2025-EXPENSE'!R6</f>
        <v>5554.8317805190336</v>
      </c>
      <c r="H3" s="172"/>
      <c r="I3" s="172">
        <f t="shared" ref="I3:I66" si="0">F3-(G3+H3)</f>
        <v>-610.8317805190336</v>
      </c>
      <c r="J3" s="173">
        <f>'May2025-COLLECTION'!K2</f>
        <v>5513</v>
      </c>
      <c r="K3" s="174">
        <f>'May2025-EXPENSE'!R6</f>
        <v>4390.7598342494257</v>
      </c>
      <c r="L3" s="174"/>
      <c r="M3" s="174">
        <f t="shared" ref="M3:M66" si="1">J3-(K3+L3)</f>
        <v>1122.2401657505743</v>
      </c>
      <c r="N3" s="172">
        <f>'June2025-COLLECTION'!K2</f>
        <v>4374</v>
      </c>
      <c r="O3" s="172">
        <f>'June2025-EXPENSE'!R6</f>
        <v>4546.3443403691026</v>
      </c>
      <c r="P3" s="172"/>
      <c r="Q3" s="172">
        <f t="shared" ref="Q3:Q66" si="2">N3-(O3+P3)</f>
        <v>-172.34434036910261</v>
      </c>
      <c r="R3" s="41">
        <f>'July2025-COLLECTION'!K2</f>
        <v>0</v>
      </c>
      <c r="S3" s="174">
        <f>'July2025-EXPENSE'!R6</f>
        <v>5496.7149229277738</v>
      </c>
      <c r="T3" s="174"/>
      <c r="U3" s="174">
        <f t="shared" ref="U3:U66" si="3">R3-(S3+T3)</f>
        <v>-5496.7149229277738</v>
      </c>
      <c r="V3" s="167">
        <f>'Aug2025-COLLECTION'!K2</f>
        <v>5497</v>
      </c>
      <c r="W3" s="172">
        <f>'Aug2025-EXPENSE'!R6</f>
        <v>5912.5585020588342</v>
      </c>
      <c r="X3" s="172"/>
      <c r="Y3" s="172">
        <f t="shared" ref="Y3:Y66" si="4">V3-(W3+X3)</f>
        <v>-415.55850205883416</v>
      </c>
      <c r="Z3" s="41">
        <f>'Sep2025-COLLECTION'!K2</f>
        <v>5497</v>
      </c>
      <c r="AA3" s="174">
        <f>'Sep2025-EXPENSE'!R6</f>
        <v>4939.9383686384699</v>
      </c>
      <c r="AB3" s="174"/>
      <c r="AC3" s="174">
        <f t="shared" ref="AC3:AC66" si="5">Z3-(AA3+AB3)</f>
        <v>557.06163136153009</v>
      </c>
      <c r="AD3" s="41">
        <f>'Oct2025-COLLECTION'!K2</f>
        <v>0</v>
      </c>
      <c r="AE3" s="174">
        <f>'Oct2025-EXPENSE'!R6</f>
        <v>6395.8022097327339</v>
      </c>
      <c r="AF3" s="174"/>
      <c r="AG3" s="174">
        <f t="shared" ref="AG3:AG66" si="6">AD3-(AE3+AF3)</f>
        <v>-6395.8022097327339</v>
      </c>
      <c r="AH3" s="41">
        <f>'Nov2025-COLLECTION'!K2</f>
        <v>0</v>
      </c>
      <c r="AI3" s="174">
        <f>'Nov2025-EXPENSE'!R6</f>
        <v>6623.2939565329443</v>
      </c>
      <c r="AJ3" s="174"/>
      <c r="AK3" s="174">
        <f t="shared" ref="AK3:AK66" si="7">AH3-(AI3+AJ3)</f>
        <v>-6623.2939565329443</v>
      </c>
      <c r="AL3" s="41">
        <f>'Dec2025-COLLECTION'!K2</f>
        <v>13099</v>
      </c>
      <c r="AM3" s="174">
        <f>'Dec2025-EXPENSE'!R6</f>
        <v>5110.5418091419069</v>
      </c>
      <c r="AN3" s="174"/>
      <c r="AO3" s="174">
        <f t="shared" ref="AO3:AO66" si="8">AL3-(AM3+AN3)</f>
        <v>7988.4581908580931</v>
      </c>
      <c r="AP3" s="7">
        <f>'Jan2026-COLLECTION'!K2</f>
        <v>5555</v>
      </c>
      <c r="AQ3" s="10">
        <f>'Jan2026-EXPENSE'!R6</f>
        <v>5091.3398017781528</v>
      </c>
      <c r="AR3" s="10"/>
      <c r="AS3" s="174">
        <f t="shared" ref="AS3:AS66" si="9">AP3-(AQ3+AR3)</f>
        <v>463.66019822184717</v>
      </c>
      <c r="AT3" s="7">
        <f>'Feb2026-COLLECTION'!K2</f>
        <v>5108</v>
      </c>
      <c r="AU3" s="10">
        <f>'Feb2026-EXPENSE'!R6</f>
        <v>4755.0297466168404</v>
      </c>
      <c r="AV3" s="10"/>
      <c r="AW3" s="174">
        <f t="shared" ref="AW3:AW66" si="10">AT3-(AU3+AV3)</f>
        <v>352.97025338315962</v>
      </c>
      <c r="AX3" s="7">
        <f>'Mar2026-COLLECTION'!K2</f>
        <v>4755</v>
      </c>
      <c r="AY3" s="10">
        <f>'Mar2026-EXPENSE'!R6</f>
        <v>4967.5509648418965</v>
      </c>
      <c r="AZ3" s="10"/>
      <c r="BA3" s="174">
        <f t="shared" ref="BA3:BA66" si="11">AX3-(AY3+AZ3)</f>
        <v>-212.55096484189653</v>
      </c>
      <c r="BB3" s="172">
        <f t="shared" ref="BB3:BD3" si="12">SUM(F3,J3,N3,R3,V3,Z3,AD3,AH3,AL3,AP3,AT3,AX3)</f>
        <v>54342</v>
      </c>
      <c r="BC3" s="172">
        <f t="shared" si="12"/>
        <v>63784.70623740711</v>
      </c>
      <c r="BD3" s="172">
        <f t="shared" si="12"/>
        <v>0</v>
      </c>
      <c r="BE3" s="172">
        <f t="shared" ref="BE3:BE66" si="13">BB3-(BC3+BD3)</f>
        <v>-9442.7062374071102</v>
      </c>
      <c r="BF3" s="172">
        <f t="shared" ref="BF3:BF67" si="14">E3+BE3</f>
        <v>13808.29376259289</v>
      </c>
      <c r="BG3" s="175">
        <v>18307</v>
      </c>
    </row>
    <row r="4" spans="1:59" ht="16">
      <c r="A4" s="169" t="s">
        <v>26</v>
      </c>
      <c r="B4" s="13" t="s">
        <v>336</v>
      </c>
      <c r="C4" s="13" t="s">
        <v>337</v>
      </c>
      <c r="D4" s="170">
        <v>-14948.14</v>
      </c>
      <c r="E4" s="175">
        <v>-25005.64423405788</v>
      </c>
      <c r="F4" s="171">
        <f>'Apr2025-COLLECTION'!K3</f>
        <v>0</v>
      </c>
      <c r="G4" s="172">
        <f>'Apr2025-EXPENSE'!R7</f>
        <v>6880.662487778387</v>
      </c>
      <c r="H4" s="172"/>
      <c r="I4" s="172">
        <f t="shared" si="0"/>
        <v>-6880.662487778387</v>
      </c>
      <c r="J4" s="173">
        <f>'May2025-COLLECTION'!K3</f>
        <v>9182</v>
      </c>
      <c r="K4" s="174">
        <f>'May2025-EXPENSE'!R7</f>
        <v>5570.8484697871882</v>
      </c>
      <c r="L4" s="174">
        <v>500</v>
      </c>
      <c r="M4" s="174">
        <f t="shared" si="1"/>
        <v>3111.1515302128118</v>
      </c>
      <c r="N4" s="172">
        <f>'June2025-COLLECTION'!K3</f>
        <v>41625</v>
      </c>
      <c r="O4" s="172">
        <f>'June2025-EXPENSE'!R7</f>
        <v>5614.1063573144438</v>
      </c>
      <c r="P4" s="172"/>
      <c r="Q4" s="172">
        <f t="shared" si="2"/>
        <v>36010.893642685558</v>
      </c>
      <c r="R4" s="41">
        <f>'July2025-COLLECTION'!K3</f>
        <v>0</v>
      </c>
      <c r="S4" s="174">
        <f>'July2025-EXPENSE'!R7</f>
        <v>6759.7325735036775</v>
      </c>
      <c r="T4" s="174">
        <v>500</v>
      </c>
      <c r="U4" s="174">
        <f t="shared" si="3"/>
        <v>-7259.7325735036775</v>
      </c>
      <c r="V4" s="167">
        <f>'Aug2025-COLLECTION'!K3</f>
        <v>0</v>
      </c>
      <c r="W4" s="172">
        <f>'Aug2025-EXPENSE'!R7</f>
        <v>7197.266234898143</v>
      </c>
      <c r="X4" s="172"/>
      <c r="Y4" s="172">
        <f t="shared" si="4"/>
        <v>-7197.266234898143</v>
      </c>
      <c r="Z4" s="41">
        <f>'Sep2025-COLLECTION'!K3</f>
        <v>26147</v>
      </c>
      <c r="AA4" s="174">
        <f>'Sep2025-EXPENSE'!R7</f>
        <v>5914.7005440788471</v>
      </c>
      <c r="AB4" s="174"/>
      <c r="AC4" s="174">
        <f t="shared" si="5"/>
        <v>20232.299455921151</v>
      </c>
      <c r="AD4" s="41">
        <f>'Oct2025-COLLECTION'!K3</f>
        <v>0</v>
      </c>
      <c r="AE4" s="174">
        <f>'Oct2025-EXPENSE'!R7</f>
        <v>7049.7450594742113</v>
      </c>
      <c r="AF4" s="174"/>
      <c r="AG4" s="174">
        <f t="shared" si="6"/>
        <v>-7049.7450594742113</v>
      </c>
      <c r="AH4" s="41">
        <f>'Nov2025-COLLECTION'!K3</f>
        <v>0</v>
      </c>
      <c r="AI4" s="174">
        <f>'Nov2025-EXPENSE'!R7</f>
        <v>7177.8978606280371</v>
      </c>
      <c r="AJ4" s="174"/>
      <c r="AK4" s="174">
        <f t="shared" si="7"/>
        <v>-7177.8978606280371</v>
      </c>
      <c r="AL4" s="41">
        <f>'Dec2025-COLLECTION'!K3</f>
        <v>0</v>
      </c>
      <c r="AM4" s="174">
        <f>'Dec2025-EXPENSE'!R7</f>
        <v>5885.353860360573</v>
      </c>
      <c r="AN4" s="174"/>
      <c r="AO4" s="174">
        <f t="shared" si="8"/>
        <v>-5885.353860360573</v>
      </c>
      <c r="AP4" s="7">
        <f>'Jan2026-COLLECTION'!K3</f>
        <v>26087</v>
      </c>
      <c r="AQ4" s="10">
        <f>'Jan2026-EXPENSE'!R7</f>
        <v>5677.1014727727388</v>
      </c>
      <c r="AR4" s="10"/>
      <c r="AS4" s="174">
        <f t="shared" si="9"/>
        <v>20409.898527227262</v>
      </c>
      <c r="AT4" s="7">
        <f>'Feb2026-COLLECTION'!K3</f>
        <v>0</v>
      </c>
      <c r="AU4" s="10">
        <f>'Feb2026-EXPENSE'!R7</f>
        <v>5234.6504794412285</v>
      </c>
      <c r="AV4" s="10"/>
      <c r="AW4" s="174">
        <f t="shared" si="10"/>
        <v>-5234.6504794412285</v>
      </c>
      <c r="AX4" s="7">
        <f>'Mar2026-COLLECTION'!K3</f>
        <v>0</v>
      </c>
      <c r="AY4" s="10">
        <f>'Mar2026-EXPENSE'!R7</f>
        <v>5467.4166296917683</v>
      </c>
      <c r="AZ4" s="10"/>
      <c r="BA4" s="174">
        <f t="shared" si="11"/>
        <v>-5467.4166296917683</v>
      </c>
      <c r="BB4" s="172">
        <f t="shared" ref="BB4:BD4" si="15">SUM(F4,J4,N4,R4,V4,Z4,AD4,AH4,AL4,AP4,AT4,AX4)</f>
        <v>103041</v>
      </c>
      <c r="BC4" s="172">
        <f t="shared" si="15"/>
        <v>74429.482029729232</v>
      </c>
      <c r="BD4" s="172">
        <f t="shared" si="15"/>
        <v>1000</v>
      </c>
      <c r="BE4" s="172">
        <f t="shared" si="13"/>
        <v>27611.517970270768</v>
      </c>
      <c r="BF4" s="172">
        <f t="shared" si="14"/>
        <v>2605.8737362128886</v>
      </c>
      <c r="BG4" s="175">
        <v>-43932</v>
      </c>
    </row>
    <row r="5" spans="1:59" ht="16">
      <c r="A5" s="169" t="s">
        <v>29</v>
      </c>
      <c r="B5" s="13"/>
      <c r="C5" s="13" t="s">
        <v>30</v>
      </c>
      <c r="D5" s="170">
        <v>21737.21</v>
      </c>
      <c r="E5" s="175">
        <v>14622.719999999998</v>
      </c>
      <c r="F5" s="171">
        <f>'Apr2025-COLLECTION'!K4</f>
        <v>12317</v>
      </c>
      <c r="G5" s="172">
        <f>'Apr2025-EXPENSE'!R8</f>
        <v>7497.9990789697631</v>
      </c>
      <c r="H5" s="172"/>
      <c r="I5" s="172">
        <f t="shared" si="0"/>
        <v>4819.0009210302369</v>
      </c>
      <c r="J5" s="173">
        <f>'May2025-COLLECTION'!K4</f>
        <v>6000</v>
      </c>
      <c r="K5" s="174">
        <f>'May2025-EXPENSE'!R8</f>
        <v>5970.6440644010081</v>
      </c>
      <c r="L5" s="174"/>
      <c r="M5" s="174">
        <f t="shared" si="1"/>
        <v>29.355935598991891</v>
      </c>
      <c r="N5" s="172">
        <f>'June2025-COLLECTION'!K4</f>
        <v>6000</v>
      </c>
      <c r="O5" s="172">
        <f>'June2025-EXPENSE'!R8</f>
        <v>6093.3847186040921</v>
      </c>
      <c r="P5" s="172"/>
      <c r="Q5" s="172">
        <f t="shared" si="2"/>
        <v>-93.384718604092086</v>
      </c>
      <c r="R5" s="41">
        <f>'July2025-COLLECTION'!K4</f>
        <v>6000</v>
      </c>
      <c r="S5" s="174">
        <f>'July2025-EXPENSE'!R8</f>
        <v>7529.5715685937757</v>
      </c>
      <c r="T5" s="174"/>
      <c r="U5" s="174">
        <f t="shared" si="3"/>
        <v>-1529.5715685937757</v>
      </c>
      <c r="V5" s="167">
        <f>'Aug2025-COLLECTION'!K4</f>
        <v>6000</v>
      </c>
      <c r="W5" s="172">
        <f>'Aug2025-EXPENSE'!R8</f>
        <v>7722.728017861873</v>
      </c>
      <c r="X5" s="172"/>
      <c r="Y5" s="172">
        <f t="shared" si="4"/>
        <v>-1722.728017861873</v>
      </c>
      <c r="Z5" s="41">
        <f>'Sep2025-COLLECTION'!K4</f>
        <v>6000</v>
      </c>
      <c r="AA5" s="174">
        <f>'Sep2025-EXPENSE'!R8</f>
        <v>6599.6905049006118</v>
      </c>
      <c r="AB5" s="174"/>
      <c r="AC5" s="174">
        <f t="shared" si="5"/>
        <v>-599.69050490061181</v>
      </c>
      <c r="AD5" s="41">
        <f>'Oct2025-COLLECTION'!K4</f>
        <v>6000</v>
      </c>
      <c r="AE5" s="174">
        <f>'Oct2025-EXPENSE'!R8</f>
        <v>8217.5034137305029</v>
      </c>
      <c r="AF5" s="174"/>
      <c r="AG5" s="174">
        <f t="shared" si="6"/>
        <v>-2217.5034137305029</v>
      </c>
      <c r="AH5" s="41">
        <f>'Nov2025-COLLECTION'!K4</f>
        <v>6000</v>
      </c>
      <c r="AI5" s="174">
        <f>'Nov2025-EXPENSE'!R8</f>
        <v>8585.2408957029729</v>
      </c>
      <c r="AJ5" s="174"/>
      <c r="AK5" s="174">
        <f t="shared" si="7"/>
        <v>-2585.2408957029729</v>
      </c>
      <c r="AL5" s="41">
        <f>'Dec2025-COLLECTION'!K4</f>
        <v>6000</v>
      </c>
      <c r="AM5" s="174">
        <f>'Dec2025-EXPENSE'!R8</f>
        <v>6916.4336347933668</v>
      </c>
      <c r="AN5" s="174"/>
      <c r="AO5" s="174">
        <f t="shared" si="8"/>
        <v>-916.43363479336676</v>
      </c>
      <c r="AP5" s="7">
        <f>'Jan2026-COLLECTION'!K4</f>
        <v>6000</v>
      </c>
      <c r="AQ5" s="10">
        <f>'Jan2026-EXPENSE'!R8</f>
        <v>6594.2688945702976</v>
      </c>
      <c r="AR5" s="10"/>
      <c r="AS5" s="174">
        <f t="shared" si="9"/>
        <v>-594.26889457029756</v>
      </c>
      <c r="AT5" s="7">
        <f>'Feb2026-COLLECTION'!K4</f>
        <v>6000</v>
      </c>
      <c r="AU5" s="10">
        <f>'Feb2026-EXPENSE'!R8</f>
        <v>6667.5707103832701</v>
      </c>
      <c r="AV5" s="10"/>
      <c r="AW5" s="174">
        <f t="shared" si="10"/>
        <v>-667.57071038327013</v>
      </c>
      <c r="AX5" s="7">
        <f>'Mar2026-COLLECTION'!K4</f>
        <v>6000</v>
      </c>
      <c r="AY5" s="10">
        <f>'Mar2026-EXPENSE'!R8</f>
        <v>6559.2233185039722</v>
      </c>
      <c r="AZ5" s="10"/>
      <c r="BA5" s="174">
        <f t="shared" si="11"/>
        <v>-559.22331850397222</v>
      </c>
      <c r="BB5" s="172">
        <f t="shared" ref="BB5:BD5" si="16">SUM(F5,J5,N5,R5,V5,Z5,AD5,AH5,AL5,AP5,AT5,AX5)</f>
        <v>78317</v>
      </c>
      <c r="BC5" s="172">
        <f t="shared" si="16"/>
        <v>84954.258821015508</v>
      </c>
      <c r="BD5" s="172">
        <f t="shared" si="16"/>
        <v>0</v>
      </c>
      <c r="BE5" s="172">
        <f t="shared" si="13"/>
        <v>-6637.2588210155081</v>
      </c>
      <c r="BF5" s="172">
        <f t="shared" si="14"/>
        <v>7985.4611789844894</v>
      </c>
      <c r="BG5" s="175">
        <v>2305.7199999999975</v>
      </c>
    </row>
    <row r="6" spans="1:59" ht="16">
      <c r="A6" s="169" t="s">
        <v>32</v>
      </c>
      <c r="B6" s="13"/>
      <c r="C6" s="13" t="s">
        <v>33</v>
      </c>
      <c r="D6" s="170">
        <v>59073.67</v>
      </c>
      <c r="E6" s="175">
        <v>15818.2</v>
      </c>
      <c r="F6" s="171">
        <f>'Apr2025-COLLECTION'!K5</f>
        <v>5000</v>
      </c>
      <c r="G6" s="172">
        <f>'Apr2025-EXPENSE'!R9</f>
        <v>5749.6027619606166</v>
      </c>
      <c r="H6" s="172"/>
      <c r="I6" s="172">
        <f t="shared" si="0"/>
        <v>-749.60276196061659</v>
      </c>
      <c r="J6" s="173">
        <f>'May2025-COLLECTION'!K5</f>
        <v>5710</v>
      </c>
      <c r="K6" s="174">
        <f>'May2025-EXPENSE'!R9</f>
        <v>4456.7649575650421</v>
      </c>
      <c r="L6" s="174"/>
      <c r="M6" s="174">
        <f t="shared" si="1"/>
        <v>1253.2350424349579</v>
      </c>
      <c r="N6" s="172">
        <f>'June2025-COLLECTION'!K5</f>
        <v>4434</v>
      </c>
      <c r="O6" s="172">
        <f>'June2025-EXPENSE'!R9</f>
        <v>4663.6125495075776</v>
      </c>
      <c r="P6" s="172"/>
      <c r="Q6" s="172">
        <f t="shared" si="2"/>
        <v>-229.61254950757757</v>
      </c>
      <c r="R6" s="41">
        <f>'July2025-COLLECTION'!K5</f>
        <v>0</v>
      </c>
      <c r="S6" s="174">
        <f>'July2025-EXPENSE'!R9</f>
        <v>5553.5667606509269</v>
      </c>
      <c r="T6" s="174"/>
      <c r="U6" s="174">
        <f t="shared" si="3"/>
        <v>-5553.5667606509269</v>
      </c>
      <c r="V6" s="167">
        <f>'Aug2025-COLLECTION'!K5</f>
        <v>5554</v>
      </c>
      <c r="W6" s="172">
        <f>'Aug2025-EXPENSE'!R9</f>
        <v>6049.9822334915916</v>
      </c>
      <c r="X6" s="172"/>
      <c r="Y6" s="172">
        <f t="shared" si="4"/>
        <v>-495.98223349159161</v>
      </c>
      <c r="Z6" s="41">
        <f>'Sep2025-COLLECTION'!K5</f>
        <v>5554</v>
      </c>
      <c r="AA6" s="174">
        <f>'Sep2025-EXPENSE'!R9</f>
        <v>5147.5820817756676</v>
      </c>
      <c r="AB6" s="174"/>
      <c r="AC6" s="174">
        <f t="shared" si="5"/>
        <v>406.41791822433242</v>
      </c>
      <c r="AD6" s="41">
        <f>'Oct2025-COLLECTION'!K5</f>
        <v>5148</v>
      </c>
      <c r="AE6" s="174">
        <f>'Oct2025-EXPENSE'!R9</f>
        <v>6692.7138830018375</v>
      </c>
      <c r="AF6" s="174"/>
      <c r="AG6" s="174">
        <f t="shared" si="6"/>
        <v>-1544.7138830018375</v>
      </c>
      <c r="AH6" s="41">
        <f>'Nov2025-COLLECTION'!K5</f>
        <v>6231</v>
      </c>
      <c r="AI6" s="174">
        <f>'Nov2025-EXPENSE'!R9</f>
        <v>6982.2831094713838</v>
      </c>
      <c r="AJ6" s="174"/>
      <c r="AK6" s="174">
        <f t="shared" si="7"/>
        <v>-751.2831094713838</v>
      </c>
      <c r="AL6" s="41">
        <f>'Dec2025-COLLECTION'!K5</f>
        <v>7064</v>
      </c>
      <c r="AM6" s="174">
        <f>'Dec2025-EXPENSE'!R9</f>
        <v>5286.8803137914201</v>
      </c>
      <c r="AN6" s="174"/>
      <c r="AO6" s="174">
        <f t="shared" si="8"/>
        <v>1777.1196862085799</v>
      </c>
      <c r="AP6" s="7">
        <f>'Jan2026-COLLECTION'!K5</f>
        <v>5264</v>
      </c>
      <c r="AQ6" s="10">
        <f>'Jan2026-EXPENSE'!R9</f>
        <v>5176.1559372483944</v>
      </c>
      <c r="AR6" s="10"/>
      <c r="AS6" s="174">
        <f t="shared" si="9"/>
        <v>87.844062751605634</v>
      </c>
      <c r="AT6" s="7">
        <f>'Feb2026-COLLECTION'!K5</f>
        <v>5176</v>
      </c>
      <c r="AU6" s="10">
        <f>'Feb2026-EXPENSE'!R9</f>
        <v>4924.6682933636912</v>
      </c>
      <c r="AV6" s="10"/>
      <c r="AW6" s="174">
        <f t="shared" si="10"/>
        <v>251.33170663630881</v>
      </c>
      <c r="AX6" s="7">
        <f>'Mar2026-COLLECTION'!K5</f>
        <v>4925</v>
      </c>
      <c r="AY6" s="10">
        <f>'Mar2026-EXPENSE'!R9</f>
        <v>5011.4090000781798</v>
      </c>
      <c r="AZ6" s="10"/>
      <c r="BA6" s="174">
        <f t="shared" si="11"/>
        <v>-86.409000078179815</v>
      </c>
      <c r="BB6" s="172">
        <f t="shared" ref="BB6:BD6" si="17">SUM(F6,J6,N6,R6,V6,Z6,AD6,AH6,AL6,AP6,AT6,AX6)</f>
        <v>60060</v>
      </c>
      <c r="BC6" s="172">
        <f t="shared" si="17"/>
        <v>65695.221881906327</v>
      </c>
      <c r="BD6" s="172">
        <f t="shared" si="17"/>
        <v>0</v>
      </c>
      <c r="BE6" s="172">
        <f t="shared" si="13"/>
        <v>-5635.2218819063273</v>
      </c>
      <c r="BF6" s="172">
        <f t="shared" si="14"/>
        <v>10182.978118093673</v>
      </c>
      <c r="BG6" s="175">
        <v>10818.2</v>
      </c>
    </row>
    <row r="7" spans="1:59" ht="32">
      <c r="A7" s="169" t="s">
        <v>35</v>
      </c>
      <c r="B7" s="13"/>
      <c r="C7" s="13" t="s">
        <v>36</v>
      </c>
      <c r="D7" s="170">
        <v>3061.33</v>
      </c>
      <c r="E7" s="175">
        <v>14.569999999999709</v>
      </c>
      <c r="F7" s="171">
        <f>'Apr2025-COLLECTION'!K6</f>
        <v>9457</v>
      </c>
      <c r="G7" s="172">
        <f>'Apr2025-EXPENSE'!R10</f>
        <v>5400.9237079500517</v>
      </c>
      <c r="H7" s="172"/>
      <c r="I7" s="172">
        <f t="shared" si="0"/>
        <v>4056.0762920499483</v>
      </c>
      <c r="J7" s="173">
        <f>'May2025-COLLECTION'!K6</f>
        <v>5354</v>
      </c>
      <c r="K7" s="174">
        <f>'May2025-EXPENSE'!R10</f>
        <v>4039.0488598142633</v>
      </c>
      <c r="L7" s="174"/>
      <c r="M7" s="174">
        <f t="shared" si="1"/>
        <v>1314.9511401857367</v>
      </c>
      <c r="N7" s="172">
        <f>'June2025-COLLECTION'!K6</f>
        <v>8022</v>
      </c>
      <c r="O7" s="172">
        <f>'June2025-EXPENSE'!R10</f>
        <v>4272.8636485156248</v>
      </c>
      <c r="P7" s="172"/>
      <c r="Q7" s="172">
        <f t="shared" si="2"/>
        <v>3749.1363514843752</v>
      </c>
      <c r="R7" s="41">
        <f>'July2025-COLLECTION'!K6</f>
        <v>323</v>
      </c>
      <c r="S7" s="174">
        <f>'July2025-EXPENSE'!R10</f>
        <v>5172.3924418298766</v>
      </c>
      <c r="T7" s="174"/>
      <c r="U7" s="174">
        <f t="shared" si="3"/>
        <v>-4849.3924418298766</v>
      </c>
      <c r="V7" s="167">
        <f>'Aug2025-COLLECTION'!K6</f>
        <v>5172</v>
      </c>
      <c r="W7" s="172">
        <f>'Aug2025-EXPENSE'!R10</f>
        <v>7049.5761781706869</v>
      </c>
      <c r="X7" s="172"/>
      <c r="Y7" s="172">
        <f t="shared" si="4"/>
        <v>-1877.5761781706869</v>
      </c>
      <c r="Z7" s="41">
        <f>'Sep2025-COLLECTION'!K6</f>
        <v>7050</v>
      </c>
      <c r="AA7" s="174">
        <f>'Sep2025-EXPENSE'!R10</f>
        <v>5209.9861313824858</v>
      </c>
      <c r="AB7" s="174"/>
      <c r="AC7" s="174">
        <f t="shared" si="5"/>
        <v>1840.0138686175142</v>
      </c>
      <c r="AD7" s="41">
        <f>'Oct2025-COLLECTION'!K6</f>
        <v>5209.99</v>
      </c>
      <c r="AE7" s="174">
        <f>'Oct2025-EXPENSE'!R10</f>
        <v>6530.4327158608585</v>
      </c>
      <c r="AF7" s="174"/>
      <c r="AG7" s="174">
        <f t="shared" si="6"/>
        <v>-1320.4427158608587</v>
      </c>
      <c r="AH7" s="41">
        <f>'Nov2025-COLLECTION'!K6</f>
        <v>6114</v>
      </c>
      <c r="AI7" s="174">
        <f>'Nov2025-EXPENSE'!R10</f>
        <v>6987.9895767586668</v>
      </c>
      <c r="AJ7" s="174"/>
      <c r="AK7" s="174">
        <f t="shared" si="7"/>
        <v>-873.98957675866677</v>
      </c>
      <c r="AL7" s="41">
        <f>'Dec2025-COLLECTION'!K6</f>
        <v>7069</v>
      </c>
      <c r="AM7" s="174">
        <f>'Dec2025-EXPENSE'!R10</f>
        <v>5357.4769935261529</v>
      </c>
      <c r="AN7" s="174"/>
      <c r="AO7" s="174">
        <f t="shared" si="8"/>
        <v>1711.5230064738471</v>
      </c>
      <c r="AP7" s="7">
        <f>'Jan2026-COLLECTION'!K6</f>
        <v>5340.41</v>
      </c>
      <c r="AQ7" s="10">
        <f>'Jan2026-EXPENSE'!R10</f>
        <v>5143.8208706995001</v>
      </c>
      <c r="AR7" s="10"/>
      <c r="AS7" s="174">
        <f t="shared" si="9"/>
        <v>196.58912930049974</v>
      </c>
      <c r="AT7" s="7">
        <f>'Feb2026-COLLECTION'!K6</f>
        <v>5161</v>
      </c>
      <c r="AU7" s="10">
        <f>'Feb2026-EXPENSE'!R10</f>
        <v>4698.8491844943001</v>
      </c>
      <c r="AV7" s="10"/>
      <c r="AW7" s="174">
        <f t="shared" si="10"/>
        <v>462.15081550569994</v>
      </c>
      <c r="AX7" s="7">
        <f>'Mar2026-COLLECTION'!K6</f>
        <v>4699</v>
      </c>
      <c r="AY7" s="10">
        <f>'Mar2026-EXPENSE'!R10</f>
        <v>5020.4938487068302</v>
      </c>
      <c r="AZ7" s="10"/>
      <c r="BA7" s="174">
        <f t="shared" si="11"/>
        <v>-321.49384870683025</v>
      </c>
      <c r="BB7" s="172">
        <f t="shared" ref="BB7:BD7" si="18">SUM(F7,J7,N7,R7,V7,Z7,AD7,AH7,AL7,AP7,AT7,AX7)</f>
        <v>68971.399999999994</v>
      </c>
      <c r="BC7" s="172">
        <f t="shared" si="18"/>
        <v>64883.854157709284</v>
      </c>
      <c r="BD7" s="172">
        <f t="shared" si="18"/>
        <v>0</v>
      </c>
      <c r="BE7" s="172">
        <f t="shared" si="13"/>
        <v>4087.5458422907104</v>
      </c>
      <c r="BF7" s="172">
        <f t="shared" si="14"/>
        <v>4102.1158422907101</v>
      </c>
      <c r="BG7" s="175">
        <v>-9442.43</v>
      </c>
    </row>
    <row r="8" spans="1:59" ht="48">
      <c r="A8" s="169" t="s">
        <v>37</v>
      </c>
      <c r="B8" s="13"/>
      <c r="C8" s="13" t="s">
        <v>38</v>
      </c>
      <c r="D8" s="170">
        <v>-6419.98</v>
      </c>
      <c r="E8" s="175">
        <v>3388.9600000000009</v>
      </c>
      <c r="F8" s="171">
        <f>'Apr2025-COLLECTION'!K7</f>
        <v>9026</v>
      </c>
      <c r="G8" s="172">
        <f>'Apr2025-EXPENSE'!R11</f>
        <v>5895.4151189144977</v>
      </c>
      <c r="H8" s="172"/>
      <c r="I8" s="172">
        <f t="shared" si="0"/>
        <v>3130.5848810855023</v>
      </c>
      <c r="J8" s="173">
        <f>'May2025-COLLECTION'!K7</f>
        <v>5864</v>
      </c>
      <c r="K8" s="174">
        <f>'May2025-EXPENSE'!R11</f>
        <v>4348.4787028747414</v>
      </c>
      <c r="L8" s="174"/>
      <c r="M8" s="174">
        <f t="shared" si="1"/>
        <v>1515.5212971252586</v>
      </c>
      <c r="N8" s="172">
        <f>'June2025-COLLECTION'!K7</f>
        <v>4331</v>
      </c>
      <c r="O8" s="172">
        <f>'June2025-EXPENSE'!R11</f>
        <v>4628.2798579528408</v>
      </c>
      <c r="P8" s="172"/>
      <c r="Q8" s="172">
        <f t="shared" si="2"/>
        <v>-297.27985795284076</v>
      </c>
      <c r="R8" s="41">
        <f>'July2025-COLLECTION'!K7</f>
        <v>1288</v>
      </c>
      <c r="S8" s="174">
        <f>'July2025-EXPENSE'!R11</f>
        <v>5465.1979739096405</v>
      </c>
      <c r="T8" s="174"/>
      <c r="U8" s="174">
        <f t="shared" si="3"/>
        <v>-4177.1979739096405</v>
      </c>
      <c r="V8" s="167">
        <f>'Aug2025-COLLECTION'!K7</f>
        <v>5465</v>
      </c>
      <c r="W8" s="172">
        <f>'Aug2025-EXPENSE'!R11</f>
        <v>6089.5563439689849</v>
      </c>
      <c r="X8" s="172"/>
      <c r="Y8" s="172">
        <f t="shared" si="4"/>
        <v>-624.55634396898495</v>
      </c>
      <c r="Z8" s="41">
        <f>'Sep2025-COLLECTION'!K7</f>
        <v>0</v>
      </c>
      <c r="AA8" s="174">
        <f>'Sep2025-EXPENSE'!R11</f>
        <v>5134.8502861019433</v>
      </c>
      <c r="AB8" s="174"/>
      <c r="AC8" s="174">
        <f t="shared" si="5"/>
        <v>-5134.8502861019433</v>
      </c>
      <c r="AD8" s="41">
        <f>'Oct2025-COLLECTION'!K7</f>
        <v>5135</v>
      </c>
      <c r="AE8" s="174">
        <f>'Oct2025-EXPENSE'!R11</f>
        <v>6606.8862668941538</v>
      </c>
      <c r="AF8" s="174"/>
      <c r="AG8" s="174">
        <f t="shared" si="6"/>
        <v>-1471.8862668941538</v>
      </c>
      <c r="AH8" s="41">
        <f>'Nov2025-COLLECTION'!K7</f>
        <v>0</v>
      </c>
      <c r="AI8" s="174">
        <f>'Nov2025-EXPENSE'!R11</f>
        <v>6993.2188819876064</v>
      </c>
      <c r="AJ8" s="174"/>
      <c r="AK8" s="174">
        <f t="shared" si="7"/>
        <v>-6993.2188819876064</v>
      </c>
      <c r="AL8" s="41">
        <f>'Dec2025-COLLECTION'!K7</f>
        <v>6114</v>
      </c>
      <c r="AM8" s="174">
        <f>'Dec2025-EXPENSE'!R11</f>
        <v>5157.9386503004571</v>
      </c>
      <c r="AN8" s="174"/>
      <c r="AO8" s="174">
        <f t="shared" si="8"/>
        <v>956.06134969954292</v>
      </c>
      <c r="AP8" s="7">
        <f>'Jan2026-COLLECTION'!K7</f>
        <v>12215.81</v>
      </c>
      <c r="AQ8" s="10">
        <f>'Jan2026-EXPENSE'!R11</f>
        <v>5083.582698946072</v>
      </c>
      <c r="AR8" s="10"/>
      <c r="AS8" s="174">
        <f t="shared" si="9"/>
        <v>7132.2273010539275</v>
      </c>
      <c r="AT8" s="7">
        <f>'Feb2026-COLLECTION'!K7</f>
        <v>5101</v>
      </c>
      <c r="AU8" s="10">
        <f>'Feb2026-EXPENSE'!R11</f>
        <v>4867.3414161417422</v>
      </c>
      <c r="AV8" s="10"/>
      <c r="AW8" s="174">
        <f t="shared" si="10"/>
        <v>233.65858385825777</v>
      </c>
      <c r="AX8" s="7">
        <f>'Mar2026-COLLECTION'!K7</f>
        <v>0</v>
      </c>
      <c r="AY8" s="10">
        <f>'Mar2026-EXPENSE'!R11</f>
        <v>4863.0805457199467</v>
      </c>
      <c r="AZ8" s="10"/>
      <c r="BA8" s="174">
        <f t="shared" si="11"/>
        <v>-4863.0805457199467</v>
      </c>
      <c r="BB8" s="172">
        <f t="shared" ref="BB8:BD8" si="19">SUM(F8,J8,N8,R8,V8,Z8,AD8,AH8,AL8,AP8,AT8,AX8)</f>
        <v>54539.81</v>
      </c>
      <c r="BC8" s="172">
        <f t="shared" si="19"/>
        <v>65133.82674371262</v>
      </c>
      <c r="BD8" s="172">
        <f t="shared" si="19"/>
        <v>0</v>
      </c>
      <c r="BE8" s="172">
        <f t="shared" si="13"/>
        <v>-10594.016743712622</v>
      </c>
      <c r="BF8" s="172">
        <f t="shared" si="14"/>
        <v>-7205.056743712621</v>
      </c>
      <c r="BG8" s="175">
        <v>-5637.0399999999991</v>
      </c>
    </row>
    <row r="9" spans="1:59" ht="16">
      <c r="A9" s="169" t="s">
        <v>40</v>
      </c>
      <c r="B9" s="13"/>
      <c r="C9" s="13" t="s">
        <v>41</v>
      </c>
      <c r="D9" s="170">
        <v>32308.66</v>
      </c>
      <c r="E9" s="175">
        <v>23875.61</v>
      </c>
      <c r="F9" s="171">
        <f>'Apr2025-COLLECTION'!K8</f>
        <v>0</v>
      </c>
      <c r="G9" s="172">
        <f>'Apr2025-EXPENSE'!R12</f>
        <v>6181.0160282885727</v>
      </c>
      <c r="H9" s="172"/>
      <c r="I9" s="172">
        <f t="shared" si="0"/>
        <v>-6181.0160282885727</v>
      </c>
      <c r="J9" s="173">
        <f>'May2025-COLLECTION'!K8</f>
        <v>11602</v>
      </c>
      <c r="K9" s="174">
        <f>'May2025-EXPENSE'!R12</f>
        <v>4817.23628073072</v>
      </c>
      <c r="L9" s="174"/>
      <c r="M9" s="174">
        <f t="shared" si="1"/>
        <v>6784.76371926928</v>
      </c>
      <c r="N9" s="172">
        <f>'June2025-COLLECTION'!K8</f>
        <v>4800.17</v>
      </c>
      <c r="O9" s="172">
        <f>'June2025-EXPENSE'!R12</f>
        <v>5050.9140221374046</v>
      </c>
      <c r="P9" s="172"/>
      <c r="Q9" s="172">
        <f t="shared" si="2"/>
        <v>-250.7440221374045</v>
      </c>
      <c r="R9" s="41">
        <f>'July2025-COLLECTION'!K8</f>
        <v>5050.91</v>
      </c>
      <c r="S9" s="174">
        <f>'July2025-EXPENSE'!R12</f>
        <v>5938.6243469035935</v>
      </c>
      <c r="T9" s="174"/>
      <c r="U9" s="174">
        <f t="shared" si="3"/>
        <v>-887.71434690359365</v>
      </c>
      <c r="V9" s="167">
        <f>'Aug2025-COLLECTION'!K8</f>
        <v>5938.62</v>
      </c>
      <c r="W9" s="172">
        <f>'Aug2025-EXPENSE'!R12</f>
        <v>6331.9105235156248</v>
      </c>
      <c r="X9" s="172"/>
      <c r="Y9" s="172">
        <f t="shared" si="4"/>
        <v>-393.29052351562495</v>
      </c>
      <c r="Z9" s="41">
        <f>'Sep2025-COLLECTION'!K8</f>
        <v>5939</v>
      </c>
      <c r="AA9" s="174">
        <f>'Sep2025-EXPENSE'!R12</f>
        <v>5504.8370570873485</v>
      </c>
      <c r="AB9" s="174"/>
      <c r="AC9" s="174">
        <f t="shared" si="5"/>
        <v>434.16294291265149</v>
      </c>
      <c r="AD9" s="41">
        <f>'Oct2025-COLLECTION'!K8</f>
        <v>0</v>
      </c>
      <c r="AE9" s="174">
        <f>'Oct2025-EXPENSE'!R12</f>
        <v>6883.1824023959862</v>
      </c>
      <c r="AF9" s="174"/>
      <c r="AG9" s="174">
        <f t="shared" si="6"/>
        <v>-6883.1824023959862</v>
      </c>
      <c r="AH9" s="41">
        <f>'Nov2025-COLLECTION'!K8</f>
        <v>5505</v>
      </c>
      <c r="AI9" s="174">
        <f>'Nov2025-EXPENSE'!R12</f>
        <v>7220.6757150364656</v>
      </c>
      <c r="AJ9" s="174"/>
      <c r="AK9" s="174">
        <f t="shared" si="7"/>
        <v>-1715.6757150364656</v>
      </c>
      <c r="AL9" s="41">
        <f>'Dec2025-COLLECTION'!K8</f>
        <v>7303</v>
      </c>
      <c r="AM9" s="174">
        <f>'Dec2025-EXPENSE'!R12</f>
        <v>5568.9922847218513</v>
      </c>
      <c r="AN9" s="174"/>
      <c r="AO9" s="174">
        <f t="shared" si="8"/>
        <v>1734.0077152781487</v>
      </c>
      <c r="AP9" s="7">
        <f>'Jan2026-COLLECTION'!K8</f>
        <v>5551.92</v>
      </c>
      <c r="AQ9" s="10">
        <f>'Jan2026-EXPENSE'!R12</f>
        <v>5486.7399909757823</v>
      </c>
      <c r="AR9" s="10"/>
      <c r="AS9" s="174">
        <f t="shared" si="9"/>
        <v>65.180009024217725</v>
      </c>
      <c r="AT9" s="7">
        <f>'Feb2026-COLLECTION'!K8</f>
        <v>0</v>
      </c>
      <c r="AU9" s="10">
        <f>'Feb2026-EXPENSE'!R12</f>
        <v>5213.0985334043789</v>
      </c>
      <c r="AV9" s="10"/>
      <c r="AW9" s="174">
        <f t="shared" si="10"/>
        <v>-5213.0985334043789</v>
      </c>
      <c r="AX9" s="7">
        <f>'Mar2026-COLLECTION'!K8</f>
        <v>10717</v>
      </c>
      <c r="AY9" s="10">
        <f>'Mar2026-EXPENSE'!R12</f>
        <v>5384.1479083892063</v>
      </c>
      <c r="AZ9" s="10"/>
      <c r="BA9" s="174">
        <f t="shared" si="11"/>
        <v>5332.8520916107937</v>
      </c>
      <c r="BB9" s="172">
        <f t="shared" ref="BB9:BD9" si="20">SUM(F9,J9,N9,R9,V9,Z9,AD9,AH9,AL9,AP9,AT9,AX9)</f>
        <v>62407.619999999995</v>
      </c>
      <c r="BC9" s="172">
        <f t="shared" si="20"/>
        <v>69581.375093586932</v>
      </c>
      <c r="BD9" s="172">
        <f t="shared" si="20"/>
        <v>0</v>
      </c>
      <c r="BE9" s="172">
        <f t="shared" si="13"/>
        <v>-7173.7550935869367</v>
      </c>
      <c r="BF9" s="172">
        <f t="shared" si="14"/>
        <v>16701.854906413064</v>
      </c>
      <c r="BG9" s="175">
        <v>23875.61</v>
      </c>
    </row>
    <row r="10" spans="1:59" ht="48">
      <c r="A10" s="169" t="s">
        <v>43</v>
      </c>
      <c r="B10" s="13"/>
      <c r="C10" s="13" t="s">
        <v>44</v>
      </c>
      <c r="D10" s="170">
        <v>34719.379999999997</v>
      </c>
      <c r="E10" s="175">
        <v>30061.48</v>
      </c>
      <c r="F10" s="171">
        <f>'Apr2025-COLLECTION'!K9</f>
        <v>4603</v>
      </c>
      <c r="G10" s="172">
        <f>'Apr2025-EXPENSE'!R13</f>
        <v>5360.1318959356122</v>
      </c>
      <c r="H10" s="172"/>
      <c r="I10" s="172">
        <f t="shared" si="0"/>
        <v>-757.13189593561219</v>
      </c>
      <c r="J10" s="173">
        <f>'May2025-COLLECTION'!K9</f>
        <v>5312</v>
      </c>
      <c r="K10" s="174">
        <f>'May2025-EXPENSE'!R13</f>
        <v>4061.2586035363679</v>
      </c>
      <c r="L10" s="174"/>
      <c r="M10" s="174">
        <f t="shared" si="1"/>
        <v>1250.7413964636321</v>
      </c>
      <c r="N10" s="172">
        <f>'June2025-COLLECTION'!K9</f>
        <v>4044</v>
      </c>
      <c r="O10" s="172">
        <f>'June2025-EXPENSE'!R13</f>
        <v>4291.2991399719658</v>
      </c>
      <c r="P10" s="172"/>
      <c r="Q10" s="172">
        <f t="shared" si="2"/>
        <v>-247.29913997196581</v>
      </c>
      <c r="R10" s="41">
        <f>'July2025-COLLECTION'!K9</f>
        <v>4291</v>
      </c>
      <c r="S10" s="174">
        <f>'July2025-EXPENSE'!R13</f>
        <v>5121.2619408476694</v>
      </c>
      <c r="T10" s="174"/>
      <c r="U10" s="174">
        <f t="shared" si="3"/>
        <v>-830.26194084766939</v>
      </c>
      <c r="V10" s="167">
        <f>'Aug2025-COLLECTION'!K9</f>
        <v>5121</v>
      </c>
      <c r="W10" s="172">
        <f>'Aug2025-EXPENSE'!R13</f>
        <v>5608.3712561629964</v>
      </c>
      <c r="X10" s="172"/>
      <c r="Y10" s="172">
        <f t="shared" si="4"/>
        <v>-487.37125616299636</v>
      </c>
      <c r="Z10" s="41">
        <f>'Sep2025-COLLECTION'!K9</f>
        <v>5121</v>
      </c>
      <c r="AA10" s="174">
        <f>'Sep2025-EXPENSE'!R13</f>
        <v>4769.0998656828151</v>
      </c>
      <c r="AB10" s="174"/>
      <c r="AC10" s="174">
        <f t="shared" si="5"/>
        <v>351.90013431718489</v>
      </c>
      <c r="AD10" s="41">
        <f>'Oct2025-COLLECTION'!K9</f>
        <v>4769</v>
      </c>
      <c r="AE10" s="174">
        <f>'Oct2025-EXPENSE'!R13</f>
        <v>6140.6205519058276</v>
      </c>
      <c r="AF10" s="174"/>
      <c r="AG10" s="174">
        <f t="shared" si="6"/>
        <v>-1371.6205519058276</v>
      </c>
      <c r="AH10" s="41">
        <f>'Nov2025-COLLECTION'!K9</f>
        <v>6114</v>
      </c>
      <c r="AI10" s="174">
        <f>'Nov2025-EXPENSE'!R13</f>
        <v>7447.3937250196404</v>
      </c>
      <c r="AJ10" s="174"/>
      <c r="AK10" s="174">
        <f t="shared" si="7"/>
        <v>-1333.3937250196404</v>
      </c>
      <c r="AL10" s="41">
        <f>'Dec2025-COLLECTION'!K9</f>
        <v>7529</v>
      </c>
      <c r="AM10" s="174">
        <f>'Dec2025-EXPENSE'!R13</f>
        <v>6953.6894172597667</v>
      </c>
      <c r="AN10" s="174"/>
      <c r="AO10" s="174">
        <f t="shared" si="8"/>
        <v>575.31058274023326</v>
      </c>
      <c r="AP10" s="7">
        <f>'Jan2026-COLLECTION'!K9</f>
        <v>6937</v>
      </c>
      <c r="AQ10" s="10">
        <f>'Jan2026-EXPENSE'!R13</f>
        <v>6136.3588799602257</v>
      </c>
      <c r="AR10" s="10"/>
      <c r="AS10" s="174">
        <f t="shared" si="9"/>
        <v>800.64112003977425</v>
      </c>
      <c r="AT10" s="7">
        <f>'Feb2026-COLLECTION'!K9</f>
        <v>6153</v>
      </c>
      <c r="AU10" s="10">
        <f>'Feb2026-EXPENSE'!R13</f>
        <v>6094.9064804073205</v>
      </c>
      <c r="AV10" s="10"/>
      <c r="AW10" s="174">
        <f t="shared" si="10"/>
        <v>58.093519592679513</v>
      </c>
      <c r="AX10" s="7">
        <f>'Mar2026-COLLECTION'!K9</f>
        <v>6095</v>
      </c>
      <c r="AY10" s="10">
        <f>'Mar2026-EXPENSE'!R13</f>
        <v>6070.1075304100395</v>
      </c>
      <c r="AZ10" s="10"/>
      <c r="BA10" s="174">
        <f t="shared" si="11"/>
        <v>24.892469589960456</v>
      </c>
      <c r="BB10" s="172">
        <f t="shared" ref="BB10:BD10" si="21">SUM(F10,J10,N10,R10,V10,Z10,AD10,AH10,AL10,AP10,AT10,AX10)</f>
        <v>66089</v>
      </c>
      <c r="BC10" s="172">
        <f t="shared" si="21"/>
        <v>68054.499287100247</v>
      </c>
      <c r="BD10" s="172">
        <f t="shared" si="21"/>
        <v>0</v>
      </c>
      <c r="BE10" s="172">
        <f t="shared" si="13"/>
        <v>-1965.4992871002469</v>
      </c>
      <c r="BF10" s="172">
        <f t="shared" si="14"/>
        <v>28095.980712899753</v>
      </c>
      <c r="BG10" s="175">
        <v>25458.48</v>
      </c>
    </row>
    <row r="11" spans="1:59" ht="32">
      <c r="A11" s="169" t="s">
        <v>46</v>
      </c>
      <c r="B11" s="13"/>
      <c r="C11" s="13" t="s">
        <v>47</v>
      </c>
      <c r="D11" s="170">
        <v>23795.88</v>
      </c>
      <c r="E11" s="175">
        <v>19700.41</v>
      </c>
      <c r="F11" s="171">
        <f>'Apr2025-COLLECTION'!K10</f>
        <v>4943</v>
      </c>
      <c r="G11" s="172">
        <f>'Apr2025-EXPENSE'!R14</f>
        <v>5560.8699015810726</v>
      </c>
      <c r="H11" s="172"/>
      <c r="I11" s="172">
        <f t="shared" si="0"/>
        <v>-617.86990158107255</v>
      </c>
      <c r="J11" s="173">
        <f>'May2025-COLLECTION'!K10</f>
        <v>5516</v>
      </c>
      <c r="K11" s="174">
        <f>'May2025-EXPENSE'!R14</f>
        <v>4332.2057165152537</v>
      </c>
      <c r="L11" s="174"/>
      <c r="M11" s="174">
        <f t="shared" si="1"/>
        <v>1183.7942834847463</v>
      </c>
      <c r="N11" s="172">
        <f>'June2025-COLLECTION'!K10</f>
        <v>4310</v>
      </c>
      <c r="O11" s="172">
        <f>'June2025-EXPENSE'!R14</f>
        <v>4566.8366703206621</v>
      </c>
      <c r="P11" s="172"/>
      <c r="Q11" s="172">
        <f t="shared" si="2"/>
        <v>-256.83667032066205</v>
      </c>
      <c r="R11" s="41">
        <f>'July2025-COLLECTION'!K10</f>
        <v>4567</v>
      </c>
      <c r="S11" s="174">
        <f>'July2025-EXPENSE'!R14</f>
        <v>5433.8113721070631</v>
      </c>
      <c r="T11" s="174"/>
      <c r="U11" s="174">
        <f t="shared" si="3"/>
        <v>-866.81137210706311</v>
      </c>
      <c r="V11" s="167">
        <f>'Aug2025-COLLECTION'!K10</f>
        <v>5434</v>
      </c>
      <c r="W11" s="172">
        <f>'Aug2025-EXPENSE'!R14</f>
        <v>5943.9169438042272</v>
      </c>
      <c r="X11" s="172"/>
      <c r="Y11" s="172">
        <f t="shared" si="4"/>
        <v>-509.91694380422723</v>
      </c>
      <c r="Z11" s="41">
        <f>'Sep2025-COLLECTION'!K10</f>
        <v>5434</v>
      </c>
      <c r="AA11" s="174">
        <f>'Sep2025-EXPENSE'!R14</f>
        <v>5031.0762115635207</v>
      </c>
      <c r="AB11" s="174"/>
      <c r="AC11" s="174">
        <f t="shared" si="5"/>
        <v>402.9237884364793</v>
      </c>
      <c r="AD11" s="41">
        <f>'Oct2025-COLLECTION'!K10</f>
        <v>5031</v>
      </c>
      <c r="AE11" s="174">
        <f>'Oct2025-EXPENSE'!R14</f>
        <v>6457.3495806547216</v>
      </c>
      <c r="AF11" s="174"/>
      <c r="AG11" s="174">
        <f t="shared" si="6"/>
        <v>-1426.3495806547216</v>
      </c>
      <c r="AH11" s="41">
        <f>'Nov2025-COLLECTION'!K10</f>
        <v>6231</v>
      </c>
      <c r="AI11" s="174">
        <f>'Nov2025-EXPENSE'!R14</f>
        <v>6751.7579039622669</v>
      </c>
      <c r="AJ11" s="174"/>
      <c r="AK11" s="174">
        <f t="shared" si="7"/>
        <v>-520.75790396226694</v>
      </c>
      <c r="AL11" s="41">
        <f>'Dec2025-COLLECTION'!K10</f>
        <v>6883</v>
      </c>
      <c r="AM11" s="174">
        <f>'Dec2025-EXPENSE'!R14</f>
        <v>5113.0447351740913</v>
      </c>
      <c r="AN11" s="174"/>
      <c r="AO11" s="174">
        <f t="shared" si="8"/>
        <v>1769.9552648259087</v>
      </c>
      <c r="AP11" s="7">
        <f>'Jan2026-COLLECTION'!K10</f>
        <v>5090</v>
      </c>
      <c r="AQ11" s="10">
        <f>'Jan2026-EXPENSE'!R14</f>
        <v>5018.7498458089085</v>
      </c>
      <c r="AR11" s="10"/>
      <c r="AS11" s="174">
        <f t="shared" si="9"/>
        <v>71.250154191091497</v>
      </c>
      <c r="AT11" s="7">
        <f>'Feb2026-COLLECTION'!K10</f>
        <v>5041</v>
      </c>
      <c r="AU11" s="10">
        <f>'Feb2026-EXPENSE'!R14</f>
        <v>4824.3741208421134</v>
      </c>
      <c r="AV11" s="10"/>
      <c r="AW11" s="174">
        <f t="shared" si="10"/>
        <v>216.62587915788663</v>
      </c>
      <c r="AX11" s="7">
        <f>'Mar2026-COLLECTION'!K10</f>
        <v>4824</v>
      </c>
      <c r="AY11" s="10">
        <f>'Mar2026-EXPENSE'!R14</f>
        <v>4867.2645902905278</v>
      </c>
      <c r="AZ11" s="10"/>
      <c r="BA11" s="174">
        <f t="shared" si="11"/>
        <v>-43.264590290527849</v>
      </c>
      <c r="BB11" s="172">
        <f t="shared" ref="BB11:BD11" si="22">SUM(F11,J11,N11,R11,V11,Z11,AD11,AH11,AL11,AP11,AT11,AX11)</f>
        <v>63304</v>
      </c>
      <c r="BC11" s="172">
        <f t="shared" si="22"/>
        <v>63901.257592624424</v>
      </c>
      <c r="BD11" s="172">
        <f t="shared" si="22"/>
        <v>0</v>
      </c>
      <c r="BE11" s="172">
        <f t="shared" si="13"/>
        <v>-597.25759262442443</v>
      </c>
      <c r="BF11" s="172">
        <f t="shared" si="14"/>
        <v>19103.152407375575</v>
      </c>
      <c r="BG11" s="175">
        <v>14757.41</v>
      </c>
    </row>
    <row r="12" spans="1:59" ht="16">
      <c r="A12" s="169" t="s">
        <v>49</v>
      </c>
      <c r="B12" s="13"/>
      <c r="C12" s="13" t="s">
        <v>50</v>
      </c>
      <c r="D12" s="170">
        <v>7567.28</v>
      </c>
      <c r="E12" s="175">
        <v>5398</v>
      </c>
      <c r="F12" s="171">
        <f>'Apr2025-COLLECTION'!K11</f>
        <v>5314</v>
      </c>
      <c r="G12" s="172">
        <f>'Apr2025-EXPENSE'!R15</f>
        <v>6639.1417173307182</v>
      </c>
      <c r="H12" s="172"/>
      <c r="I12" s="172">
        <f t="shared" si="0"/>
        <v>-1325.1417173307182</v>
      </c>
      <c r="J12" s="173">
        <f>'May2025-COLLECTION'!K11</f>
        <v>5600</v>
      </c>
      <c r="K12" s="174">
        <f>'May2025-EXPENSE'!R15</f>
        <v>4263.0902570985108</v>
      </c>
      <c r="L12" s="174"/>
      <c r="M12" s="174">
        <f t="shared" si="1"/>
        <v>1336.9097429014892</v>
      </c>
      <c r="N12" s="172">
        <f>'June2025-COLLECTION'!K11</f>
        <v>4246</v>
      </c>
      <c r="O12" s="172">
        <f>'June2025-EXPENSE'!R15</f>
        <v>4536.4368313551504</v>
      </c>
      <c r="P12" s="172"/>
      <c r="Q12" s="172">
        <f t="shared" si="2"/>
        <v>-290.43683135515039</v>
      </c>
      <c r="R12" s="41">
        <f>'July2025-COLLECTION'!K11</f>
        <v>4536</v>
      </c>
      <c r="S12" s="174">
        <f>'July2025-EXPENSE'!R15</f>
        <v>5398.3315427309699</v>
      </c>
      <c r="T12" s="174"/>
      <c r="U12" s="174">
        <f t="shared" si="3"/>
        <v>-862.33154273096989</v>
      </c>
      <c r="V12" s="167">
        <f>'Aug2025-COLLECTION'!K11</f>
        <v>1057</v>
      </c>
      <c r="W12" s="172">
        <f>'Aug2025-EXPENSE'!R15</f>
        <v>5793.8187437924762</v>
      </c>
      <c r="X12" s="172"/>
      <c r="Y12" s="172">
        <f t="shared" si="4"/>
        <v>-4736.8187437924762</v>
      </c>
      <c r="Z12" s="41">
        <f>'Sep2025-COLLECTION'!K11</f>
        <v>0</v>
      </c>
      <c r="AA12" s="174">
        <f>'Sep2025-EXPENSE'!R15</f>
        <v>5053.9620373547205</v>
      </c>
      <c r="AB12" s="174"/>
      <c r="AC12" s="174">
        <f t="shared" si="5"/>
        <v>-5053.9620373547205</v>
      </c>
      <c r="AD12" s="41">
        <f>'Oct2025-COLLECTION'!K11</f>
        <v>5794</v>
      </c>
      <c r="AE12" s="174">
        <f>'Oct2025-EXPENSE'!R15</f>
        <v>6328.3275677506035</v>
      </c>
      <c r="AF12" s="174"/>
      <c r="AG12" s="174">
        <f t="shared" si="6"/>
        <v>-534.32756775060352</v>
      </c>
      <c r="AH12" s="41">
        <f>'Nov2025-COLLECTION'!K11</f>
        <v>0</v>
      </c>
      <c r="AI12" s="174">
        <f>'Nov2025-EXPENSE'!R15</f>
        <v>6735.5787604765783</v>
      </c>
      <c r="AJ12" s="174"/>
      <c r="AK12" s="174">
        <f t="shared" si="7"/>
        <v>-6735.5787604765783</v>
      </c>
      <c r="AL12" s="41">
        <f>'Dec2025-COLLECTION'!K11</f>
        <v>0</v>
      </c>
      <c r="AM12" s="174">
        <f>'Dec2025-EXPENSE'!R15</f>
        <v>5048.5722078659519</v>
      </c>
      <c r="AN12" s="174"/>
      <c r="AO12" s="174">
        <f t="shared" si="8"/>
        <v>-5048.5722078659519</v>
      </c>
      <c r="AP12" s="7">
        <f>'Jan2026-COLLECTION'!K11</f>
        <v>6114</v>
      </c>
      <c r="AQ12" s="10">
        <f>'Jan2026-EXPENSE'!R15</f>
        <v>5596.4422536527027</v>
      </c>
      <c r="AR12" s="10"/>
      <c r="AS12" s="174">
        <f t="shared" si="9"/>
        <v>517.55774634729732</v>
      </c>
      <c r="AT12" s="7">
        <f>'Feb2026-COLLECTION'!K11</f>
        <v>0</v>
      </c>
      <c r="AU12" s="10">
        <f>'Feb2026-EXPENSE'!R15</f>
        <v>5596.5512651706667</v>
      </c>
      <c r="AV12" s="10"/>
      <c r="AW12" s="174">
        <f t="shared" si="10"/>
        <v>-5596.5512651706667</v>
      </c>
      <c r="AX12" s="7">
        <f>'Mar2026-COLLECTION'!K11</f>
        <v>5614</v>
      </c>
      <c r="AY12" s="10">
        <f>'Mar2026-EXPENSE'!R15</f>
        <v>5107.2724102298043</v>
      </c>
      <c r="AZ12" s="10"/>
      <c r="BA12" s="174">
        <f t="shared" si="11"/>
        <v>506.72758977019566</v>
      </c>
      <c r="BB12" s="172">
        <f t="shared" ref="BB12:BD12" si="23">SUM(F12,J12,N12,R12,V12,Z12,AD12,AH12,AL12,AP12,AT12,AX12)</f>
        <v>38275</v>
      </c>
      <c r="BC12" s="172">
        <f t="shared" si="23"/>
        <v>66097.52559480886</v>
      </c>
      <c r="BD12" s="172">
        <f t="shared" si="23"/>
        <v>0</v>
      </c>
      <c r="BE12" s="172">
        <f t="shared" si="13"/>
        <v>-27822.52559480886</v>
      </c>
      <c r="BF12" s="172">
        <f t="shared" si="14"/>
        <v>-22424.52559480886</v>
      </c>
      <c r="BG12" s="175">
        <v>84</v>
      </c>
    </row>
    <row r="13" spans="1:59" ht="16">
      <c r="A13" s="169" t="s">
        <v>52</v>
      </c>
      <c r="B13" s="13"/>
      <c r="C13" s="13" t="s">
        <v>53</v>
      </c>
      <c r="D13" s="170">
        <v>-8157.15</v>
      </c>
      <c r="E13" s="175">
        <v>13495.65</v>
      </c>
      <c r="F13" s="171">
        <f>'Apr2025-COLLECTION'!K12</f>
        <v>4632</v>
      </c>
      <c r="G13" s="172">
        <f>'Apr2025-EXPENSE'!R16</f>
        <v>5386.8806251254091</v>
      </c>
      <c r="H13" s="172"/>
      <c r="I13" s="172">
        <f t="shared" si="0"/>
        <v>-754.8806251254091</v>
      </c>
      <c r="J13" s="173">
        <f>'May2025-COLLECTION'!K12</f>
        <v>5340</v>
      </c>
      <c r="K13" s="174">
        <f>'May2025-EXPENSE'!R16</f>
        <v>4288.7505299328022</v>
      </c>
      <c r="L13" s="174"/>
      <c r="M13" s="174">
        <f t="shared" si="1"/>
        <v>1051.2494700671978</v>
      </c>
      <c r="N13" s="172">
        <f>'June2025-COLLECTION'!K12</f>
        <v>4272</v>
      </c>
      <c r="O13" s="172">
        <f>'June2025-EXPENSE'!R16</f>
        <v>4584.2604191693326</v>
      </c>
      <c r="P13" s="172"/>
      <c r="Q13" s="172">
        <f t="shared" si="2"/>
        <v>-312.26041916933264</v>
      </c>
      <c r="R13" s="41">
        <f>'July2025-COLLECTION'!K12</f>
        <v>4584</v>
      </c>
      <c r="S13" s="174">
        <f>'July2025-EXPENSE'!R16</f>
        <v>5217.931953286693</v>
      </c>
      <c r="T13" s="174"/>
      <c r="U13" s="174">
        <f t="shared" si="3"/>
        <v>-633.93195328669299</v>
      </c>
      <c r="V13" s="167">
        <f>'Aug2025-COLLECTION'!K12</f>
        <v>5218</v>
      </c>
      <c r="W13" s="172">
        <f>'Aug2025-EXPENSE'!R16</f>
        <v>5706.2982028680599</v>
      </c>
      <c r="X13" s="172"/>
      <c r="Y13" s="172">
        <f t="shared" si="4"/>
        <v>-488.29820286805989</v>
      </c>
      <c r="Z13" s="41">
        <f>'Sep2025-COLLECTION'!K12</f>
        <v>5218</v>
      </c>
      <c r="AA13" s="174">
        <f>'Sep2025-EXPENSE'!R16</f>
        <v>4795.7736817577643</v>
      </c>
      <c r="AB13" s="174"/>
      <c r="AC13" s="174">
        <f t="shared" si="5"/>
        <v>422.22631824223572</v>
      </c>
      <c r="AD13" s="41">
        <f>'Oct2025-COLLECTION'!K12</f>
        <v>4780</v>
      </c>
      <c r="AE13" s="174">
        <f>'Oct2025-EXPENSE'!R16</f>
        <v>6113.683824752331</v>
      </c>
      <c r="AF13" s="174"/>
      <c r="AG13" s="174">
        <f t="shared" si="6"/>
        <v>-1333.683824752331</v>
      </c>
      <c r="AH13" s="41">
        <f>'Nov2025-COLLECTION'!K12</f>
        <v>6114</v>
      </c>
      <c r="AI13" s="174">
        <f>'Nov2025-EXPENSE'!R16</f>
        <v>6521.8551189900754</v>
      </c>
      <c r="AJ13" s="174"/>
      <c r="AK13" s="174">
        <f t="shared" si="7"/>
        <v>-407.85511899007543</v>
      </c>
      <c r="AL13" s="41">
        <f>'Dec2025-COLLECTION'!K12</f>
        <v>6604</v>
      </c>
      <c r="AM13" s="174">
        <f>'Dec2025-EXPENSE'!R16</f>
        <v>4910.8619828082747</v>
      </c>
      <c r="AN13" s="174"/>
      <c r="AO13" s="174">
        <f t="shared" si="8"/>
        <v>1693.1380171917253</v>
      </c>
      <c r="AP13" s="7">
        <f>'Jan2026-COLLECTION'!K12</f>
        <v>4894</v>
      </c>
      <c r="AQ13" s="10">
        <f>'Jan2026-EXPENSE'!R16</f>
        <v>4777.6410786358429</v>
      </c>
      <c r="AR13" s="10"/>
      <c r="AS13" s="174">
        <f t="shared" si="9"/>
        <v>116.35892136415714</v>
      </c>
      <c r="AT13" s="7">
        <f>'Feb2026-COLLECTION'!K12</f>
        <v>4778</v>
      </c>
      <c r="AU13" s="10">
        <f>'Feb2026-EXPENSE'!R16</f>
        <v>4568.9316345859252</v>
      </c>
      <c r="AV13" s="10"/>
      <c r="AW13" s="174">
        <f t="shared" si="10"/>
        <v>209.06836541407483</v>
      </c>
      <c r="AX13" s="7">
        <f>'Mar2026-COLLECTION'!K12</f>
        <v>4569</v>
      </c>
      <c r="AY13" s="10">
        <f>'Mar2026-EXPENSE'!R16</f>
        <v>4690.0984080459657</v>
      </c>
      <c r="AZ13" s="10"/>
      <c r="BA13" s="174">
        <f t="shared" si="11"/>
        <v>-121.0984080459657</v>
      </c>
      <c r="BB13" s="172">
        <f t="shared" ref="BB13:BD13" si="24">SUM(F13,J13,N13,R13,V13,Z13,AD13,AH13,AL13,AP13,AT13,AX13)</f>
        <v>61003</v>
      </c>
      <c r="BC13" s="172">
        <f t="shared" si="24"/>
        <v>61562.967459958476</v>
      </c>
      <c r="BD13" s="172">
        <f t="shared" si="24"/>
        <v>0</v>
      </c>
      <c r="BE13" s="172">
        <f t="shared" si="13"/>
        <v>-559.96745995847596</v>
      </c>
      <c r="BF13" s="172">
        <f t="shared" si="14"/>
        <v>12935.682540041524</v>
      </c>
      <c r="BG13" s="175">
        <v>8863.65</v>
      </c>
    </row>
    <row r="14" spans="1:59" ht="16">
      <c r="A14" s="169" t="s">
        <v>55</v>
      </c>
      <c r="B14" s="13"/>
      <c r="C14" s="13" t="s">
        <v>56</v>
      </c>
      <c r="D14" s="170">
        <v>27748.65</v>
      </c>
      <c r="E14" s="175">
        <v>14754</v>
      </c>
      <c r="F14" s="171">
        <f>'Apr2025-COLLECTION'!K13</f>
        <v>4603</v>
      </c>
      <c r="G14" s="172">
        <f>'Apr2025-EXPENSE'!R17</f>
        <v>5334.5148437500002</v>
      </c>
      <c r="H14" s="172"/>
      <c r="I14" s="172">
        <f t="shared" si="0"/>
        <v>-731.51484375000018</v>
      </c>
      <c r="J14" s="173">
        <f>'May2025-COLLECTION'!K13</f>
        <v>5286</v>
      </c>
      <c r="K14" s="174">
        <f>'May2025-EXPENSE'!R17</f>
        <v>4030.495435536166</v>
      </c>
      <c r="L14" s="174"/>
      <c r="M14" s="174">
        <f t="shared" si="1"/>
        <v>1255.504564463834</v>
      </c>
      <c r="N14" s="172">
        <f>'June2025-COLLECTION'!K13</f>
        <v>4013</v>
      </c>
      <c r="O14" s="172">
        <f>'June2025-EXPENSE'!R17</f>
        <v>4272.8636485156248</v>
      </c>
      <c r="P14" s="172"/>
      <c r="Q14" s="172">
        <f t="shared" si="2"/>
        <v>-259.86364851562485</v>
      </c>
      <c r="R14" s="41">
        <f>'July2025-COLLECTION'!K13</f>
        <v>4273</v>
      </c>
      <c r="S14" s="174">
        <f>'July2025-EXPENSE'!R17</f>
        <v>5108.005885037468</v>
      </c>
      <c r="T14" s="174"/>
      <c r="U14" s="174">
        <f t="shared" si="3"/>
        <v>-835.00588503746803</v>
      </c>
      <c r="V14" s="167">
        <f>'Aug2025-COLLECTION'!K13</f>
        <v>5108</v>
      </c>
      <c r="W14" s="172">
        <f>'Aug2025-EXPENSE'!R17</f>
        <v>5588.0031627974568</v>
      </c>
      <c r="X14" s="172"/>
      <c r="Y14" s="172">
        <f t="shared" si="4"/>
        <v>-480.00316279745675</v>
      </c>
      <c r="Z14" s="41">
        <f>'Sep2025-COLLECTION'!K13</f>
        <v>5108</v>
      </c>
      <c r="AA14" s="174">
        <f>'Sep2025-EXPENSE'!R17</f>
        <v>4740.6530485393696</v>
      </c>
      <c r="AB14" s="174"/>
      <c r="AC14" s="174">
        <f t="shared" si="5"/>
        <v>367.34695146063041</v>
      </c>
      <c r="AD14" s="41">
        <f>'Oct2025-COLLECTION'!K13</f>
        <v>4741</v>
      </c>
      <c r="AE14" s="174">
        <f>'Oct2025-EXPENSE'!R17</f>
        <v>6113.683824752331</v>
      </c>
      <c r="AF14" s="174"/>
      <c r="AG14" s="174">
        <f t="shared" si="6"/>
        <v>-1372.683824752331</v>
      </c>
      <c r="AH14" s="41">
        <f>'Nov2025-COLLECTION'!K13</f>
        <v>6114</v>
      </c>
      <c r="AI14" s="174">
        <f>'Nov2025-EXPENSE'!R17</f>
        <v>7232.8469521545085</v>
      </c>
      <c r="AJ14" s="174"/>
      <c r="AK14" s="174">
        <f t="shared" si="7"/>
        <v>-1118.8469521545085</v>
      </c>
      <c r="AL14" s="41">
        <f>'Dec2025-COLLECTION'!K13</f>
        <v>7315</v>
      </c>
      <c r="AM14" s="174">
        <f>'Dec2025-EXPENSE'!R17</f>
        <v>4867.992601103676</v>
      </c>
      <c r="AN14" s="174"/>
      <c r="AO14" s="174">
        <f t="shared" si="8"/>
        <v>2447.007398896324</v>
      </c>
      <c r="AP14" s="7">
        <f>'Jan2026-COLLECTION'!K13</f>
        <v>4851</v>
      </c>
      <c r="AQ14" s="10">
        <f>'Jan2026-EXPENSE'!R17</f>
        <v>4735.218262669011</v>
      </c>
      <c r="AR14" s="10"/>
      <c r="AS14" s="174">
        <f t="shared" si="9"/>
        <v>115.78173733098902</v>
      </c>
      <c r="AT14" s="7">
        <f>'Feb2026-COLLECTION'!K13</f>
        <v>5215</v>
      </c>
      <c r="AU14" s="10">
        <f>'Feb2026-EXPENSE'!R17</f>
        <v>4448.9544834333874</v>
      </c>
      <c r="AV14" s="10"/>
      <c r="AW14" s="174">
        <f t="shared" si="10"/>
        <v>766.0455165666126</v>
      </c>
      <c r="AX14" s="7">
        <f>'Mar2026-COLLECTION'!K13</f>
        <v>4449</v>
      </c>
      <c r="AY14" s="10">
        <f>'Mar2026-EXPENSE'!R17</f>
        <v>5959.1596246376102</v>
      </c>
      <c r="AZ14" s="10"/>
      <c r="BA14" s="174">
        <f t="shared" si="11"/>
        <v>-1510.1596246376102</v>
      </c>
      <c r="BB14" s="172">
        <f t="shared" ref="BB14:BD14" si="25">SUM(F14,J14,N14,R14,V14,Z14,AD14,AH14,AL14,AP14,AT14,AX14)</f>
        <v>61076</v>
      </c>
      <c r="BC14" s="172">
        <f t="shared" si="25"/>
        <v>62432.39177292661</v>
      </c>
      <c r="BD14" s="172">
        <f t="shared" si="25"/>
        <v>0</v>
      </c>
      <c r="BE14" s="172">
        <f t="shared" si="13"/>
        <v>-1356.3917729266104</v>
      </c>
      <c r="BF14" s="172">
        <f t="shared" si="14"/>
        <v>13397.60822707339</v>
      </c>
      <c r="BG14" s="175">
        <v>10151</v>
      </c>
    </row>
    <row r="15" spans="1:59" ht="16">
      <c r="A15" s="169" t="s">
        <v>58</v>
      </c>
      <c r="B15" s="13"/>
      <c r="C15" s="13" t="s">
        <v>59</v>
      </c>
      <c r="D15" s="170">
        <v>-4883.33</v>
      </c>
      <c r="E15" s="175">
        <v>-9746.16</v>
      </c>
      <c r="F15" s="171">
        <f>'Apr2025-COLLECTION'!K14</f>
        <v>4730</v>
      </c>
      <c r="G15" s="172">
        <f>'Apr2025-EXPENSE'!R18</f>
        <v>5473.6278925312763</v>
      </c>
      <c r="H15" s="172"/>
      <c r="I15" s="172">
        <f t="shared" si="0"/>
        <v>-743.6278925312763</v>
      </c>
      <c r="J15" s="173">
        <f>'May2025-COLLECTION'!K14</f>
        <v>5426</v>
      </c>
      <c r="K15" s="174">
        <f>'May2025-EXPENSE'!R18</f>
        <v>6298.0136749165231</v>
      </c>
      <c r="L15" s="174">
        <v>500</v>
      </c>
      <c r="M15" s="174">
        <f t="shared" si="1"/>
        <v>-1372.0136749165231</v>
      </c>
      <c r="N15" s="172">
        <f>'June2025-COLLECTION'!K14</f>
        <v>6275</v>
      </c>
      <c r="O15" s="172">
        <f>'June2025-EXPENSE'!R18</f>
        <v>5598.2208998237193</v>
      </c>
      <c r="P15" s="172"/>
      <c r="Q15" s="172">
        <f t="shared" si="2"/>
        <v>676.77910017628074</v>
      </c>
      <c r="R15" s="41">
        <f>'July2025-COLLECTION'!K14</f>
        <v>5598.22</v>
      </c>
      <c r="S15" s="174">
        <f>'July2025-EXPENSE'!R18</f>
        <v>6235.7125713738633</v>
      </c>
      <c r="T15" s="174"/>
      <c r="U15" s="174">
        <f t="shared" si="3"/>
        <v>-637.49257137386303</v>
      </c>
      <c r="V15" s="167">
        <f>'Aug2025-COLLECTION'!K14</f>
        <v>0</v>
      </c>
      <c r="W15" s="172">
        <f>'Aug2025-EXPENSE'!R18</f>
        <v>6252.7737307554835</v>
      </c>
      <c r="X15" s="172"/>
      <c r="Y15" s="172">
        <f t="shared" si="4"/>
        <v>-6252.7737307554835</v>
      </c>
      <c r="Z15" s="41">
        <f>'Sep2025-COLLECTION'!K14</f>
        <v>12506.48</v>
      </c>
      <c r="AA15" s="174">
        <f>'Sep2025-EXPENSE'!R18</f>
        <v>5225.7911289082722</v>
      </c>
      <c r="AB15" s="174"/>
      <c r="AC15" s="174">
        <f t="shared" si="5"/>
        <v>7280.6888710917274</v>
      </c>
      <c r="AD15" s="41">
        <f>'Oct2025-COLLECTION'!K14</f>
        <v>5226</v>
      </c>
      <c r="AE15" s="174">
        <f>'Oct2025-EXPENSE'!R18</f>
        <v>6402.9448299541691</v>
      </c>
      <c r="AF15" s="174"/>
      <c r="AG15" s="174">
        <f t="shared" si="6"/>
        <v>-1176.9448299541691</v>
      </c>
      <c r="AH15" s="41">
        <f>'Nov2025-COLLECTION'!K14</f>
        <v>0</v>
      </c>
      <c r="AI15" s="174">
        <f>'Nov2025-EXPENSE'!R18</f>
        <v>7071.9560102491369</v>
      </c>
      <c r="AJ15" s="174"/>
      <c r="AK15" s="174">
        <f t="shared" si="7"/>
        <v>-7071.9560102491369</v>
      </c>
      <c r="AL15" s="41">
        <f>'Dec2025-COLLECTION'!K14</f>
        <v>13384.67</v>
      </c>
      <c r="AM15" s="174">
        <f>'Dec2025-EXPENSE'!R18</f>
        <v>5145.8688162152366</v>
      </c>
      <c r="AN15" s="174"/>
      <c r="AO15" s="174">
        <f t="shared" si="8"/>
        <v>8238.8011837847625</v>
      </c>
      <c r="AP15" s="7">
        <f>'Jan2026-COLLECTION'!K14</f>
        <v>0</v>
      </c>
      <c r="AQ15" s="10">
        <f>'Jan2026-EXPENSE'!R18</f>
        <v>4968.0131971416658</v>
      </c>
      <c r="AR15" s="10"/>
      <c r="AS15" s="174">
        <f t="shared" si="9"/>
        <v>-4968.0131971416658</v>
      </c>
      <c r="AT15" s="7">
        <f>'Feb2026-COLLECTION'!K14</f>
        <v>5123.2</v>
      </c>
      <c r="AU15" s="10">
        <f>'Feb2026-EXPENSE'!R18</f>
        <v>4751.230589698419</v>
      </c>
      <c r="AV15" s="10"/>
      <c r="AW15" s="174">
        <f t="shared" si="10"/>
        <v>371.96941030158087</v>
      </c>
      <c r="AX15" s="7">
        <f>'Mar2026-COLLECTION'!K14</f>
        <v>9742</v>
      </c>
      <c r="AY15" s="10">
        <f>'Mar2026-EXPENSE'!R18</f>
        <v>4933.6975155746804</v>
      </c>
      <c r="AZ15" s="10"/>
      <c r="BA15" s="174">
        <f t="shared" si="11"/>
        <v>4808.3024844253196</v>
      </c>
      <c r="BB15" s="172">
        <f t="shared" ref="BB15:BD15" si="26">SUM(F15,J15,N15,R15,V15,Z15,AD15,AH15,AL15,AP15,AT15,AX15)</f>
        <v>68011.569999999992</v>
      </c>
      <c r="BC15" s="172">
        <f t="shared" si="26"/>
        <v>68357.850857142446</v>
      </c>
      <c r="BD15" s="172">
        <f t="shared" si="26"/>
        <v>500</v>
      </c>
      <c r="BE15" s="172">
        <f t="shared" si="13"/>
        <v>-846.2808571424539</v>
      </c>
      <c r="BF15" s="172">
        <f t="shared" si="14"/>
        <v>-10592.440857142454</v>
      </c>
      <c r="BG15" s="175">
        <v>-14476.16</v>
      </c>
    </row>
    <row r="16" spans="1:59" ht="16">
      <c r="A16" s="169" t="s">
        <v>61</v>
      </c>
      <c r="B16" s="13"/>
      <c r="C16" s="13" t="s">
        <v>62</v>
      </c>
      <c r="D16" s="170">
        <v>-31252.22</v>
      </c>
      <c r="E16" s="175">
        <v>19238.97</v>
      </c>
      <c r="F16" s="171">
        <f>'Apr2025-COLLECTION'!K15</f>
        <v>5727</v>
      </c>
      <c r="G16" s="172">
        <f>'Apr2025-EXPENSE'!R19</f>
        <v>6196.8277234776533</v>
      </c>
      <c r="H16" s="172"/>
      <c r="I16" s="172">
        <f t="shared" si="0"/>
        <v>-469.82772347765331</v>
      </c>
      <c r="J16" s="173">
        <f>'May2025-COLLECTION'!K15</f>
        <v>6148</v>
      </c>
      <c r="K16" s="174">
        <f>'May2025-EXPENSE'!R19</f>
        <v>4914.1017700496977</v>
      </c>
      <c r="L16" s="174"/>
      <c r="M16" s="174">
        <f t="shared" si="1"/>
        <v>1233.8982299503023</v>
      </c>
      <c r="N16" s="172">
        <f>'June2025-COLLECTION'!K15</f>
        <v>4891</v>
      </c>
      <c r="O16" s="172">
        <f>'June2025-EXPENSE'!R19</f>
        <v>5391.2056936785557</v>
      </c>
      <c r="P16" s="172"/>
      <c r="Q16" s="172">
        <f t="shared" si="2"/>
        <v>-500.20569367855569</v>
      </c>
      <c r="R16" s="41">
        <f>'July2025-COLLECTION'!K15</f>
        <v>5391</v>
      </c>
      <c r="S16" s="174">
        <f>'July2025-EXPENSE'!R19</f>
        <v>5438.8162095047919</v>
      </c>
      <c r="T16" s="174"/>
      <c r="U16" s="174">
        <f t="shared" si="3"/>
        <v>-47.816209504791914</v>
      </c>
      <c r="V16" s="167">
        <f>'Aug2025-COLLECTION'!K15</f>
        <v>5439</v>
      </c>
      <c r="W16" s="172">
        <f>'Aug2025-EXPENSE'!R19</f>
        <v>5882.5458327901551</v>
      </c>
      <c r="X16" s="172"/>
      <c r="Y16" s="172">
        <f t="shared" si="4"/>
        <v>-443.54583279015515</v>
      </c>
      <c r="Z16" s="41">
        <f>'Sep2025-COLLECTION'!K15</f>
        <v>5439</v>
      </c>
      <c r="AA16" s="174">
        <f>'Sep2025-EXPENSE'!R19</f>
        <v>4974.8523776802831</v>
      </c>
      <c r="AB16" s="174"/>
      <c r="AC16" s="174">
        <f t="shared" si="5"/>
        <v>464.1476223197169</v>
      </c>
      <c r="AD16" s="41">
        <f>'Oct2025-COLLECTION'!K15</f>
        <v>4975</v>
      </c>
      <c r="AE16" s="174">
        <f>'Oct2025-EXPENSE'!R19</f>
        <v>6442.6326705531073</v>
      </c>
      <c r="AF16" s="174"/>
      <c r="AG16" s="174">
        <f t="shared" si="6"/>
        <v>-1467.6326705531073</v>
      </c>
      <c r="AH16" s="41">
        <f>'Nov2025-COLLECTION'!K15</f>
        <v>6231</v>
      </c>
      <c r="AI16" s="174">
        <f>'Nov2025-EXPENSE'!R19</f>
        <v>7102.4602907512881</v>
      </c>
      <c r="AJ16" s="174"/>
      <c r="AK16" s="174">
        <f t="shared" si="7"/>
        <v>-871.46029075128808</v>
      </c>
      <c r="AL16" s="41">
        <f>'Dec2025-COLLECTION'!K15</f>
        <v>0</v>
      </c>
      <c r="AM16" s="174">
        <f>'Dec2025-EXPENSE'!R19</f>
        <v>5657.0944462238749</v>
      </c>
      <c r="AN16" s="174"/>
      <c r="AO16" s="174">
        <f t="shared" si="8"/>
        <v>-5657.0944462238749</v>
      </c>
      <c r="AP16" s="7">
        <f>'Jan2026-COLLECTION'!K15</f>
        <v>5438</v>
      </c>
      <c r="AQ16" s="10">
        <f>'Jan2026-EXPENSE'!R19</f>
        <v>5455.2631779050644</v>
      </c>
      <c r="AR16" s="10"/>
      <c r="AS16" s="174">
        <f t="shared" si="9"/>
        <v>-17.263177905064367</v>
      </c>
      <c r="AT16" s="7">
        <f>'Feb2026-COLLECTION'!K15</f>
        <v>5478</v>
      </c>
      <c r="AU16" s="10">
        <f>'Feb2026-EXPENSE'!R19</f>
        <v>5270.0106043687083</v>
      </c>
      <c r="AV16" s="10"/>
      <c r="AW16" s="174">
        <f t="shared" si="10"/>
        <v>207.9893956312917</v>
      </c>
      <c r="AX16" s="7">
        <f>'Mar2026-COLLECTION'!K15</f>
        <v>0</v>
      </c>
      <c r="AY16" s="10">
        <f>'Mar2026-EXPENSE'!R19</f>
        <v>5305.4476733731499</v>
      </c>
      <c r="AZ16" s="10"/>
      <c r="BA16" s="174">
        <f t="shared" si="11"/>
        <v>-5305.4476733731499</v>
      </c>
      <c r="BB16" s="172">
        <f t="shared" ref="BB16:BD16" si="27">SUM(F16,J16,N16,R16,V16,Z16,AD16,AH16,AL16,AP16,AT16,AX16)</f>
        <v>55157</v>
      </c>
      <c r="BC16" s="172">
        <f t="shared" si="27"/>
        <v>68031.258470356348</v>
      </c>
      <c r="BD16" s="172">
        <f t="shared" si="27"/>
        <v>0</v>
      </c>
      <c r="BE16" s="172">
        <f t="shared" si="13"/>
        <v>-12874.258470356348</v>
      </c>
      <c r="BF16" s="172">
        <f t="shared" si="14"/>
        <v>6364.7115296436532</v>
      </c>
      <c r="BG16" s="175">
        <v>13511.970000000001</v>
      </c>
    </row>
    <row r="17" spans="1:59" ht="16">
      <c r="A17" s="169" t="s">
        <v>63</v>
      </c>
      <c r="B17" s="13"/>
      <c r="C17" s="13" t="s">
        <v>64</v>
      </c>
      <c r="D17" s="170">
        <v>9544.0499999999993</v>
      </c>
      <c r="E17" s="175">
        <v>18733</v>
      </c>
      <c r="F17" s="171">
        <f>'Apr2025-COLLECTION'!K16</f>
        <v>5709</v>
      </c>
      <c r="G17" s="172">
        <f>'Apr2025-EXPENSE'!R20</f>
        <v>6504.5924287517901</v>
      </c>
      <c r="H17" s="172"/>
      <c r="I17" s="172">
        <f t="shared" si="0"/>
        <v>-795.59242875179007</v>
      </c>
      <c r="J17" s="173">
        <f>'May2025-COLLECTION'!K16</f>
        <v>6465</v>
      </c>
      <c r="K17" s="174">
        <f>'May2025-EXPENSE'!R20</f>
        <v>5488.3475727201248</v>
      </c>
      <c r="L17" s="174"/>
      <c r="M17" s="174">
        <f t="shared" si="1"/>
        <v>976.65242727987516</v>
      </c>
      <c r="N17" s="172">
        <f>'June2025-COLLECTION'!K16</f>
        <v>5466</v>
      </c>
      <c r="O17" s="172">
        <f>'June2025-EXPENSE'!R20</f>
        <v>5711.6738966361772</v>
      </c>
      <c r="P17" s="172"/>
      <c r="Q17" s="172">
        <f t="shared" si="2"/>
        <v>-245.67389663617723</v>
      </c>
      <c r="R17" s="41">
        <f>'July2025-COLLECTION'!K16</f>
        <v>5712</v>
      </c>
      <c r="S17" s="174">
        <f>'July2025-EXPENSE'!R20</f>
        <v>6486.5364017318761</v>
      </c>
      <c r="T17" s="174"/>
      <c r="U17" s="174">
        <f t="shared" si="3"/>
        <v>-774.53640173187614</v>
      </c>
      <c r="V17" s="167">
        <f>'Aug2025-COLLECTION'!K16</f>
        <v>6487</v>
      </c>
      <c r="W17" s="172">
        <f>'Aug2025-EXPENSE'!R20</f>
        <v>6873.5386230693275</v>
      </c>
      <c r="X17" s="172"/>
      <c r="Y17" s="172">
        <f t="shared" si="4"/>
        <v>-386.53862306932751</v>
      </c>
      <c r="Z17" s="41">
        <f>'Sep2025-COLLECTION'!K16</f>
        <v>6487</v>
      </c>
      <c r="AA17" s="174">
        <f>'Sep2025-EXPENSE'!R20</f>
        <v>5910.584089611315</v>
      </c>
      <c r="AB17" s="174"/>
      <c r="AC17" s="174">
        <f t="shared" si="5"/>
        <v>576.41591038868501</v>
      </c>
      <c r="AD17" s="41">
        <f>'Oct2025-COLLECTION'!K16</f>
        <v>5911</v>
      </c>
      <c r="AE17" s="174">
        <f>'Oct2025-EXPENSE'!R20</f>
        <v>6982.398687621383</v>
      </c>
      <c r="AF17" s="174"/>
      <c r="AG17" s="174">
        <f t="shared" si="6"/>
        <v>-1071.398687621383</v>
      </c>
      <c r="AH17" s="41">
        <f>'Nov2025-COLLECTION'!K16</f>
        <v>6981</v>
      </c>
      <c r="AI17" s="174">
        <f>'Nov2025-EXPENSE'!R20</f>
        <v>7556.7140283589997</v>
      </c>
      <c r="AJ17" s="174"/>
      <c r="AK17" s="174">
        <f t="shared" si="7"/>
        <v>-575.71402835899971</v>
      </c>
      <c r="AL17" s="41">
        <f>'Dec2025-COLLECTION'!K16</f>
        <v>7638.43</v>
      </c>
      <c r="AM17" s="174">
        <f>'Dec2025-EXPENSE'!R20</f>
        <v>6043.3413757204962</v>
      </c>
      <c r="AN17" s="174"/>
      <c r="AO17" s="174">
        <f t="shared" si="8"/>
        <v>1595.0886242795041</v>
      </c>
      <c r="AP17" s="7">
        <f>'Jan2026-COLLECTION'!K16</f>
        <v>6020</v>
      </c>
      <c r="AQ17" s="10">
        <f>'Jan2026-EXPENSE'!R20</f>
        <v>5888.9292667193204</v>
      </c>
      <c r="AR17" s="10"/>
      <c r="AS17" s="174">
        <f t="shared" si="9"/>
        <v>131.07073328067963</v>
      </c>
      <c r="AT17" s="7">
        <f>'Feb2026-COLLECTION'!K16</f>
        <v>5912</v>
      </c>
      <c r="AU17" s="10">
        <f>'Feb2026-EXPENSE'!R20</f>
        <v>5520.0233833661696</v>
      </c>
      <c r="AV17" s="10"/>
      <c r="AW17" s="174">
        <f t="shared" si="10"/>
        <v>391.97661663383042</v>
      </c>
      <c r="AX17" s="7">
        <f>'Mar2026-COLLECTION'!K16</f>
        <v>5520</v>
      </c>
      <c r="AY17" s="10">
        <f>'Mar2026-EXPENSE'!R20</f>
        <v>5764.1512380060203</v>
      </c>
      <c r="AZ17" s="10"/>
      <c r="BA17" s="174">
        <f t="shared" si="11"/>
        <v>-244.15123800602032</v>
      </c>
      <c r="BB17" s="172">
        <f t="shared" ref="BB17:BD17" si="28">SUM(F17,J17,N17,R17,V17,Z17,AD17,AH17,AL17,AP17,AT17,AX17)</f>
        <v>74308.429999999993</v>
      </c>
      <c r="BC17" s="172">
        <f t="shared" si="28"/>
        <v>74730.830992312985</v>
      </c>
      <c r="BD17" s="172">
        <f t="shared" si="28"/>
        <v>0</v>
      </c>
      <c r="BE17" s="172">
        <f t="shared" si="13"/>
        <v>-422.40099231299246</v>
      </c>
      <c r="BF17" s="172">
        <f t="shared" si="14"/>
        <v>18310.599007687008</v>
      </c>
      <c r="BG17" s="175">
        <v>13024</v>
      </c>
    </row>
    <row r="18" spans="1:59" ht="16">
      <c r="A18" s="169" t="s">
        <v>65</v>
      </c>
      <c r="B18" s="13"/>
      <c r="C18" s="13" t="s">
        <v>66</v>
      </c>
      <c r="D18" s="170">
        <v>23774.75</v>
      </c>
      <c r="E18" s="175">
        <v>52406.48</v>
      </c>
      <c r="F18" s="171">
        <f>'Apr2025-COLLECTION'!K17</f>
        <v>0</v>
      </c>
      <c r="G18" s="172">
        <f>'Apr2025-EXPENSE'!R21</f>
        <v>6525.0390521512418</v>
      </c>
      <c r="H18" s="172"/>
      <c r="I18" s="172">
        <f t="shared" si="0"/>
        <v>-6525.0390521512418</v>
      </c>
      <c r="J18" s="173">
        <f>'May2025-COLLECTION'!K17</f>
        <v>0</v>
      </c>
      <c r="K18" s="174">
        <f>'May2025-EXPENSE'!R21</f>
        <v>5395.8357859274129</v>
      </c>
      <c r="L18" s="174"/>
      <c r="M18" s="174">
        <f t="shared" si="1"/>
        <v>-5395.8357859274129</v>
      </c>
      <c r="N18" s="172">
        <f>'June2025-COLLECTION'!K17</f>
        <v>0</v>
      </c>
      <c r="O18" s="172">
        <f>'June2025-EXPENSE'!R21</f>
        <v>5474.6821153599576</v>
      </c>
      <c r="P18" s="172"/>
      <c r="Q18" s="172">
        <f t="shared" si="2"/>
        <v>-5474.6821153599576</v>
      </c>
      <c r="R18" s="41">
        <f>'July2025-COLLECTION'!K17</f>
        <v>0</v>
      </c>
      <c r="S18" s="174">
        <f>'July2025-EXPENSE'!R21</f>
        <v>6265.0701850422265</v>
      </c>
      <c r="T18" s="174"/>
      <c r="U18" s="174">
        <f t="shared" si="3"/>
        <v>-6265.0701850422265</v>
      </c>
      <c r="V18" s="167">
        <f>'Aug2025-COLLECTION'!K17</f>
        <v>0</v>
      </c>
      <c r="W18" s="172">
        <f>'Aug2025-EXPENSE'!R21</f>
        <v>7143.8497706433427</v>
      </c>
      <c r="X18" s="172"/>
      <c r="Y18" s="172">
        <f t="shared" si="4"/>
        <v>-7143.8497706433427</v>
      </c>
      <c r="Z18" s="41">
        <f>'Sep2025-COLLECTION'!K17</f>
        <v>0</v>
      </c>
      <c r="AA18" s="174">
        <f>'Sep2025-EXPENSE'!R21</f>
        <v>5924.5843620343994</v>
      </c>
      <c r="AB18" s="174"/>
      <c r="AC18" s="174">
        <f t="shared" si="5"/>
        <v>-5924.5843620343994</v>
      </c>
      <c r="AD18" s="41">
        <f>'Oct2025-COLLECTION'!K17</f>
        <v>0</v>
      </c>
      <c r="AE18" s="174">
        <f>'Oct2025-EXPENSE'!R21</f>
        <v>7483.5784459076422</v>
      </c>
      <c r="AF18" s="174"/>
      <c r="AG18" s="174">
        <f t="shared" si="6"/>
        <v>-7483.5784459076422</v>
      </c>
      <c r="AH18" s="41">
        <f>'Nov2025-COLLECTION'!K17</f>
        <v>0</v>
      </c>
      <c r="AI18" s="174">
        <f>'Nov2025-EXPENSE'!R21</f>
        <v>7797.611916880056</v>
      </c>
      <c r="AJ18" s="174"/>
      <c r="AK18" s="174">
        <f t="shared" si="7"/>
        <v>-7797.611916880056</v>
      </c>
      <c r="AL18" s="41">
        <f>'Dec2025-COLLECTION'!K17</f>
        <v>7879.33</v>
      </c>
      <c r="AM18" s="174">
        <f>'Dec2025-EXPENSE'!R21</f>
        <v>6641.7663252969314</v>
      </c>
      <c r="AN18" s="174"/>
      <c r="AO18" s="174">
        <f t="shared" si="8"/>
        <v>1237.5636747030685</v>
      </c>
      <c r="AP18" s="7">
        <f>'Jan2026-COLLECTION'!K17</f>
        <v>6624.7</v>
      </c>
      <c r="AQ18" s="10">
        <f>'Jan2026-EXPENSE'!R21</f>
        <v>6039.747690142498</v>
      </c>
      <c r="AR18" s="10"/>
      <c r="AS18" s="174">
        <f t="shared" si="9"/>
        <v>584.95230985750186</v>
      </c>
      <c r="AT18" s="7">
        <f>'Feb2026-COLLECTION'!K17</f>
        <v>0</v>
      </c>
      <c r="AU18" s="10">
        <f>'Feb2026-EXPENSE'!R21</f>
        <v>5903.1210755559023</v>
      </c>
      <c r="AV18" s="10"/>
      <c r="AW18" s="174">
        <f t="shared" si="10"/>
        <v>-5903.1210755559023</v>
      </c>
      <c r="AX18" s="7">
        <f>'Mar2026-COLLECTION'!K17</f>
        <v>6057</v>
      </c>
      <c r="AY18" s="10">
        <f>'Mar2026-EXPENSE'!R21</f>
        <v>6071.9209458139348</v>
      </c>
      <c r="AZ18" s="10"/>
      <c r="BA18" s="174">
        <f t="shared" si="11"/>
        <v>-14.92094581393485</v>
      </c>
      <c r="BB18" s="172">
        <f t="shared" ref="BB18:BD18" si="29">SUM(F18,J18,N18,R18,V18,Z18,AD18,AH18,AL18,AP18,AT18,AX18)</f>
        <v>20561.03</v>
      </c>
      <c r="BC18" s="172">
        <f t="shared" si="29"/>
        <v>76666.807670755545</v>
      </c>
      <c r="BD18" s="172">
        <f t="shared" si="29"/>
        <v>0</v>
      </c>
      <c r="BE18" s="172">
        <f t="shared" si="13"/>
        <v>-56105.777670755546</v>
      </c>
      <c r="BF18" s="172">
        <f t="shared" si="14"/>
        <v>-3699.2976707555426</v>
      </c>
      <c r="BG18" s="175">
        <v>52406.48</v>
      </c>
    </row>
    <row r="19" spans="1:59" ht="16">
      <c r="A19" s="169" t="s">
        <v>67</v>
      </c>
      <c r="B19" s="13" t="s">
        <v>338</v>
      </c>
      <c r="C19" s="13" t="s">
        <v>68</v>
      </c>
      <c r="D19" s="170">
        <v>19317.669999999998</v>
      </c>
      <c r="E19" s="175">
        <v>508.59000000000015</v>
      </c>
      <c r="F19" s="171">
        <f>'Apr2025-COLLECTION'!K18</f>
        <v>5139</v>
      </c>
      <c r="G19" s="172">
        <f>'Apr2025-EXPENSE'!R22</f>
        <v>6324.8865420022075</v>
      </c>
      <c r="H19" s="172"/>
      <c r="I19" s="172">
        <f t="shared" si="0"/>
        <v>-1185.8865420022075</v>
      </c>
      <c r="J19" s="173">
        <f>'May2025-COLLECTION'!K18</f>
        <v>0</v>
      </c>
      <c r="K19" s="174">
        <f>'May2025-EXPENSE'!R22</f>
        <v>5006.4119862660955</v>
      </c>
      <c r="L19" s="174"/>
      <c r="M19" s="174">
        <f t="shared" si="1"/>
        <v>-5006.4119862660955</v>
      </c>
      <c r="N19" s="172">
        <f>'June2025-COLLECTION'!K18</f>
        <v>11295</v>
      </c>
      <c r="O19" s="172">
        <f>'June2025-EXPENSE'!R22</f>
        <v>5172.2731693391606</v>
      </c>
      <c r="P19" s="172"/>
      <c r="Q19" s="172">
        <f t="shared" si="2"/>
        <v>6122.7268306608394</v>
      </c>
      <c r="R19" s="41">
        <f>'July2025-COLLECTION'!K18</f>
        <v>4700</v>
      </c>
      <c r="S19" s="174">
        <f>'July2025-EXPENSE'!R22</f>
        <v>6041.7462244030103</v>
      </c>
      <c r="T19" s="174"/>
      <c r="U19" s="174">
        <f t="shared" si="3"/>
        <v>-1341.7462244030103</v>
      </c>
      <c r="V19" s="167">
        <f>'Aug2025-COLLECTION'!K18</f>
        <v>6042</v>
      </c>
      <c r="W19" s="172">
        <f>'Aug2025-EXPENSE'!R22</f>
        <v>6533.4740469707749</v>
      </c>
      <c r="X19" s="172"/>
      <c r="Y19" s="172">
        <f t="shared" si="4"/>
        <v>-491.47404697077491</v>
      </c>
      <c r="Z19" s="41">
        <f>'Sep2025-COLLECTION'!K18</f>
        <v>6533</v>
      </c>
      <c r="AA19" s="174">
        <f>'Sep2025-EXPENSE'!R22</f>
        <v>5603.4347684939157</v>
      </c>
      <c r="AB19" s="174"/>
      <c r="AC19" s="174">
        <f t="shared" si="5"/>
        <v>929.56523150608427</v>
      </c>
      <c r="AD19" s="41">
        <f>'Oct2025-COLLECTION'!K18</f>
        <v>5603</v>
      </c>
      <c r="AE19" s="174">
        <f>'Oct2025-EXPENSE'!R22</f>
        <v>7205.1260060428049</v>
      </c>
      <c r="AF19" s="174"/>
      <c r="AG19" s="174">
        <f t="shared" si="6"/>
        <v>-1602.1260060428049</v>
      </c>
      <c r="AH19" s="41">
        <f>'Nov2025-COLLECTION'!K18</f>
        <v>0</v>
      </c>
      <c r="AI19" s="174">
        <f>'Nov2025-EXPENSE'!R22</f>
        <v>7153.9231787917988</v>
      </c>
      <c r="AJ19" s="174"/>
      <c r="AK19" s="174">
        <f t="shared" si="7"/>
        <v>-7153.9231787917988</v>
      </c>
      <c r="AL19" s="41">
        <f>'Dec2025-COLLECTION'!K18</f>
        <v>6114</v>
      </c>
      <c r="AM19" s="174">
        <f>'Dec2025-EXPENSE'!R22</f>
        <v>5557.7227522915291</v>
      </c>
      <c r="AN19" s="174"/>
      <c r="AO19" s="174">
        <f t="shared" si="8"/>
        <v>556.2772477084709</v>
      </c>
      <c r="AP19" s="7">
        <f>'Jan2026-COLLECTION'!K18</f>
        <v>7235</v>
      </c>
      <c r="AQ19" s="10">
        <f>'Jan2026-EXPENSE'!R22</f>
        <v>5447.7211481591821</v>
      </c>
      <c r="AR19" s="10"/>
      <c r="AS19" s="174">
        <f t="shared" si="9"/>
        <v>1787.2788518408179</v>
      </c>
      <c r="AT19" s="7">
        <f>'Feb2026-COLLECTION'!K18</f>
        <v>5541</v>
      </c>
      <c r="AU19" s="10">
        <f>'Feb2026-EXPENSE'!R22</f>
        <v>5468.3151757483538</v>
      </c>
      <c r="AV19" s="10"/>
      <c r="AW19" s="174">
        <f t="shared" si="10"/>
        <v>72.684824251646205</v>
      </c>
      <c r="AX19" s="7">
        <f>'Mar2026-COLLECTION'!K18</f>
        <v>12874</v>
      </c>
      <c r="AY19" s="10">
        <f>'Mar2026-EXPENSE'!R22</f>
        <v>7334.1912902983604</v>
      </c>
      <c r="AZ19" s="10"/>
      <c r="BA19" s="174">
        <f t="shared" si="11"/>
        <v>5539.8087097016396</v>
      </c>
      <c r="BB19" s="172">
        <f t="shared" ref="BB19:BD19" si="30">SUM(F19,J19,N19,R19,V19,Z19,AD19,AH19,AL19,AP19,AT19,AX19)</f>
        <v>71076</v>
      </c>
      <c r="BC19" s="172">
        <f t="shared" si="30"/>
        <v>72849.226288807185</v>
      </c>
      <c r="BD19" s="172">
        <f t="shared" si="30"/>
        <v>0</v>
      </c>
      <c r="BE19" s="172">
        <f t="shared" si="13"/>
        <v>-1773.2262888071855</v>
      </c>
      <c r="BF19" s="172">
        <f t="shared" si="14"/>
        <v>-1264.6362888071853</v>
      </c>
      <c r="BG19" s="175">
        <v>-4630.41</v>
      </c>
    </row>
    <row r="20" spans="1:59" ht="16">
      <c r="A20" s="169" t="s">
        <v>69</v>
      </c>
      <c r="B20" s="13"/>
      <c r="C20" s="13" t="s">
        <v>70</v>
      </c>
      <c r="D20" s="170">
        <v>-8827.18</v>
      </c>
      <c r="E20" s="175">
        <v>3602.75</v>
      </c>
      <c r="F20" s="171">
        <f>'Apr2025-COLLECTION'!K19</f>
        <v>5645</v>
      </c>
      <c r="G20" s="172">
        <f>'Apr2025-EXPENSE'!R23</f>
        <v>7311.2141480064547</v>
      </c>
      <c r="H20" s="172"/>
      <c r="I20" s="172">
        <f t="shared" si="0"/>
        <v>-1666.2141480064547</v>
      </c>
      <c r="J20" s="173">
        <f>'May2025-COLLECTION'!K19</f>
        <v>0</v>
      </c>
      <c r="K20" s="174">
        <f>'May2025-EXPENSE'!R23</f>
        <v>5182.056457146411</v>
      </c>
      <c r="L20" s="174"/>
      <c r="M20" s="174">
        <f t="shared" si="1"/>
        <v>-5182.056457146411</v>
      </c>
      <c r="N20" s="172">
        <f>'June2025-COLLECTION'!K19</f>
        <v>12477</v>
      </c>
      <c r="O20" s="172">
        <f>'June2025-EXPENSE'!R23</f>
        <v>6087.9528327285634</v>
      </c>
      <c r="P20" s="172"/>
      <c r="Q20" s="172">
        <f t="shared" si="2"/>
        <v>6389.0471672714366</v>
      </c>
      <c r="R20" s="41">
        <f>'July2025-COLLECTION'!K19</f>
        <v>6087.95</v>
      </c>
      <c r="S20" s="174">
        <f>'July2025-EXPENSE'!R23</f>
        <v>6478.8755271031769</v>
      </c>
      <c r="T20" s="174"/>
      <c r="U20" s="174">
        <f t="shared" si="3"/>
        <v>-390.92552710317705</v>
      </c>
      <c r="V20" s="167">
        <f>'Aug2025-COLLECTION'!K19</f>
        <v>6478</v>
      </c>
      <c r="W20" s="172">
        <f>'Aug2025-EXPENSE'!R23</f>
        <v>6772.9161325095347</v>
      </c>
      <c r="X20" s="172"/>
      <c r="Y20" s="172">
        <f t="shared" si="4"/>
        <v>-294.91613250953469</v>
      </c>
      <c r="Z20" s="41">
        <f>'Sep2025-COLLECTION'!K19</f>
        <v>6772.92</v>
      </c>
      <c r="AA20" s="174">
        <f>'Sep2025-EXPENSE'!R23</f>
        <v>5693.2330106116578</v>
      </c>
      <c r="AB20" s="174"/>
      <c r="AC20" s="174">
        <f t="shared" si="5"/>
        <v>1079.6869893883422</v>
      </c>
      <c r="AD20" s="41">
        <f>'Oct2025-COLLECTION'!K19</f>
        <v>7311.21</v>
      </c>
      <c r="AE20" s="174">
        <f>'Oct2025-EXPENSE'!R23</f>
        <v>7449.9706327430195</v>
      </c>
      <c r="AF20" s="174"/>
      <c r="AG20" s="174">
        <f t="shared" si="6"/>
        <v>-138.76063274301941</v>
      </c>
      <c r="AH20" s="41">
        <f>'Nov2025-COLLECTION'!K19</f>
        <v>6231.38</v>
      </c>
      <c r="AI20" s="174">
        <f>'Nov2025-EXPENSE'!R23</f>
        <v>8138.6858574600883</v>
      </c>
      <c r="AJ20" s="174"/>
      <c r="AK20" s="174">
        <f t="shared" si="7"/>
        <v>-1907.3058574600882</v>
      </c>
      <c r="AL20" s="41">
        <f>'Dec2025-COLLECTION'!K19</f>
        <v>8220</v>
      </c>
      <c r="AM20" s="174">
        <f>'Dec2025-EXPENSE'!R23</f>
        <v>5650.3504180789269</v>
      </c>
      <c r="AN20" s="174"/>
      <c r="AO20" s="174">
        <f t="shared" si="8"/>
        <v>2569.6495819210731</v>
      </c>
      <c r="AP20" s="7">
        <f>'Jan2026-COLLECTION'!K19</f>
        <v>5627.68</v>
      </c>
      <c r="AQ20" s="10">
        <f>'Jan2026-EXPENSE'!R23</f>
        <v>5794.0889757713858</v>
      </c>
      <c r="AR20" s="10"/>
      <c r="AS20" s="174">
        <f t="shared" si="9"/>
        <v>-166.40897577138549</v>
      </c>
      <c r="AT20" s="7">
        <f>'Feb2026-COLLECTION'!K19</f>
        <v>5817</v>
      </c>
      <c r="AU20" s="10">
        <f>'Feb2026-EXPENSE'!R23</f>
        <v>5984.5818562248569</v>
      </c>
      <c r="AV20" s="10"/>
      <c r="AW20" s="174">
        <f t="shared" si="10"/>
        <v>-167.58185622485689</v>
      </c>
      <c r="AX20" s="7">
        <f>'Mar2026-COLLECTION'!K19</f>
        <v>5984.58</v>
      </c>
      <c r="AY20" s="10">
        <f>'Mar2026-EXPENSE'!R23</f>
        <v>6120.5115529579434</v>
      </c>
      <c r="AZ20" s="10"/>
      <c r="BA20" s="174">
        <f t="shared" si="11"/>
        <v>-135.9315529579435</v>
      </c>
      <c r="BB20" s="172">
        <f t="shared" ref="BB20:BD20" si="31">SUM(F20,J20,N20,R20,V20,Z20,AD20,AH20,AL20,AP20,AT20,AX20)</f>
        <v>76652.72</v>
      </c>
      <c r="BC20" s="172">
        <f t="shared" si="31"/>
        <v>76664.437401342017</v>
      </c>
      <c r="BD20" s="172">
        <f t="shared" si="31"/>
        <v>0</v>
      </c>
      <c r="BE20" s="172">
        <f t="shared" si="13"/>
        <v>-11.717401342015364</v>
      </c>
      <c r="BF20" s="172">
        <f t="shared" si="14"/>
        <v>3591.0325986579846</v>
      </c>
      <c r="BG20" s="175">
        <v>-2042.25</v>
      </c>
    </row>
    <row r="21" spans="1:59" ht="15.75" customHeight="1">
      <c r="A21" s="169" t="s">
        <v>71</v>
      </c>
      <c r="B21" s="13"/>
      <c r="C21" s="13" t="s">
        <v>72</v>
      </c>
      <c r="D21" s="170">
        <v>10325.59</v>
      </c>
      <c r="E21" s="175">
        <v>15251</v>
      </c>
      <c r="F21" s="171">
        <f>'Apr2025-COLLECTION'!K20</f>
        <v>5364</v>
      </c>
      <c r="G21" s="172">
        <f>'Apr2025-EXPENSE'!R24</f>
        <v>6559.26621859022</v>
      </c>
      <c r="H21" s="172"/>
      <c r="I21" s="172">
        <f t="shared" si="0"/>
        <v>-1195.26621859022</v>
      </c>
      <c r="J21" s="173">
        <f>'May2025-COLLECTION'!K20</f>
        <v>6545</v>
      </c>
      <c r="K21" s="174">
        <f>'May2025-EXPENSE'!R24</f>
        <v>5171.8020678130106</v>
      </c>
      <c r="L21" s="174"/>
      <c r="M21" s="174">
        <f t="shared" si="1"/>
        <v>1373.1979321869894</v>
      </c>
      <c r="N21" s="172">
        <f>'June2025-COLLECTION'!K20</f>
        <v>5150</v>
      </c>
      <c r="O21" s="172">
        <f>'June2025-EXPENSE'!R24</f>
        <v>5119.190748807363</v>
      </c>
      <c r="P21" s="172"/>
      <c r="Q21" s="172">
        <f t="shared" si="2"/>
        <v>30.809251192637021</v>
      </c>
      <c r="R21" s="41">
        <f>'July2025-COLLECTION'!K20</f>
        <v>5120</v>
      </c>
      <c r="S21" s="174">
        <f>'July2025-EXPENSE'!R24</f>
        <v>6557.6904439611117</v>
      </c>
      <c r="T21" s="174"/>
      <c r="U21" s="174">
        <f t="shared" si="3"/>
        <v>-1437.6904439611117</v>
      </c>
      <c r="V21" s="167">
        <f>'Aug2025-COLLECTION'!K20</f>
        <v>6558</v>
      </c>
      <c r="W21" s="172">
        <f>'Aug2025-EXPENSE'!R24</f>
        <v>6768.8691969281717</v>
      </c>
      <c r="X21" s="172"/>
      <c r="Y21" s="172">
        <f t="shared" si="4"/>
        <v>-210.86919692817173</v>
      </c>
      <c r="Z21" s="41">
        <f>'Sep2025-COLLECTION'!K20</f>
        <v>6558</v>
      </c>
      <c r="AA21" s="174">
        <f>'Sep2025-EXPENSE'!R24</f>
        <v>5741.0646394373416</v>
      </c>
      <c r="AB21" s="174"/>
      <c r="AC21" s="174">
        <f t="shared" si="5"/>
        <v>816.93536056265839</v>
      </c>
      <c r="AD21" s="41">
        <f>'Oct2025-COLLECTION'!K20</f>
        <v>5742</v>
      </c>
      <c r="AE21" s="174">
        <f>'Oct2025-EXPENSE'!R24</f>
        <v>7976.4291931423122</v>
      </c>
      <c r="AF21" s="174"/>
      <c r="AG21" s="174">
        <f t="shared" si="6"/>
        <v>-2234.4291931423122</v>
      </c>
      <c r="AH21" s="41">
        <f>'Nov2025-COLLECTION'!K20</f>
        <v>6731</v>
      </c>
      <c r="AI21" s="174">
        <f>'Nov2025-EXPENSE'!R24</f>
        <v>7286.5996220999896</v>
      </c>
      <c r="AJ21" s="174"/>
      <c r="AK21" s="174">
        <f t="shared" si="7"/>
        <v>-555.59962209998957</v>
      </c>
      <c r="AL21" s="41">
        <f>'Dec2025-COLLECTION'!K20</f>
        <v>7369</v>
      </c>
      <c r="AM21" s="174">
        <f>'Dec2025-EXPENSE'!R24</f>
        <v>5820.7432410698129</v>
      </c>
      <c r="AN21" s="174"/>
      <c r="AO21" s="174">
        <f t="shared" si="8"/>
        <v>1548.2567589301871</v>
      </c>
      <c r="AP21" s="7">
        <f>'Jan2026-COLLECTION'!K20</f>
        <v>5799</v>
      </c>
      <c r="AQ21" s="10">
        <f>'Jan2026-EXPENSE'!R24</f>
        <v>5764.3224854779482</v>
      </c>
      <c r="AR21" s="10"/>
      <c r="AS21" s="174">
        <f t="shared" si="9"/>
        <v>34.677514522051752</v>
      </c>
      <c r="AT21" s="7">
        <f>'Feb2026-COLLECTION'!K20</f>
        <v>5787</v>
      </c>
      <c r="AU21" s="10">
        <f>'Feb2026-EXPENSE'!R24</f>
        <v>5355.0232683551931</v>
      </c>
      <c r="AV21" s="10"/>
      <c r="AW21" s="174">
        <f t="shared" si="10"/>
        <v>431.97673164480693</v>
      </c>
      <c r="AX21" s="7">
        <f>'Mar2026-COLLECTION'!K20</f>
        <v>5355</v>
      </c>
      <c r="AY21" s="10">
        <f>'Mar2026-EXPENSE'!R24</f>
        <v>5796.4409513887131</v>
      </c>
      <c r="AZ21" s="10"/>
      <c r="BA21" s="174">
        <f t="shared" si="11"/>
        <v>-441.44095138871307</v>
      </c>
      <c r="BB21" s="172">
        <f t="shared" ref="BB21:BD21" si="32">SUM(F21,J21,N21,R21,V21,Z21,AD21,AH21,AL21,AP21,AT21,AX21)</f>
        <v>72078</v>
      </c>
      <c r="BC21" s="172">
        <f t="shared" si="32"/>
        <v>73917.442077071188</v>
      </c>
      <c r="BD21" s="172">
        <f t="shared" si="32"/>
        <v>0</v>
      </c>
      <c r="BE21" s="172">
        <f t="shared" si="13"/>
        <v>-1839.4420770711877</v>
      </c>
      <c r="BF21" s="172">
        <f t="shared" si="14"/>
        <v>13411.557922928812</v>
      </c>
      <c r="BG21" s="175">
        <v>9887</v>
      </c>
    </row>
    <row r="22" spans="1:59" ht="15.75" customHeight="1">
      <c r="A22" s="169" t="s">
        <v>73</v>
      </c>
      <c r="B22" s="13"/>
      <c r="C22" s="13" t="s">
        <v>74</v>
      </c>
      <c r="D22" s="170">
        <v>-16432.39</v>
      </c>
      <c r="E22" s="175">
        <v>31503</v>
      </c>
      <c r="F22" s="171">
        <f>'Apr2025-COLLECTION'!K21</f>
        <v>5441</v>
      </c>
      <c r="G22" s="172">
        <f>'Apr2025-EXPENSE'!R25</f>
        <v>6911.9379249849189</v>
      </c>
      <c r="H22" s="172"/>
      <c r="I22" s="172">
        <f t="shared" si="0"/>
        <v>-1470.9379249849189</v>
      </c>
      <c r="J22" s="173">
        <f>'May2025-COLLECTION'!K21</f>
        <v>6908</v>
      </c>
      <c r="K22" s="174">
        <f>'May2025-EXPENSE'!R25</f>
        <v>5128.9863474209451</v>
      </c>
      <c r="L22" s="174"/>
      <c r="M22" s="174">
        <f t="shared" si="1"/>
        <v>1779.0136525790549</v>
      </c>
      <c r="N22" s="172">
        <f>'June2025-COLLECTION'!K21</f>
        <v>5107</v>
      </c>
      <c r="O22" s="172">
        <f>'June2025-EXPENSE'!R25</f>
        <v>5139.9254512163097</v>
      </c>
      <c r="P22" s="172"/>
      <c r="Q22" s="172">
        <f t="shared" si="2"/>
        <v>-32.925451216309739</v>
      </c>
      <c r="R22" s="41">
        <f>'July2025-COLLECTION'!K21</f>
        <v>5140</v>
      </c>
      <c r="S22" s="174">
        <f>'July2025-EXPENSE'!R25</f>
        <v>7081.1693825884686</v>
      </c>
      <c r="T22" s="174"/>
      <c r="U22" s="174">
        <f t="shared" si="3"/>
        <v>-1941.1693825884686</v>
      </c>
      <c r="V22" s="167">
        <f>'Aug2025-COLLECTION'!K21</f>
        <v>7082</v>
      </c>
      <c r="W22" s="172">
        <f>'Aug2025-EXPENSE'!R25</f>
        <v>7397.3894229875086</v>
      </c>
      <c r="X22" s="172"/>
      <c r="Y22" s="172">
        <f t="shared" si="4"/>
        <v>-315.38942298750862</v>
      </c>
      <c r="Z22" s="41">
        <f>'Sep2025-COLLECTION'!K21</f>
        <v>0</v>
      </c>
      <c r="AA22" s="174">
        <f>'Sep2025-EXPENSE'!R25</f>
        <v>6286.8337683445652</v>
      </c>
      <c r="AB22" s="174"/>
      <c r="AC22" s="174">
        <f t="shared" si="5"/>
        <v>-6286.8337683445652</v>
      </c>
      <c r="AD22" s="41">
        <f>'Oct2025-COLLECTION'!K21</f>
        <v>6287</v>
      </c>
      <c r="AE22" s="174">
        <f>'Oct2025-EXPENSE'!R25</f>
        <v>8237.0331101629235</v>
      </c>
      <c r="AF22" s="174"/>
      <c r="AG22" s="174">
        <f t="shared" si="6"/>
        <v>-1950.0331101629235</v>
      </c>
      <c r="AH22" s="41">
        <f>'Nov2025-COLLECTION'!K21</f>
        <v>0</v>
      </c>
      <c r="AI22" s="174">
        <f>'Nov2025-EXPENSE'!R25</f>
        <v>7944.0879156535066</v>
      </c>
      <c r="AJ22" s="174"/>
      <c r="AK22" s="174">
        <f t="shared" si="7"/>
        <v>-7944.0879156535066</v>
      </c>
      <c r="AL22" s="41">
        <f>'Dec2025-COLLECTION'!K21</f>
        <v>14257</v>
      </c>
      <c r="AM22" s="174">
        <f>'Dec2025-EXPENSE'!R25</f>
        <v>6521.7920408925447</v>
      </c>
      <c r="AN22" s="174"/>
      <c r="AO22" s="174">
        <f t="shared" si="8"/>
        <v>7735.2079591074553</v>
      </c>
      <c r="AP22" s="7">
        <f>'Jan2026-COLLECTION'!K21</f>
        <v>6500</v>
      </c>
      <c r="AQ22" s="10">
        <f>'Jan2026-EXPENSE'!R25</f>
        <v>6265.3422516514038</v>
      </c>
      <c r="AR22" s="10"/>
      <c r="AS22" s="174">
        <f t="shared" si="9"/>
        <v>234.65774834859621</v>
      </c>
      <c r="AT22" s="7">
        <f>'Feb2026-COLLECTION'!K21</f>
        <v>6288</v>
      </c>
      <c r="AU22" s="10">
        <f>'Feb2026-EXPENSE'!R25</f>
        <v>5479.0062518421728</v>
      </c>
      <c r="AV22" s="10"/>
      <c r="AW22" s="174">
        <f t="shared" si="10"/>
        <v>808.99374815782721</v>
      </c>
      <c r="AX22" s="7">
        <f>'Mar2026-COLLECTION'!K21</f>
        <v>5479</v>
      </c>
      <c r="AY22" s="10">
        <f>'Mar2026-EXPENSE'!R25</f>
        <v>5603.6881628478768</v>
      </c>
      <c r="AZ22" s="10"/>
      <c r="BA22" s="174">
        <f t="shared" si="11"/>
        <v>-124.68816284787681</v>
      </c>
      <c r="BB22" s="172">
        <f t="shared" ref="BB22:BD22" si="33">SUM(F22,J22,N22,R22,V22,Z22,AD22,AH22,AL22,AP22,AT22,AX22)</f>
        <v>68489</v>
      </c>
      <c r="BC22" s="172">
        <f t="shared" si="33"/>
        <v>77997.192030593142</v>
      </c>
      <c r="BD22" s="172">
        <f t="shared" si="33"/>
        <v>0</v>
      </c>
      <c r="BE22" s="172">
        <f t="shared" si="13"/>
        <v>-9508.1920305931417</v>
      </c>
      <c r="BF22" s="172">
        <f t="shared" si="14"/>
        <v>21994.807969406858</v>
      </c>
      <c r="BG22" s="175">
        <v>26062</v>
      </c>
    </row>
    <row r="23" spans="1:59" ht="15.75" customHeight="1">
      <c r="A23" s="169" t="s">
        <v>75</v>
      </c>
      <c r="B23" s="13"/>
      <c r="C23" s="13" t="s">
        <v>76</v>
      </c>
      <c r="D23" s="170">
        <v>55071.25</v>
      </c>
      <c r="E23" s="175">
        <v>8660.68</v>
      </c>
      <c r="F23" s="171">
        <f>'Apr2025-COLLECTION'!K22</f>
        <v>0</v>
      </c>
      <c r="G23" s="172">
        <f>'Apr2025-EXPENSE'!R26</f>
        <v>5526.7456148697474</v>
      </c>
      <c r="H23" s="172"/>
      <c r="I23" s="172">
        <f t="shared" si="0"/>
        <v>-5526.7456148697474</v>
      </c>
      <c r="J23" s="173">
        <f>'May2025-COLLECTION'!K22</f>
        <v>6000</v>
      </c>
      <c r="K23" s="174">
        <f>'May2025-EXPENSE'!R26</f>
        <v>4343.0356146977701</v>
      </c>
      <c r="L23" s="174"/>
      <c r="M23" s="174">
        <f t="shared" si="1"/>
        <v>1656.9643853022299</v>
      </c>
      <c r="N23" s="172">
        <f>'June2025-COLLECTION'!K22</f>
        <v>0</v>
      </c>
      <c r="O23" s="172">
        <f>'June2025-EXPENSE'!R26</f>
        <v>4523.9374845400798</v>
      </c>
      <c r="P23" s="172"/>
      <c r="Q23" s="172">
        <f t="shared" si="2"/>
        <v>-4523.9374845400798</v>
      </c>
      <c r="R23" s="41">
        <f>'July2025-COLLECTION'!K22</f>
        <v>0</v>
      </c>
      <c r="S23" s="174">
        <f>'July2025-EXPENSE'!R26</f>
        <v>5495.9484162992921</v>
      </c>
      <c r="T23" s="174"/>
      <c r="U23" s="174">
        <f t="shared" si="3"/>
        <v>-5495.9484162992921</v>
      </c>
      <c r="V23" s="167">
        <f>'Aug2025-COLLECTION'!K22</f>
        <v>0</v>
      </c>
      <c r="W23" s="172">
        <f>'Aug2025-EXPENSE'!R26</f>
        <v>5873.4233008324691</v>
      </c>
      <c r="X23" s="172"/>
      <c r="Y23" s="172">
        <f t="shared" si="4"/>
        <v>-5873.4233008324691</v>
      </c>
      <c r="Z23" s="41">
        <f>'Sep2025-COLLECTION'!K22</f>
        <v>11102.41</v>
      </c>
      <c r="AA23" s="174">
        <f>'Sep2025-EXPENSE'!R26</f>
        <v>5078.5476521712171</v>
      </c>
      <c r="AB23" s="174"/>
      <c r="AC23" s="174">
        <f t="shared" si="5"/>
        <v>6023.8623478287827</v>
      </c>
      <c r="AD23" s="41">
        <f>'Oct2025-COLLECTION'!K22</f>
        <v>6000</v>
      </c>
      <c r="AE23" s="174">
        <f>'Oct2025-EXPENSE'!R26</f>
        <v>6417.4259729506293</v>
      </c>
      <c r="AF23" s="174"/>
      <c r="AG23" s="174">
        <f t="shared" si="6"/>
        <v>-417.42597295062933</v>
      </c>
      <c r="AH23" s="41">
        <f>'Nov2025-COLLECTION'!K22</f>
        <v>6114</v>
      </c>
      <c r="AI23" s="174">
        <f>'Nov2025-EXPENSE'!R26</f>
        <v>6927.3199522043869</v>
      </c>
      <c r="AJ23" s="174"/>
      <c r="AK23" s="174">
        <f t="shared" si="7"/>
        <v>-813.31995220438694</v>
      </c>
      <c r="AL23" s="41">
        <f>'Dec2025-COLLECTION'!K22</f>
        <v>0</v>
      </c>
      <c r="AM23" s="174">
        <f>'Dec2025-EXPENSE'!R26</f>
        <v>6053.6682066430831</v>
      </c>
      <c r="AN23" s="174"/>
      <c r="AO23" s="174">
        <f t="shared" si="8"/>
        <v>-6053.6682066430831</v>
      </c>
      <c r="AP23" s="7">
        <f>'Jan2026-COLLECTION'!K22</f>
        <v>0</v>
      </c>
      <c r="AQ23" s="10">
        <f>'Jan2026-EXPENSE'!R26</f>
        <v>5518.240264814458</v>
      </c>
      <c r="AR23" s="10"/>
      <c r="AS23" s="174">
        <f t="shared" si="9"/>
        <v>-5518.240264814458</v>
      </c>
      <c r="AT23" s="7">
        <f>'Feb2026-COLLECTION'!K22</f>
        <v>27000</v>
      </c>
      <c r="AU23" s="10">
        <f>'Feb2026-EXPENSE'!R26</f>
        <v>5353.9264079759632</v>
      </c>
      <c r="AV23" s="10"/>
      <c r="AW23" s="174">
        <f t="shared" si="10"/>
        <v>21646.073592024037</v>
      </c>
      <c r="AX23" s="7">
        <f>'Mar2026-COLLECTION'!K22</f>
        <v>0</v>
      </c>
      <c r="AY23" s="10">
        <f>'Mar2026-EXPENSE'!R26</f>
        <v>5740.0659269011549</v>
      </c>
      <c r="AZ23" s="10"/>
      <c r="BA23" s="174">
        <f t="shared" si="11"/>
        <v>-5740.0659269011549</v>
      </c>
      <c r="BB23" s="172">
        <f t="shared" ref="BB23:BD23" si="34">SUM(F23,J23,N23,R23,V23,Z23,AD23,AH23,AL23,AP23,AT23,AX23)</f>
        <v>56216.41</v>
      </c>
      <c r="BC23" s="172">
        <f t="shared" si="34"/>
        <v>66852.284814900238</v>
      </c>
      <c r="BD23" s="172">
        <f t="shared" si="34"/>
        <v>0</v>
      </c>
      <c r="BE23" s="172">
        <f t="shared" si="13"/>
        <v>-10635.874814900235</v>
      </c>
      <c r="BF23" s="172">
        <f t="shared" si="14"/>
        <v>-1975.1948149002346</v>
      </c>
      <c r="BG23" s="175">
        <v>8660.68</v>
      </c>
    </row>
    <row r="24" spans="1:59" ht="15.75" customHeight="1">
      <c r="A24" s="169" t="s">
        <v>77</v>
      </c>
      <c r="B24" s="13"/>
      <c r="C24" s="13" t="s">
        <v>339</v>
      </c>
      <c r="D24" s="170">
        <v>-36141.31</v>
      </c>
      <c r="E24" s="175">
        <v>-5705.3496748187172</v>
      </c>
      <c r="F24" s="171">
        <f>'Apr2025-COLLECTION'!K23</f>
        <v>0</v>
      </c>
      <c r="G24" s="172">
        <f>'Apr2025-EXPENSE'!R27</f>
        <v>6489.0825873364956</v>
      </c>
      <c r="H24" s="172"/>
      <c r="I24" s="172">
        <f t="shared" si="0"/>
        <v>-6489.0825873364956</v>
      </c>
      <c r="J24" s="173">
        <f>'May2025-COLLECTION'!K23</f>
        <v>0</v>
      </c>
      <c r="K24" s="174">
        <f>'May2025-EXPENSE'!R27</f>
        <v>4470.4135978392051</v>
      </c>
      <c r="L24" s="174">
        <v>500</v>
      </c>
      <c r="M24" s="174">
        <f t="shared" si="1"/>
        <v>-4970.4135978392051</v>
      </c>
      <c r="N24" s="172">
        <f>'June2025-COLLECTION'!K23</f>
        <v>85000</v>
      </c>
      <c r="O24" s="172">
        <f>'June2025-EXPENSE'!R27</f>
        <v>5155.6352428094015</v>
      </c>
      <c r="P24" s="172"/>
      <c r="Q24" s="172">
        <f t="shared" si="2"/>
        <v>79844.364757190604</v>
      </c>
      <c r="R24" s="41">
        <f>'July2025-COLLECTION'!K23</f>
        <v>20000</v>
      </c>
      <c r="S24" s="174">
        <f>'July2025-EXPENSE'!R27</f>
        <v>5781.8103000975225</v>
      </c>
      <c r="T24" s="174"/>
      <c r="U24" s="174">
        <f t="shared" si="3"/>
        <v>14218.189699902478</v>
      </c>
      <c r="V24" s="167">
        <f>'Aug2025-COLLECTION'!K23</f>
        <v>0</v>
      </c>
      <c r="W24" s="172">
        <f>'Aug2025-EXPENSE'!R27</f>
        <v>6108.7236982059885</v>
      </c>
      <c r="X24" s="172"/>
      <c r="Y24" s="172">
        <f t="shared" si="4"/>
        <v>-6108.7236982059885</v>
      </c>
      <c r="Z24" s="41">
        <f>'Sep2025-COLLECTION'!K23</f>
        <v>5212</v>
      </c>
      <c r="AA24" s="174">
        <f>'Sep2025-EXPENSE'!R27</f>
        <v>5213.2563333532698</v>
      </c>
      <c r="AB24" s="174"/>
      <c r="AC24" s="174">
        <f t="shared" si="5"/>
        <v>-1.256333353269838</v>
      </c>
      <c r="AD24" s="41">
        <f>'Oct2025-COLLECTION'!K23</f>
        <v>0</v>
      </c>
      <c r="AE24" s="174">
        <f>'Oct2025-EXPENSE'!R27</f>
        <v>6615.1213609943352</v>
      </c>
      <c r="AF24" s="174"/>
      <c r="AG24" s="174">
        <f t="shared" si="6"/>
        <v>-6615.1213609943352</v>
      </c>
      <c r="AH24" s="41">
        <f>'Nov2025-COLLECTION'!K23</f>
        <v>0</v>
      </c>
      <c r="AI24" s="174">
        <f>'Nov2025-EXPENSE'!R27</f>
        <v>6806.6101565030167</v>
      </c>
      <c r="AJ24" s="174"/>
      <c r="AK24" s="174">
        <f t="shared" si="7"/>
        <v>-6806.6101565030167</v>
      </c>
      <c r="AL24" s="41">
        <f>'Dec2025-COLLECTION'!K23</f>
        <v>18215</v>
      </c>
      <c r="AM24" s="174">
        <f>'Dec2025-EXPENSE'!R27</f>
        <v>5801.733952445099</v>
      </c>
      <c r="AN24" s="174"/>
      <c r="AO24" s="174">
        <f t="shared" si="8"/>
        <v>12413.266047554902</v>
      </c>
      <c r="AP24" s="7">
        <f>'Jan2026-COLLECTION'!K23</f>
        <v>5785</v>
      </c>
      <c r="AQ24" s="10">
        <f>'Jan2026-EXPENSE'!R27</f>
        <v>5377.053570205685</v>
      </c>
      <c r="AR24" s="10"/>
      <c r="AS24" s="174">
        <f t="shared" si="9"/>
        <v>407.94642979431501</v>
      </c>
      <c r="AT24" s="7">
        <f>'Feb2026-COLLECTION'!K23</f>
        <v>0</v>
      </c>
      <c r="AU24" s="10">
        <f>'Feb2026-EXPENSE'!R27</f>
        <v>5260.061349077564</v>
      </c>
      <c r="AV24" s="10"/>
      <c r="AW24" s="174">
        <f t="shared" si="10"/>
        <v>-5260.061349077564</v>
      </c>
      <c r="AX24" s="7">
        <f>'Mar2026-COLLECTION'!K23</f>
        <v>5394</v>
      </c>
      <c r="AY24" s="10">
        <f>'Mar2026-EXPENSE'!R27</f>
        <v>5487.4262003877866</v>
      </c>
      <c r="AZ24" s="10"/>
      <c r="BA24" s="174">
        <f t="shared" si="11"/>
        <v>-93.426200387786594</v>
      </c>
      <c r="BB24" s="172">
        <f t="shared" ref="BB24:BD24" si="35">SUM(F24,J24,N24,R24,V24,Z24,AD24,AH24,AL24,AP24,AT24,AX24)</f>
        <v>139606</v>
      </c>
      <c r="BC24" s="172">
        <f t="shared" si="35"/>
        <v>68566.92834925538</v>
      </c>
      <c r="BD24" s="172">
        <f t="shared" si="35"/>
        <v>500</v>
      </c>
      <c r="BE24" s="172">
        <f t="shared" si="13"/>
        <v>70539.07165074462</v>
      </c>
      <c r="BF24" s="172">
        <f t="shared" si="14"/>
        <v>64833.721975925902</v>
      </c>
      <c r="BG24" s="175">
        <v>-81707.03</v>
      </c>
    </row>
    <row r="25" spans="1:59" ht="15.75" customHeight="1">
      <c r="A25" s="169" t="s">
        <v>79</v>
      </c>
      <c r="B25" s="13"/>
      <c r="C25" s="13" t="s">
        <v>80</v>
      </c>
      <c r="D25" s="170">
        <v>29214.74</v>
      </c>
      <c r="E25" s="175">
        <v>44009.490000000005</v>
      </c>
      <c r="F25" s="171">
        <f>'Apr2025-COLLECTION'!K24</f>
        <v>9614</v>
      </c>
      <c r="G25" s="172">
        <f>'Apr2025-EXPENSE'!R28</f>
        <v>5787.4428447426089</v>
      </c>
      <c r="H25" s="172"/>
      <c r="I25" s="172">
        <f t="shared" si="0"/>
        <v>3826.5571552573911</v>
      </c>
      <c r="J25" s="173">
        <f>'May2025-COLLECTION'!K24</f>
        <v>5752</v>
      </c>
      <c r="K25" s="174">
        <f>'May2025-EXPENSE'!R28</f>
        <v>4099.8462107909645</v>
      </c>
      <c r="L25" s="174"/>
      <c r="M25" s="174">
        <f t="shared" si="1"/>
        <v>1652.1537892090355</v>
      </c>
      <c r="N25" s="172">
        <f>'June2025-COLLECTION'!K24</f>
        <v>0</v>
      </c>
      <c r="O25" s="172">
        <f>'June2025-EXPENSE'!R28</f>
        <v>4603.8246141842246</v>
      </c>
      <c r="P25" s="172"/>
      <c r="Q25" s="172">
        <f t="shared" si="2"/>
        <v>-4603.8246141842246</v>
      </c>
      <c r="R25" s="41">
        <f>'July2025-COLLECTION'!K24</f>
        <v>4083</v>
      </c>
      <c r="S25" s="174">
        <f>'July2025-EXPENSE'!R28</f>
        <v>5634.7762933047734</v>
      </c>
      <c r="T25" s="174"/>
      <c r="U25" s="174">
        <f t="shared" si="3"/>
        <v>-1551.7762933047734</v>
      </c>
      <c r="V25" s="167">
        <f>'Aug2025-COLLECTION'!K24</f>
        <v>0</v>
      </c>
      <c r="W25" s="172">
        <f>'Aug2025-EXPENSE'!R28</f>
        <v>6103.3426080373629</v>
      </c>
      <c r="X25" s="172"/>
      <c r="Y25" s="172">
        <f t="shared" si="4"/>
        <v>-6103.3426080373629</v>
      </c>
      <c r="Z25" s="41">
        <f>'Sep2025-COLLECTION'!K24</f>
        <v>5635</v>
      </c>
      <c r="AA25" s="174">
        <f>'Sep2025-EXPENSE'!R28</f>
        <v>5263.8065638173157</v>
      </c>
      <c r="AB25" s="174"/>
      <c r="AC25" s="174">
        <f t="shared" si="5"/>
        <v>371.19343618268431</v>
      </c>
      <c r="AD25" s="41">
        <f>'Oct2025-COLLECTION'!K24</f>
        <v>5264</v>
      </c>
      <c r="AE25" s="174">
        <f>'Oct2025-EXPENSE'!R28</f>
        <v>6635.0449757528386</v>
      </c>
      <c r="AF25" s="174"/>
      <c r="AG25" s="174">
        <f t="shared" si="6"/>
        <v>-1371.0449757528386</v>
      </c>
      <c r="AH25" s="41">
        <f>'Nov2025-COLLECTION'!K24</f>
        <v>6114</v>
      </c>
      <c r="AI25" s="174">
        <f>'Nov2025-EXPENSE'!R28</f>
        <v>6756.0602059565936</v>
      </c>
      <c r="AJ25" s="174"/>
      <c r="AK25" s="174">
        <f t="shared" si="7"/>
        <v>-642.06020595659356</v>
      </c>
      <c r="AL25" s="41">
        <f>'Dec2025-COLLECTION'!K24</f>
        <v>0</v>
      </c>
      <c r="AM25" s="174">
        <f>'Dec2025-EXPENSE'!R28</f>
        <v>5367.9467435134147</v>
      </c>
      <c r="AN25" s="174"/>
      <c r="AO25" s="174">
        <f t="shared" si="8"/>
        <v>-5367.9467435134147</v>
      </c>
      <c r="AP25" s="7">
        <f>'Jan2026-COLLECTION'!K24</f>
        <v>6888</v>
      </c>
      <c r="AQ25" s="10">
        <f>'Jan2026-EXPENSE'!R28</f>
        <v>5046.98698893444</v>
      </c>
      <c r="AR25" s="10"/>
      <c r="AS25" s="174">
        <f t="shared" si="9"/>
        <v>1841.01301106556</v>
      </c>
      <c r="AT25" s="7">
        <f>'Feb2026-COLLECTION'!K24</f>
        <v>5350</v>
      </c>
      <c r="AU25" s="10">
        <f>'Feb2026-EXPENSE'!R28</f>
        <v>4840.6358672454644</v>
      </c>
      <c r="AV25" s="10"/>
      <c r="AW25" s="174">
        <f t="shared" si="10"/>
        <v>509.3641327545356</v>
      </c>
      <c r="AX25" s="7">
        <f>'Mar2026-COLLECTION'!K24</f>
        <v>0</v>
      </c>
      <c r="AY25" s="10">
        <f>'Mar2026-EXPENSE'!R28</f>
        <v>4816.9932566746156</v>
      </c>
      <c r="AZ25" s="10"/>
      <c r="BA25" s="174">
        <f t="shared" si="11"/>
        <v>-4816.9932566746156</v>
      </c>
      <c r="BB25" s="172">
        <f t="shared" ref="BB25:BD25" si="36">SUM(F25,J25,N25,R25,V25,Z25,AD25,AH25,AL25,AP25,AT25,AX25)</f>
        <v>48700</v>
      </c>
      <c r="BC25" s="172">
        <f t="shared" si="36"/>
        <v>64956.707172954615</v>
      </c>
      <c r="BD25" s="172">
        <f t="shared" si="36"/>
        <v>0</v>
      </c>
      <c r="BE25" s="172">
        <f t="shared" si="13"/>
        <v>-16256.707172954615</v>
      </c>
      <c r="BF25" s="172">
        <f t="shared" si="14"/>
        <v>27752.78282704539</v>
      </c>
      <c r="BG25" s="175">
        <v>34395.490000000005</v>
      </c>
    </row>
    <row r="26" spans="1:59" ht="15.75" customHeight="1">
      <c r="A26" s="169" t="s">
        <v>81</v>
      </c>
      <c r="B26" s="13"/>
      <c r="C26" s="13" t="s">
        <v>82</v>
      </c>
      <c r="D26" s="170">
        <v>48086.36</v>
      </c>
      <c r="E26" s="175">
        <v>4598</v>
      </c>
      <c r="F26" s="171">
        <f>'Apr2025-COLLECTION'!K25</f>
        <v>15000</v>
      </c>
      <c r="G26" s="172">
        <f>'Apr2025-EXPENSE'!R29</f>
        <v>6345.8225665796062</v>
      </c>
      <c r="H26" s="172"/>
      <c r="I26" s="172">
        <f t="shared" si="0"/>
        <v>8654.1774334203947</v>
      </c>
      <c r="J26" s="173">
        <f>'May2025-COLLECTION'!K25</f>
        <v>6328</v>
      </c>
      <c r="K26" s="174">
        <f>'May2025-EXPENSE'!R29</f>
        <v>4789.4174442109615</v>
      </c>
      <c r="L26" s="174"/>
      <c r="M26" s="174">
        <f t="shared" si="1"/>
        <v>1538.5825557890385</v>
      </c>
      <c r="N26" s="172">
        <f>'June2025-COLLECTION'!K25</f>
        <v>4772</v>
      </c>
      <c r="O26" s="172">
        <f>'June2025-EXPENSE'!R29</f>
        <v>4713.9359168962492</v>
      </c>
      <c r="P26" s="172"/>
      <c r="Q26" s="172">
        <f t="shared" si="2"/>
        <v>58.064083103750818</v>
      </c>
      <c r="R26" s="41">
        <f>'July2025-COLLECTION'!K25</f>
        <v>0</v>
      </c>
      <c r="S26" s="174">
        <f>'July2025-EXPENSE'!R29</f>
        <v>5956.9345203928406</v>
      </c>
      <c r="T26" s="174"/>
      <c r="U26" s="174">
        <f t="shared" si="3"/>
        <v>-5956.9345203928406</v>
      </c>
      <c r="V26" s="167">
        <f>'Aug2025-COLLECTION'!K25</f>
        <v>0</v>
      </c>
      <c r="W26" s="172">
        <f>'Aug2025-EXPENSE'!R29</f>
        <v>6522.133732979044</v>
      </c>
      <c r="X26" s="172"/>
      <c r="Y26" s="172">
        <f t="shared" si="4"/>
        <v>-6522.133732979044</v>
      </c>
      <c r="Z26" s="41">
        <f>'Sep2025-COLLECTION'!K25</f>
        <v>6108</v>
      </c>
      <c r="AA26" s="174">
        <f>'Sep2025-EXPENSE'!R29</f>
        <v>5666.6718066036537</v>
      </c>
      <c r="AB26" s="174"/>
      <c r="AC26" s="174">
        <f t="shared" si="5"/>
        <v>441.32819339634625</v>
      </c>
      <c r="AD26" s="41">
        <f>'Oct2025-COLLECTION'!K25</f>
        <v>0</v>
      </c>
      <c r="AE26" s="174">
        <f>'Oct2025-EXPENSE'!R29</f>
        <v>7022.8382134123412</v>
      </c>
      <c r="AF26" s="174"/>
      <c r="AG26" s="174">
        <f t="shared" si="6"/>
        <v>-7022.8382134123412</v>
      </c>
      <c r="AH26" s="41">
        <f>'Nov2025-COLLECTION'!K25</f>
        <v>0</v>
      </c>
      <c r="AI26" s="174">
        <f>'Nov2025-EXPENSE'!R29</f>
        <v>7338.4014465905238</v>
      </c>
      <c r="AJ26" s="174"/>
      <c r="AK26" s="174">
        <f t="shared" si="7"/>
        <v>-7338.4014465905238</v>
      </c>
      <c r="AL26" s="41">
        <f>'Dec2025-COLLECTION'!K25</f>
        <v>6114</v>
      </c>
      <c r="AM26" s="174">
        <f>'Dec2025-EXPENSE'!R29</f>
        <v>5251.8362729339624</v>
      </c>
      <c r="AN26" s="174"/>
      <c r="AO26" s="174">
        <f t="shared" si="8"/>
        <v>862.16372706603761</v>
      </c>
      <c r="AP26" s="7">
        <f>'Jan2026-COLLECTION'!K25</f>
        <v>20517</v>
      </c>
      <c r="AQ26" s="10">
        <f>'Jan2026-EXPENSE'!R29</f>
        <v>5180.8248492812418</v>
      </c>
      <c r="AR26" s="10"/>
      <c r="AS26" s="174">
        <f t="shared" si="9"/>
        <v>15336.175150718758</v>
      </c>
      <c r="AT26" s="7">
        <f>'Feb2026-COLLECTION'!K25</f>
        <v>5198</v>
      </c>
      <c r="AU26" s="10">
        <f>'Feb2026-EXPENSE'!R29</f>
        <v>5744.1241501826917</v>
      </c>
      <c r="AV26" s="10"/>
      <c r="AW26" s="174">
        <f t="shared" si="10"/>
        <v>-546.12415018269166</v>
      </c>
      <c r="AX26" s="7">
        <f>'Mar2026-COLLECTION'!K25</f>
        <v>5744</v>
      </c>
      <c r="AY26" s="10">
        <f>'Mar2026-EXPENSE'!R29</f>
        <v>5066.8907452601434</v>
      </c>
      <c r="AZ26" s="10"/>
      <c r="BA26" s="174">
        <f t="shared" si="11"/>
        <v>677.10925473985662</v>
      </c>
      <c r="BB26" s="172">
        <f t="shared" ref="BB26:BD26" si="37">SUM(F26,J26,N26,R26,V26,Z26,AD26,AH26,AL26,AP26,AT26,AX26)</f>
        <v>69781</v>
      </c>
      <c r="BC26" s="172">
        <f t="shared" si="37"/>
        <v>69599.831665323261</v>
      </c>
      <c r="BD26" s="172">
        <f t="shared" si="37"/>
        <v>0</v>
      </c>
      <c r="BE26" s="172">
        <f t="shared" si="13"/>
        <v>181.1683346767386</v>
      </c>
      <c r="BF26" s="172">
        <f t="shared" si="14"/>
        <v>4779.1683346767386</v>
      </c>
      <c r="BG26" s="175">
        <v>-10402</v>
      </c>
    </row>
    <row r="27" spans="1:59" ht="15.75" customHeight="1">
      <c r="A27" s="169" t="s">
        <v>83</v>
      </c>
      <c r="B27" s="13"/>
      <c r="C27" s="13" t="s">
        <v>84</v>
      </c>
      <c r="D27" s="170">
        <v>17364.919999999998</v>
      </c>
      <c r="E27" s="175">
        <v>42515</v>
      </c>
      <c r="F27" s="171">
        <f>'Apr2025-COLLECTION'!K26</f>
        <v>0</v>
      </c>
      <c r="G27" s="172">
        <f>'Apr2025-EXPENSE'!R30</f>
        <v>6245.5027062427134</v>
      </c>
      <c r="H27" s="172"/>
      <c r="I27" s="172">
        <f t="shared" si="0"/>
        <v>-6245.5027062427134</v>
      </c>
      <c r="J27" s="173">
        <f>'May2025-COLLECTION'!K26</f>
        <v>5203</v>
      </c>
      <c r="K27" s="174">
        <f>'May2025-EXPENSE'!R30</f>
        <v>4729.6074316055519</v>
      </c>
      <c r="L27" s="174"/>
      <c r="M27" s="174">
        <f t="shared" si="1"/>
        <v>473.39256839444806</v>
      </c>
      <c r="N27" s="172">
        <f>'June2025-COLLECTION'!K26</f>
        <v>10919</v>
      </c>
      <c r="O27" s="172">
        <f>'June2025-EXPENSE'!R30</f>
        <v>5202.5978511892936</v>
      </c>
      <c r="P27" s="172"/>
      <c r="Q27" s="172">
        <f t="shared" si="2"/>
        <v>5716.4021488107064</v>
      </c>
      <c r="R27" s="41">
        <f>'July2025-COLLECTION'!K26</f>
        <v>5203</v>
      </c>
      <c r="S27" s="174">
        <f>'July2025-EXPENSE'!R30</f>
        <v>5869.0920411738352</v>
      </c>
      <c r="T27" s="174"/>
      <c r="U27" s="174">
        <f t="shared" si="3"/>
        <v>-666.09204117383524</v>
      </c>
      <c r="V27" s="167">
        <f>'Aug2025-COLLECTION'!K26</f>
        <v>5869</v>
      </c>
      <c r="W27" s="172">
        <f>'Aug2025-EXPENSE'!R30</f>
        <v>6284.6658343357822</v>
      </c>
      <c r="X27" s="172"/>
      <c r="Y27" s="172">
        <f t="shared" si="4"/>
        <v>-415.66583433578216</v>
      </c>
      <c r="Z27" s="41">
        <f>'Sep2025-COLLECTION'!K26</f>
        <v>5869</v>
      </c>
      <c r="AA27" s="174">
        <f>'Sep2025-EXPENSE'!R30</f>
        <v>5381.7814109165811</v>
      </c>
      <c r="AB27" s="174"/>
      <c r="AC27" s="174">
        <f t="shared" si="5"/>
        <v>487.21858908341892</v>
      </c>
      <c r="AD27" s="41">
        <f>'Oct2025-COLLECTION'!K26</f>
        <v>5500</v>
      </c>
      <c r="AE27" s="174">
        <f>'Oct2025-EXPENSE'!R30</f>
        <v>6907.6996523839753</v>
      </c>
      <c r="AF27" s="174"/>
      <c r="AG27" s="174">
        <f t="shared" si="6"/>
        <v>-1407.6996523839753</v>
      </c>
      <c r="AH27" s="41">
        <f>'Nov2025-COLLECTION'!K26</f>
        <v>6354</v>
      </c>
      <c r="AI27" s="174">
        <f>'Nov2025-EXPENSE'!R30</f>
        <v>7029.2570504163868</v>
      </c>
      <c r="AJ27" s="174"/>
      <c r="AK27" s="174">
        <f t="shared" si="7"/>
        <v>-675.25705041638685</v>
      </c>
      <c r="AL27" s="41">
        <f>'Dec2025-COLLECTION'!K26</f>
        <v>0</v>
      </c>
      <c r="AM27" s="174">
        <f>'Dec2025-EXPENSE'!R30</f>
        <v>5714.5399791711943</v>
      </c>
      <c r="AN27" s="174"/>
      <c r="AO27" s="174">
        <f t="shared" si="8"/>
        <v>-5714.5399791711943</v>
      </c>
      <c r="AP27" s="7">
        <f>'Jan2026-COLLECTION'!K26</f>
        <v>7111</v>
      </c>
      <c r="AQ27" s="10">
        <f>'Jan2026-EXPENSE'!R30</f>
        <v>5562.9052379768827</v>
      </c>
      <c r="AR27" s="10"/>
      <c r="AS27" s="174">
        <f t="shared" si="9"/>
        <v>1548.0947620231173</v>
      </c>
      <c r="AT27" s="7">
        <f>'Feb2026-COLLECTION'!K26</f>
        <v>5686</v>
      </c>
      <c r="AU27" s="10">
        <f>'Feb2026-EXPENSE'!R30</f>
        <v>5123.5345797359123</v>
      </c>
      <c r="AV27" s="10"/>
      <c r="AW27" s="174">
        <f t="shared" si="10"/>
        <v>562.4654202640877</v>
      </c>
      <c r="AX27" s="7">
        <f>'Mar2026-COLLECTION'!K26</f>
        <v>10715</v>
      </c>
      <c r="AY27" s="10">
        <f>'Mar2026-EXPENSE'!R30</f>
        <v>5589.9149719554971</v>
      </c>
      <c r="AZ27" s="10"/>
      <c r="BA27" s="174">
        <f t="shared" si="11"/>
        <v>5125.0850280445029</v>
      </c>
      <c r="BB27" s="172">
        <f t="shared" ref="BB27:BD27" si="38">SUM(F27,J27,N27,R27,V27,Z27,AD27,AH27,AL27,AP27,AT27,AX27)</f>
        <v>68429</v>
      </c>
      <c r="BC27" s="172">
        <f t="shared" si="38"/>
        <v>69641.098747103606</v>
      </c>
      <c r="BD27" s="172">
        <f t="shared" si="38"/>
        <v>0</v>
      </c>
      <c r="BE27" s="172">
        <f t="shared" si="13"/>
        <v>-1212.098747103606</v>
      </c>
      <c r="BF27" s="172">
        <f t="shared" si="14"/>
        <v>41302.901252896394</v>
      </c>
      <c r="BG27" s="175">
        <v>42515</v>
      </c>
    </row>
    <row r="28" spans="1:59" ht="15.75" customHeight="1">
      <c r="A28" s="169" t="s">
        <v>85</v>
      </c>
      <c r="B28" s="13"/>
      <c r="C28" s="13" t="s">
        <v>86</v>
      </c>
      <c r="D28" s="170">
        <v>47007.83</v>
      </c>
      <c r="E28" s="175">
        <v>43337</v>
      </c>
      <c r="F28" s="171">
        <f>'Apr2025-COLLECTION'!K27</f>
        <v>4965</v>
      </c>
      <c r="G28" s="172">
        <f>'Apr2025-EXPENSE'!R31</f>
        <v>6258.9920764404214</v>
      </c>
      <c r="H28" s="172"/>
      <c r="I28" s="172">
        <f t="shared" si="0"/>
        <v>-1293.9920764404214</v>
      </c>
      <c r="J28" s="173">
        <f>'May2025-COLLECTION'!K27</f>
        <v>6240</v>
      </c>
      <c r="K28" s="174">
        <f>'May2025-EXPENSE'!R31</f>
        <v>4807.3018767924377</v>
      </c>
      <c r="L28" s="174"/>
      <c r="M28" s="174">
        <f t="shared" si="1"/>
        <v>1432.6981232075623</v>
      </c>
      <c r="N28" s="172">
        <f>'June2025-COLLECTION'!K27</f>
        <v>4790</v>
      </c>
      <c r="O28" s="172">
        <f>'June2025-EXPENSE'!R31</f>
        <v>5061.3257899170985</v>
      </c>
      <c r="P28" s="172"/>
      <c r="Q28" s="172">
        <f t="shared" si="2"/>
        <v>-271.32578991709852</v>
      </c>
      <c r="R28" s="41">
        <f>'July2025-COLLECTION'!K27</f>
        <v>5062</v>
      </c>
      <c r="S28" s="174">
        <f>'July2025-EXPENSE'!R31</f>
        <v>6007.7944896238196</v>
      </c>
      <c r="T28" s="174"/>
      <c r="U28" s="174">
        <f t="shared" si="3"/>
        <v>-945.79448962381957</v>
      </c>
      <c r="V28" s="167">
        <f>'Aug2025-COLLECTION'!K27</f>
        <v>6008</v>
      </c>
      <c r="W28" s="172">
        <f>'Aug2025-EXPENSE'!R31</f>
        <v>6373.4199683188572</v>
      </c>
      <c r="X28" s="172"/>
      <c r="Y28" s="172">
        <f t="shared" si="4"/>
        <v>-365.41996831885717</v>
      </c>
      <c r="Z28" s="41">
        <f>'Sep2025-COLLECTION'!K27</f>
        <v>12008</v>
      </c>
      <c r="AA28" s="174">
        <f>'Sep2025-EXPENSE'!R31</f>
        <v>5248.4011545332614</v>
      </c>
      <c r="AB28" s="174"/>
      <c r="AC28" s="174">
        <f t="shared" si="5"/>
        <v>6759.5988454667386</v>
      </c>
      <c r="AD28" s="41">
        <f>'Oct2025-COLLECTION'!K27</f>
        <v>0</v>
      </c>
      <c r="AE28" s="174">
        <f>'Oct2025-EXPENSE'!R31</f>
        <v>6161.1285926972469</v>
      </c>
      <c r="AF28" s="174"/>
      <c r="AG28" s="174">
        <f t="shared" si="6"/>
        <v>-6161.1285926972469</v>
      </c>
      <c r="AH28" s="41">
        <f>'Nov2025-COLLECTION'!K27</f>
        <v>6114</v>
      </c>
      <c r="AI28" s="174">
        <f>'Nov2025-EXPENSE'!R31</f>
        <v>7838.4450265672394</v>
      </c>
      <c r="AJ28" s="174"/>
      <c r="AK28" s="174">
        <f t="shared" si="7"/>
        <v>-1724.4450265672394</v>
      </c>
      <c r="AL28" s="41">
        <f>'Dec2025-COLLECTION'!K27</f>
        <v>7920.16</v>
      </c>
      <c r="AM28" s="174">
        <f>'Dec2025-EXPENSE'!R31</f>
        <v>5226.1806693615727</v>
      </c>
      <c r="AN28" s="174"/>
      <c r="AO28" s="174">
        <f t="shared" si="8"/>
        <v>2693.9793306384272</v>
      </c>
      <c r="AP28" s="7">
        <f>'Jan2026-COLLECTION'!K27</f>
        <v>5209.1099999999997</v>
      </c>
      <c r="AQ28" s="10">
        <f>'Jan2026-EXPENSE'!R31</f>
        <v>5363.2466694710729</v>
      </c>
      <c r="AR28" s="10"/>
      <c r="AS28" s="174">
        <f t="shared" si="9"/>
        <v>-154.13666947107322</v>
      </c>
      <c r="AT28" s="7">
        <f>'Feb2026-COLLECTION'!K27</f>
        <v>5380</v>
      </c>
      <c r="AU28" s="10">
        <f>'Feb2026-EXPENSE'!R31</f>
        <v>4723.6754540238026</v>
      </c>
      <c r="AV28" s="10"/>
      <c r="AW28" s="174">
        <f t="shared" si="10"/>
        <v>656.32454597619744</v>
      </c>
      <c r="AX28" s="7">
        <f>'Mar2026-COLLECTION'!K27</f>
        <v>4724</v>
      </c>
      <c r="AY28" s="10">
        <f>'Mar2026-EXPENSE'!R31</f>
        <v>4896.297008362023</v>
      </c>
      <c r="AZ28" s="10"/>
      <c r="BA28" s="174">
        <f t="shared" si="11"/>
        <v>-172.29700836202301</v>
      </c>
      <c r="BB28" s="172">
        <f t="shared" ref="BB28:BD28" si="39">SUM(F28,J28,N28,R28,V28,Z28,AD28,AH28,AL28,AP28,AT28,AX28)</f>
        <v>68420.27</v>
      </c>
      <c r="BC28" s="172">
        <f t="shared" si="39"/>
        <v>67966.208776108862</v>
      </c>
      <c r="BD28" s="172">
        <f t="shared" si="39"/>
        <v>0</v>
      </c>
      <c r="BE28" s="172">
        <f t="shared" si="13"/>
        <v>454.06122389114171</v>
      </c>
      <c r="BF28" s="172">
        <f t="shared" si="14"/>
        <v>43791.061223891142</v>
      </c>
      <c r="BG28" s="175">
        <v>38372</v>
      </c>
    </row>
    <row r="29" spans="1:59" ht="15.75" customHeight="1">
      <c r="A29" s="169" t="s">
        <v>87</v>
      </c>
      <c r="B29" s="13"/>
      <c r="C29" s="13" t="s">
        <v>88</v>
      </c>
      <c r="D29" s="170">
        <v>22741.79</v>
      </c>
      <c r="E29" s="175">
        <v>16680.73</v>
      </c>
      <c r="F29" s="171">
        <f>'Apr2025-COLLECTION'!K28</f>
        <v>0</v>
      </c>
      <c r="G29" s="172">
        <f>'Apr2025-EXPENSE'!R32</f>
        <v>5638.7301984201058</v>
      </c>
      <c r="H29" s="172"/>
      <c r="I29" s="172">
        <f t="shared" si="0"/>
        <v>-5638.7301984201058</v>
      </c>
      <c r="J29" s="173">
        <f>'May2025-COLLECTION'!K28</f>
        <v>10288</v>
      </c>
      <c r="K29" s="174">
        <f>'May2025-EXPENSE'!R32</f>
        <v>4416.4687060852975</v>
      </c>
      <c r="L29" s="174"/>
      <c r="M29" s="174">
        <f t="shared" si="1"/>
        <v>5871.5312939147025</v>
      </c>
      <c r="N29" s="172">
        <f>'June2025-COLLECTION'!K28</f>
        <v>4399</v>
      </c>
      <c r="O29" s="172">
        <f>'June2025-EXPENSE'!R32</f>
        <v>4540.9934494248582</v>
      </c>
      <c r="P29" s="172"/>
      <c r="Q29" s="172">
        <f t="shared" si="2"/>
        <v>-141.99344942485823</v>
      </c>
      <c r="R29" s="41">
        <f>'July2025-COLLECTION'!K28</f>
        <v>4541</v>
      </c>
      <c r="S29" s="174">
        <f>'July2025-EXPENSE'!R32</f>
        <v>5376.7791798830904</v>
      </c>
      <c r="T29" s="174"/>
      <c r="U29" s="174">
        <f t="shared" si="3"/>
        <v>-835.77917988309036</v>
      </c>
      <c r="V29" s="167">
        <f>'Aug2025-COLLECTION'!K28</f>
        <v>5377</v>
      </c>
      <c r="W29" s="172">
        <f>'Aug2025-EXPENSE'!R32</f>
        <v>5757.3963235602114</v>
      </c>
      <c r="X29" s="172"/>
      <c r="Y29" s="172">
        <f t="shared" si="4"/>
        <v>-380.39632356021139</v>
      </c>
      <c r="Z29" s="41">
        <f>'Sep2025-COLLECTION'!K28</f>
        <v>5377</v>
      </c>
      <c r="AA29" s="174">
        <f>'Sep2025-EXPENSE'!R32</f>
        <v>4934.6193654329772</v>
      </c>
      <c r="AB29" s="174"/>
      <c r="AC29" s="174">
        <f t="shared" si="5"/>
        <v>442.38063456702275</v>
      </c>
      <c r="AD29" s="41">
        <f>'Oct2025-COLLECTION'!K28</f>
        <v>4935</v>
      </c>
      <c r="AE29" s="174">
        <f>'Oct2025-EXPENSE'!R32</f>
        <v>6180.9459481770373</v>
      </c>
      <c r="AF29" s="174"/>
      <c r="AG29" s="174">
        <f t="shared" si="6"/>
        <v>-1245.9459481770373</v>
      </c>
      <c r="AH29" s="41">
        <f>'Nov2025-COLLECTION'!K28</f>
        <v>6114</v>
      </c>
      <c r="AI29" s="174">
        <f>'Nov2025-EXPENSE'!R32</f>
        <v>6627.6517108903945</v>
      </c>
      <c r="AJ29" s="174"/>
      <c r="AK29" s="174">
        <f t="shared" si="7"/>
        <v>-513.6517108903945</v>
      </c>
      <c r="AL29" s="41">
        <f>'Dec2025-COLLECTION'!K28</f>
        <v>0</v>
      </c>
      <c r="AM29" s="174">
        <f>'Dec2025-EXPENSE'!R32</f>
        <v>4919.9169017161767</v>
      </c>
      <c r="AN29" s="174"/>
      <c r="AO29" s="174">
        <f t="shared" si="8"/>
        <v>-4919.9169017161767</v>
      </c>
      <c r="AP29" s="7">
        <f>'Jan2026-COLLECTION'!K28</f>
        <v>0</v>
      </c>
      <c r="AQ29" s="10">
        <f>'Jan2026-EXPENSE'!R32</f>
        <v>4755.1863072798205</v>
      </c>
      <c r="AR29" s="10"/>
      <c r="AS29" s="174">
        <f t="shared" si="9"/>
        <v>-4755.1863072798205</v>
      </c>
      <c r="AT29" s="7">
        <f>'Feb2026-COLLECTION'!K28</f>
        <v>0</v>
      </c>
      <c r="AU29" s="10">
        <f>'Feb2026-EXPENSE'!R32</f>
        <v>4530.2580434065003</v>
      </c>
      <c r="AV29" s="10"/>
      <c r="AW29" s="174">
        <f t="shared" si="10"/>
        <v>-4530.2580434065003</v>
      </c>
      <c r="AX29" s="7">
        <f>'Mar2026-COLLECTION'!K28</f>
        <v>0</v>
      </c>
      <c r="AY29" s="10">
        <f>'Mar2026-EXPENSE'!R32</f>
        <v>4928.0538927521839</v>
      </c>
      <c r="AZ29" s="10"/>
      <c r="BA29" s="174">
        <f t="shared" si="11"/>
        <v>-4928.0538927521839</v>
      </c>
      <c r="BB29" s="172">
        <f t="shared" ref="BB29:BD29" si="40">SUM(F29,J29,N29,R29,V29,Z29,AD29,AH29,AL29,AP29,AT29,AX29)</f>
        <v>41031</v>
      </c>
      <c r="BC29" s="172">
        <f t="shared" si="40"/>
        <v>62607.000027028662</v>
      </c>
      <c r="BD29" s="172">
        <f t="shared" si="40"/>
        <v>0</v>
      </c>
      <c r="BE29" s="172">
        <f t="shared" si="13"/>
        <v>-21576.000027028662</v>
      </c>
      <c r="BF29" s="172">
        <f t="shared" si="14"/>
        <v>-4895.2700270286623</v>
      </c>
      <c r="BG29" s="175">
        <v>16680.73</v>
      </c>
    </row>
    <row r="30" spans="1:59" ht="15.75" customHeight="1">
      <c r="A30" s="169" t="s">
        <v>89</v>
      </c>
      <c r="B30" s="13"/>
      <c r="C30" s="13" t="s">
        <v>90</v>
      </c>
      <c r="D30" s="170">
        <v>18683.66</v>
      </c>
      <c r="E30" s="175">
        <v>-6326.6026330882451</v>
      </c>
      <c r="F30" s="171">
        <f>'Apr2025-COLLECTION'!K29</f>
        <v>8980</v>
      </c>
      <c r="G30" s="172">
        <f>'Apr2025-EXPENSE'!R33</f>
        <v>5836.516474833119</v>
      </c>
      <c r="H30" s="172"/>
      <c r="I30" s="172">
        <f t="shared" si="0"/>
        <v>3143.483525166881</v>
      </c>
      <c r="J30" s="173">
        <f>'May2025-COLLECTION'!K29</f>
        <v>5803</v>
      </c>
      <c r="K30" s="174">
        <f>'May2025-EXPENSE'!R33</f>
        <v>5143.6069677267096</v>
      </c>
      <c r="L30" s="174"/>
      <c r="M30" s="174">
        <f t="shared" si="1"/>
        <v>659.39303227329037</v>
      </c>
      <c r="N30" s="172">
        <f>'June2025-COLLECTION'!K29</f>
        <v>14646</v>
      </c>
      <c r="O30" s="172">
        <f>'June2025-EXPENSE'!R33</f>
        <v>5032.2303204077707</v>
      </c>
      <c r="P30" s="172"/>
      <c r="Q30" s="172">
        <f t="shared" si="2"/>
        <v>9613.7696795922293</v>
      </c>
      <c r="R30" s="41">
        <f>'July2025-COLLECTION'!K29</f>
        <v>5083</v>
      </c>
      <c r="S30" s="174">
        <f>'July2025-EXPENSE'!R33</f>
        <v>6120.0200777584869</v>
      </c>
      <c r="T30" s="174"/>
      <c r="U30" s="174">
        <f t="shared" si="3"/>
        <v>-1037.0200777584869</v>
      </c>
      <c r="V30" s="167">
        <f>'Aug2025-COLLECTION'!K29</f>
        <v>6120</v>
      </c>
      <c r="W30" s="172">
        <f>'Aug2025-EXPENSE'!R33</f>
        <v>6118.640913971306</v>
      </c>
      <c r="X30" s="172"/>
      <c r="Y30" s="172">
        <f t="shared" si="4"/>
        <v>1.3590860286940369</v>
      </c>
      <c r="Z30" s="41">
        <f>'Sep2025-COLLECTION'!K29</f>
        <v>6119</v>
      </c>
      <c r="AA30" s="174">
        <f>'Sep2025-EXPENSE'!R33</f>
        <v>4977.8411914805683</v>
      </c>
      <c r="AB30" s="174"/>
      <c r="AC30" s="174">
        <f t="shared" si="5"/>
        <v>1141.1588085194317</v>
      </c>
      <c r="AD30" s="41">
        <f>'Oct2025-COLLECTION'!K29</f>
        <v>4978</v>
      </c>
      <c r="AE30" s="174">
        <f>'Oct2025-EXPENSE'!R33</f>
        <v>6565.7107963932476</v>
      </c>
      <c r="AF30" s="174"/>
      <c r="AG30" s="174">
        <f t="shared" si="6"/>
        <v>-1587.7107963932476</v>
      </c>
      <c r="AH30" s="41">
        <f>'Nov2025-COLLECTION'!K29</f>
        <v>6114</v>
      </c>
      <c r="AI30" s="174">
        <f>'Nov2025-EXPENSE'!R33</f>
        <v>7853.4395921482792</v>
      </c>
      <c r="AJ30" s="174"/>
      <c r="AK30" s="174">
        <f t="shared" si="7"/>
        <v>-1739.4395921482792</v>
      </c>
      <c r="AL30" s="41">
        <f>'Dec2025-COLLECTION'!K29</f>
        <v>7936</v>
      </c>
      <c r="AM30" s="174">
        <f>'Dec2025-EXPENSE'!R33</f>
        <v>5975.6638531343851</v>
      </c>
      <c r="AN30" s="174"/>
      <c r="AO30" s="174">
        <f t="shared" si="8"/>
        <v>1960.3361468656149</v>
      </c>
      <c r="AP30" s="7">
        <f>'Jan2026-COLLECTION'!K29</f>
        <v>0</v>
      </c>
      <c r="AQ30" s="10">
        <f>'Jan2026-EXPENSE'!R33</f>
        <v>5622.5343268151546</v>
      </c>
      <c r="AR30" s="10"/>
      <c r="AS30" s="174">
        <f t="shared" si="9"/>
        <v>-5622.5343268151546</v>
      </c>
      <c r="AT30" s="7">
        <f>'Feb2026-COLLECTION'!K29</f>
        <v>0</v>
      </c>
      <c r="AU30" s="10">
        <f>'Feb2026-EXPENSE'!R33</f>
        <v>5468.5129946290672</v>
      </c>
      <c r="AV30" s="10"/>
      <c r="AW30" s="174">
        <f t="shared" si="10"/>
        <v>-5468.5129946290672</v>
      </c>
      <c r="AX30" s="7">
        <f>'Mar2026-COLLECTION'!K29</f>
        <v>0</v>
      </c>
      <c r="AY30" s="10">
        <f>'Mar2026-EXPENSE'!R33</f>
        <v>5550.5861320161293</v>
      </c>
      <c r="AZ30" s="10"/>
      <c r="BA30" s="174">
        <f t="shared" si="11"/>
        <v>-5550.5861320161293</v>
      </c>
      <c r="BB30" s="172">
        <f t="shared" ref="BB30:BD30" si="41">SUM(F30,J30,N30,R30,V30,Z30,AD30,AH30,AL30,AP30,AT30,AX30)</f>
        <v>65779</v>
      </c>
      <c r="BC30" s="172">
        <f t="shared" si="41"/>
        <v>70265.303641314225</v>
      </c>
      <c r="BD30" s="172">
        <f t="shared" si="41"/>
        <v>0</v>
      </c>
      <c r="BE30" s="172">
        <f t="shared" si="13"/>
        <v>-4486.3036413142254</v>
      </c>
      <c r="BF30" s="172">
        <f t="shared" si="14"/>
        <v>-10812.90627440247</v>
      </c>
      <c r="BG30" s="175">
        <v>-18499</v>
      </c>
    </row>
    <row r="31" spans="1:59" ht="15.75" customHeight="1">
      <c r="A31" s="169" t="s">
        <v>91</v>
      </c>
      <c r="B31" s="13"/>
      <c r="C31" s="13" t="s">
        <v>92</v>
      </c>
      <c r="D31" s="170">
        <v>20723.71</v>
      </c>
      <c r="E31" s="175">
        <v>-3389.09</v>
      </c>
      <c r="F31" s="171">
        <f>'Apr2025-COLLECTION'!K30</f>
        <v>0</v>
      </c>
      <c r="G31" s="172">
        <f>'Apr2025-EXPENSE'!R34</f>
        <v>6399.1853623620545</v>
      </c>
      <c r="H31" s="172"/>
      <c r="I31" s="172">
        <f t="shared" si="0"/>
        <v>-6399.1853623620545</v>
      </c>
      <c r="J31" s="173">
        <f>'May2025-COLLECTION'!K30</f>
        <v>6379</v>
      </c>
      <c r="K31" s="174">
        <f>'May2025-EXPENSE'!R34</f>
        <v>4704.571266621957</v>
      </c>
      <c r="L31" s="174">
        <v>500</v>
      </c>
      <c r="M31" s="174">
        <f t="shared" si="1"/>
        <v>1174.428733378043</v>
      </c>
      <c r="N31" s="172">
        <f>'June2025-COLLECTION'!K30</f>
        <v>0</v>
      </c>
      <c r="O31" s="172">
        <f>'June2025-EXPENSE'!R34</f>
        <v>4724.9387761888756</v>
      </c>
      <c r="P31" s="172"/>
      <c r="Q31" s="172">
        <f t="shared" si="2"/>
        <v>-4724.9387761888756</v>
      </c>
      <c r="R31" s="41">
        <f>'July2025-COLLECTION'!K30</f>
        <v>13339</v>
      </c>
      <c r="S31" s="174">
        <f>'July2025-EXPENSE'!R34</f>
        <v>5925.0068550878068</v>
      </c>
      <c r="T31" s="174"/>
      <c r="U31" s="174">
        <f t="shared" si="3"/>
        <v>7413.9931449121932</v>
      </c>
      <c r="V31" s="167">
        <f>'Aug2025-COLLECTION'!K30</f>
        <v>0</v>
      </c>
      <c r="W31" s="172">
        <f>'Aug2025-EXPENSE'!R34</f>
        <v>6282.7477371493133</v>
      </c>
      <c r="X31" s="172"/>
      <c r="Y31" s="172">
        <f t="shared" si="4"/>
        <v>-6282.7477371493133</v>
      </c>
      <c r="Z31" s="41">
        <f>'Sep2025-COLLECTION'!K30</f>
        <v>12208</v>
      </c>
      <c r="AA31" s="174">
        <f>'Sep2025-EXPENSE'!R34</f>
        <v>5187.0215055437975</v>
      </c>
      <c r="AB31" s="174"/>
      <c r="AC31" s="174">
        <f t="shared" si="5"/>
        <v>7020.9784944562025</v>
      </c>
      <c r="AD31" s="41">
        <f>'Oct2025-COLLECTION'!K30</f>
        <v>0</v>
      </c>
      <c r="AE31" s="174">
        <f>'Oct2025-EXPENSE'!R34</f>
        <v>6825.9630185067053</v>
      </c>
      <c r="AF31" s="174"/>
      <c r="AG31" s="174">
        <f t="shared" si="6"/>
        <v>-6825.9630185067053</v>
      </c>
      <c r="AH31" s="41">
        <f>'Nov2025-COLLECTION'!K30</f>
        <v>0</v>
      </c>
      <c r="AI31" s="174">
        <f>'Nov2025-EXPENSE'!R34</f>
        <v>7750.7004611684379</v>
      </c>
      <c r="AJ31" s="174"/>
      <c r="AK31" s="174">
        <f t="shared" si="7"/>
        <v>-7750.7004611684379</v>
      </c>
      <c r="AL31" s="41">
        <f>'Dec2025-COLLECTION'!K30</f>
        <v>0</v>
      </c>
      <c r="AM31" s="174">
        <f>'Dec2025-EXPENSE'!R34</f>
        <v>5575.2228877649268</v>
      </c>
      <c r="AN31" s="174"/>
      <c r="AO31" s="174">
        <f t="shared" si="8"/>
        <v>-5575.2228877649268</v>
      </c>
      <c r="AP31" s="7">
        <f>'Jan2026-COLLECTION'!K30</f>
        <v>22000</v>
      </c>
      <c r="AQ31" s="10">
        <f>'Jan2026-EXPENSE'!R34</f>
        <v>5381.9232965835781</v>
      </c>
      <c r="AR31" s="10"/>
      <c r="AS31" s="174">
        <f t="shared" si="9"/>
        <v>16618.076703416424</v>
      </c>
      <c r="AT31" s="7">
        <f>'Feb2026-COLLECTION'!K30</f>
        <v>0</v>
      </c>
      <c r="AU31" s="10">
        <f>'Feb2026-EXPENSE'!R34</f>
        <v>5345.1323243195347</v>
      </c>
      <c r="AV31" s="10"/>
      <c r="AW31" s="174">
        <f t="shared" si="10"/>
        <v>-5345.1323243195347</v>
      </c>
      <c r="AX31" s="7">
        <f>'Mar2026-COLLECTION'!K30</f>
        <v>0</v>
      </c>
      <c r="AY31" s="10">
        <f>'Mar2026-EXPENSE'!R34</f>
        <v>4936.7051313665061</v>
      </c>
      <c r="AZ31" s="10"/>
      <c r="BA31" s="174">
        <f t="shared" si="11"/>
        <v>-4936.7051313665061</v>
      </c>
      <c r="BB31" s="172">
        <f t="shared" ref="BB31:BD31" si="42">SUM(F31,J31,N31,R31,V31,Z31,AD31,AH31,AL31,AP31,AT31,AX31)</f>
        <v>53926</v>
      </c>
      <c r="BC31" s="172">
        <f t="shared" si="42"/>
        <v>69039.118622663489</v>
      </c>
      <c r="BD31" s="172">
        <f t="shared" si="42"/>
        <v>500</v>
      </c>
      <c r="BE31" s="172">
        <f t="shared" si="13"/>
        <v>-15613.118622663489</v>
      </c>
      <c r="BF31" s="172">
        <f t="shared" si="14"/>
        <v>-19002.208622663489</v>
      </c>
      <c r="BG31" s="175">
        <v>-3389.09</v>
      </c>
    </row>
    <row r="32" spans="1:59" ht="15.75" customHeight="1">
      <c r="A32" s="169" t="s">
        <v>93</v>
      </c>
      <c r="B32" s="13"/>
      <c r="C32" s="13" t="s">
        <v>94</v>
      </c>
      <c r="D32" s="170">
        <v>1082.01</v>
      </c>
      <c r="E32" s="175">
        <v>22526</v>
      </c>
      <c r="F32" s="171">
        <f>'Apr2025-COLLECTION'!K31</f>
        <v>5081</v>
      </c>
      <c r="G32" s="172">
        <f>'Apr2025-EXPENSE'!R35</f>
        <v>5772.4935013634231</v>
      </c>
      <c r="H32" s="172"/>
      <c r="I32" s="172">
        <f t="shared" si="0"/>
        <v>-691.49350136342309</v>
      </c>
      <c r="J32" s="173">
        <f>'May2025-COLLECTION'!K31</f>
        <v>5734</v>
      </c>
      <c r="K32" s="174">
        <f>'May2025-EXPENSE'!R35</f>
        <v>5458.0771306077049</v>
      </c>
      <c r="L32" s="174"/>
      <c r="M32" s="174">
        <f t="shared" si="1"/>
        <v>275.92286939229507</v>
      </c>
      <c r="N32" s="172">
        <f>'June2025-COLLECTION'!K31</f>
        <v>5435</v>
      </c>
      <c r="O32" s="172">
        <f>'June2025-EXPENSE'!R35</f>
        <v>4968.6133333294929</v>
      </c>
      <c r="P32" s="172"/>
      <c r="Q32" s="172">
        <f t="shared" si="2"/>
        <v>466.38666667050711</v>
      </c>
      <c r="R32" s="41">
        <f>'July2025-COLLECTION'!K31</f>
        <v>4969</v>
      </c>
      <c r="S32" s="174">
        <f>'July2025-EXPENSE'!R35</f>
        <v>5790.2369543507548</v>
      </c>
      <c r="T32" s="174"/>
      <c r="U32" s="174">
        <f t="shared" si="3"/>
        <v>-821.23695435075479</v>
      </c>
      <c r="V32" s="167">
        <f>'Aug2025-COLLECTION'!K31</f>
        <v>5790</v>
      </c>
      <c r="W32" s="172">
        <f>'Aug2025-EXPENSE'!R35</f>
        <v>6613.1733565946452</v>
      </c>
      <c r="X32" s="172"/>
      <c r="Y32" s="172">
        <f t="shared" si="4"/>
        <v>-823.17335659464516</v>
      </c>
      <c r="Z32" s="41">
        <f>'Sep2025-COLLECTION'!K31</f>
        <v>5790</v>
      </c>
      <c r="AA32" s="174">
        <f>'Sep2025-EXPENSE'!R35</f>
        <v>5303.5667757796891</v>
      </c>
      <c r="AB32" s="174"/>
      <c r="AC32" s="174">
        <f t="shared" si="5"/>
        <v>486.43322422031088</v>
      </c>
      <c r="AD32" s="41">
        <f>'Oct2025-COLLECTION'!K31</f>
        <v>5304</v>
      </c>
      <c r="AE32" s="174">
        <f>'Oct2025-EXPENSE'!R35</f>
        <v>6947.0454665990474</v>
      </c>
      <c r="AF32" s="174"/>
      <c r="AG32" s="174">
        <f t="shared" si="6"/>
        <v>-1643.0454665990474</v>
      </c>
      <c r="AH32" s="41">
        <f>'Nov2025-COLLECTION'!K31</f>
        <v>6231</v>
      </c>
      <c r="AI32" s="174">
        <f>'Nov2025-EXPENSE'!R35</f>
        <v>7284.5175839069861</v>
      </c>
      <c r="AJ32" s="174"/>
      <c r="AK32" s="174">
        <f t="shared" si="7"/>
        <v>-1053.5175839069861</v>
      </c>
      <c r="AL32" s="41">
        <f>'Dec2025-COLLECTION'!K31</f>
        <v>7366.24</v>
      </c>
      <c r="AM32" s="174">
        <f>'Dec2025-EXPENSE'!R35</f>
        <v>6027.402900728287</v>
      </c>
      <c r="AN32" s="174"/>
      <c r="AO32" s="174">
        <f t="shared" si="8"/>
        <v>1338.8370992717128</v>
      </c>
      <c r="AP32" s="7">
        <f>'Jan2026-COLLECTION'!K31</f>
        <v>6004.73</v>
      </c>
      <c r="AQ32" s="10">
        <f>'Jan2026-EXPENSE'!R35</f>
        <v>5568.1679952026161</v>
      </c>
      <c r="AR32" s="10"/>
      <c r="AS32" s="174">
        <f t="shared" si="9"/>
        <v>436.56200479738345</v>
      </c>
      <c r="AT32" s="7">
        <f>'Feb2026-COLLECTION'!K31</f>
        <v>5591</v>
      </c>
      <c r="AU32" s="10">
        <f>'Feb2026-EXPENSE'!R35</f>
        <v>5193.3063333721766</v>
      </c>
      <c r="AV32" s="10"/>
      <c r="AW32" s="174">
        <f t="shared" si="10"/>
        <v>397.6936666278234</v>
      </c>
      <c r="AX32" s="7">
        <f>'Mar2026-COLLECTION'!K31</f>
        <v>5193</v>
      </c>
      <c r="AY32" s="10">
        <f>'Mar2026-EXPENSE'!R35</f>
        <v>5969.9980744346612</v>
      </c>
      <c r="AZ32" s="10"/>
      <c r="BA32" s="174">
        <f t="shared" si="11"/>
        <v>-776.99807443466125</v>
      </c>
      <c r="BB32" s="172">
        <f t="shared" ref="BB32:BD32" si="43">SUM(F32,J32,N32,R32,V32,Z32,AD32,AH32,AL32,AP32,AT32,AX32)</f>
        <v>68488.97</v>
      </c>
      <c r="BC32" s="172">
        <f t="shared" si="43"/>
        <v>70896.599406269495</v>
      </c>
      <c r="BD32" s="172">
        <f t="shared" si="43"/>
        <v>0</v>
      </c>
      <c r="BE32" s="172">
        <f t="shared" si="13"/>
        <v>-2407.6294062694942</v>
      </c>
      <c r="BF32" s="172">
        <f t="shared" si="14"/>
        <v>20118.370593730506</v>
      </c>
      <c r="BG32" s="175">
        <v>17445</v>
      </c>
    </row>
    <row r="33" spans="1:59" ht="15.75" customHeight="1">
      <c r="A33" s="169" t="s">
        <v>95</v>
      </c>
      <c r="B33" s="13"/>
      <c r="C33" s="13" t="s">
        <v>96</v>
      </c>
      <c r="D33" s="170">
        <v>4478.43</v>
      </c>
      <c r="E33" s="175">
        <v>31816</v>
      </c>
      <c r="F33" s="171">
        <f>'Apr2025-COLLECTION'!K32</f>
        <v>9338</v>
      </c>
      <c r="G33" s="172">
        <f>'Apr2025-EXPENSE'!R36</f>
        <v>6113.6941181248058</v>
      </c>
      <c r="H33" s="172"/>
      <c r="I33" s="172">
        <f t="shared" si="0"/>
        <v>3224.3058818751942</v>
      </c>
      <c r="J33" s="173">
        <f>'May2025-COLLECTION'!K32</f>
        <v>0</v>
      </c>
      <c r="K33" s="174">
        <f>'May2025-EXPENSE'!R36</f>
        <v>4590.2178159039886</v>
      </c>
      <c r="L33" s="174"/>
      <c r="M33" s="174">
        <f t="shared" si="1"/>
        <v>-4590.2178159039886</v>
      </c>
      <c r="N33" s="172">
        <f>'June2025-COLLECTION'!K32</f>
        <v>4568</v>
      </c>
      <c r="O33" s="172">
        <f>'June2025-EXPENSE'!R36</f>
        <v>4414.4616899162102</v>
      </c>
      <c r="P33" s="172"/>
      <c r="Q33" s="172">
        <f t="shared" si="2"/>
        <v>153.53831008378984</v>
      </c>
      <c r="R33" s="41">
        <f>'July2025-COLLECTION'!K32</f>
        <v>0</v>
      </c>
      <c r="S33" s="174">
        <f>'July2025-EXPENSE'!R36</f>
        <v>5225.6822781618539</v>
      </c>
      <c r="T33" s="174"/>
      <c r="U33" s="174">
        <f t="shared" si="3"/>
        <v>-5225.6822781618539</v>
      </c>
      <c r="V33" s="167">
        <f>'Aug2025-COLLECTION'!K32</f>
        <v>5226</v>
      </c>
      <c r="W33" s="172">
        <f>'Aug2025-EXPENSE'!R36</f>
        <v>5699.7221825156248</v>
      </c>
      <c r="X33" s="172"/>
      <c r="Y33" s="172">
        <f t="shared" si="4"/>
        <v>-473.72218251562481</v>
      </c>
      <c r="Z33" s="41">
        <f>'Sep2025-COLLECTION'!K32</f>
        <v>5226</v>
      </c>
      <c r="AA33" s="174">
        <f>'Sep2025-EXPENSE'!R36</f>
        <v>5011.2185995963509</v>
      </c>
      <c r="AB33" s="174"/>
      <c r="AC33" s="174">
        <f t="shared" si="5"/>
        <v>214.78140040364906</v>
      </c>
      <c r="AD33" s="41">
        <f>'Oct2025-COLLECTION'!K32</f>
        <v>0</v>
      </c>
      <c r="AE33" s="174">
        <f>'Oct2025-EXPENSE'!R36</f>
        <v>6578.5914176651322</v>
      </c>
      <c r="AF33" s="174"/>
      <c r="AG33" s="174">
        <f t="shared" si="6"/>
        <v>-6578.5914176651322</v>
      </c>
      <c r="AH33" s="41">
        <f>'Nov2025-COLLECTION'!K32</f>
        <v>11242</v>
      </c>
      <c r="AI33" s="174">
        <f>'Nov2025-EXPENSE'!R36</f>
        <v>7575.1313800560547</v>
      </c>
      <c r="AJ33" s="174"/>
      <c r="AK33" s="174">
        <f t="shared" si="7"/>
        <v>3666.8686199439453</v>
      </c>
      <c r="AL33" s="41">
        <f>'Dec2025-COLLECTION'!K32</f>
        <v>0</v>
      </c>
      <c r="AM33" s="174">
        <f>'Dec2025-EXPENSE'!R36</f>
        <v>5604.8400183595231</v>
      </c>
      <c r="AN33" s="174"/>
      <c r="AO33" s="174">
        <f t="shared" si="8"/>
        <v>-5604.8400183595231</v>
      </c>
      <c r="AP33" s="7">
        <f>'Jan2026-COLLECTION'!K32</f>
        <v>5582.17</v>
      </c>
      <c r="AQ33" s="10">
        <f>'Jan2026-EXPENSE'!R36</f>
        <v>5258.1436891912917</v>
      </c>
      <c r="AR33" s="10"/>
      <c r="AS33" s="174">
        <f t="shared" si="9"/>
        <v>324.02631080870833</v>
      </c>
      <c r="AT33" s="7">
        <f>'Feb2026-COLLECTION'!K32</f>
        <v>5281</v>
      </c>
      <c r="AU33" s="10">
        <f>'Feb2026-EXPENSE'!R36</f>
        <v>4807.0649687797113</v>
      </c>
      <c r="AV33" s="10"/>
      <c r="AW33" s="174">
        <f t="shared" si="10"/>
        <v>473.93503122028869</v>
      </c>
      <c r="AX33" s="7">
        <f>'Mar2026-COLLECTION'!K32</f>
        <v>0</v>
      </c>
      <c r="AY33" s="10">
        <f>'Mar2026-EXPENSE'!R36</f>
        <v>4867.9280349504897</v>
      </c>
      <c r="AZ33" s="10"/>
      <c r="BA33" s="174">
        <f t="shared" si="11"/>
        <v>-4867.9280349504897</v>
      </c>
      <c r="BB33" s="172">
        <f t="shared" ref="BB33:BD33" si="44">SUM(F33,J33,N33,R33,V33,Z33,AD33,AH33,AL33,AP33,AT33,AX33)</f>
        <v>46463.17</v>
      </c>
      <c r="BC33" s="172">
        <f t="shared" si="44"/>
        <v>65746.69619322104</v>
      </c>
      <c r="BD33" s="172">
        <f t="shared" si="44"/>
        <v>0</v>
      </c>
      <c r="BE33" s="172">
        <f t="shared" si="13"/>
        <v>-19283.526193221041</v>
      </c>
      <c r="BF33" s="172">
        <f t="shared" si="14"/>
        <v>12532.473806778959</v>
      </c>
      <c r="BG33" s="175">
        <v>22478</v>
      </c>
    </row>
    <row r="34" spans="1:59" ht="15.75" customHeight="1">
      <c r="A34" s="169" t="s">
        <v>97</v>
      </c>
      <c r="B34" s="13"/>
      <c r="C34" s="13" t="s">
        <v>98</v>
      </c>
      <c r="D34" s="170">
        <v>-43941.66</v>
      </c>
      <c r="E34" s="175">
        <v>-906.81000000000131</v>
      </c>
      <c r="F34" s="171">
        <f>'Apr2025-COLLECTION'!K33</f>
        <v>9047</v>
      </c>
      <c r="G34" s="172">
        <f>'Apr2025-EXPENSE'!R37</f>
        <v>5469.9560052052566</v>
      </c>
      <c r="H34" s="172"/>
      <c r="I34" s="172">
        <f t="shared" si="0"/>
        <v>3577.0439947947434</v>
      </c>
      <c r="J34" s="173">
        <f>'May2025-COLLECTION'!K33</f>
        <v>0</v>
      </c>
      <c r="K34" s="174">
        <f>'May2025-EXPENSE'!R37</f>
        <v>4750.1008519326633</v>
      </c>
      <c r="L34" s="174">
        <v>500</v>
      </c>
      <c r="M34" s="174">
        <f t="shared" si="1"/>
        <v>-5250.1008519326633</v>
      </c>
      <c r="N34" s="172">
        <f>'June2025-COLLECTION'!K33</f>
        <v>10158</v>
      </c>
      <c r="O34" s="172">
        <f>'June2025-EXPENSE'!R37</f>
        <v>4519.0464357863566</v>
      </c>
      <c r="P34" s="172"/>
      <c r="Q34" s="172">
        <f t="shared" si="2"/>
        <v>5638.9535642136434</v>
      </c>
      <c r="R34" s="41">
        <f>'July2025-COLLECTION'!K33</f>
        <v>4519.05</v>
      </c>
      <c r="S34" s="174">
        <f>'July2025-EXPENSE'!R37</f>
        <v>5297.3781108974936</v>
      </c>
      <c r="T34" s="174"/>
      <c r="U34" s="174">
        <f t="shared" si="3"/>
        <v>-778.32811089749339</v>
      </c>
      <c r="V34" s="167">
        <f>'Aug2025-COLLECTION'!K33</f>
        <v>5297.38</v>
      </c>
      <c r="W34" s="172">
        <f>'Aug2025-EXPENSE'!R37</f>
        <v>5766.2017438361436</v>
      </c>
      <c r="X34" s="172"/>
      <c r="Y34" s="172">
        <f t="shared" si="4"/>
        <v>-468.82174383614347</v>
      </c>
      <c r="Z34" s="41">
        <f>'Sep2025-COLLECTION'!K33</f>
        <v>7235</v>
      </c>
      <c r="AA34" s="174">
        <f>'Sep2025-EXPENSE'!R37</f>
        <v>4944.2329712266073</v>
      </c>
      <c r="AB34" s="174"/>
      <c r="AC34" s="174">
        <f t="shared" si="5"/>
        <v>2290.7670287733927</v>
      </c>
      <c r="AD34" s="41">
        <f>'Oct2025-COLLECTION'!K33</f>
        <v>4944</v>
      </c>
      <c r="AE34" s="174">
        <f>'Oct2025-EXPENSE'!R37</f>
        <v>6366.6340377262859</v>
      </c>
      <c r="AF34" s="174"/>
      <c r="AG34" s="174">
        <f t="shared" si="6"/>
        <v>-1422.6340377262859</v>
      </c>
      <c r="AH34" s="41">
        <f>'Nov2025-COLLECTION'!K33</f>
        <v>6114</v>
      </c>
      <c r="AI34" s="174">
        <f>'Nov2025-EXPENSE'!R37</f>
        <v>6756.0117864637332</v>
      </c>
      <c r="AJ34" s="174"/>
      <c r="AK34" s="174">
        <f t="shared" si="7"/>
        <v>-642.01178646373319</v>
      </c>
      <c r="AL34" s="41">
        <f>'Dec2025-COLLECTION'!K33</f>
        <v>0</v>
      </c>
      <c r="AM34" s="174">
        <f>'Dec2025-EXPENSE'!R37</f>
        <v>5298.9973089126188</v>
      </c>
      <c r="AN34" s="174"/>
      <c r="AO34" s="174">
        <f t="shared" si="8"/>
        <v>-5298.9973089126188</v>
      </c>
      <c r="AP34" s="7">
        <f>'Jan2026-COLLECTION'!K33</f>
        <v>12119.66</v>
      </c>
      <c r="AQ34" s="10">
        <f>'Jan2026-EXPENSE'!R37</f>
        <v>5126.3766681584584</v>
      </c>
      <c r="AR34" s="10"/>
      <c r="AS34" s="174">
        <f t="shared" si="9"/>
        <v>6993.2833318415414</v>
      </c>
      <c r="AT34" s="7">
        <f>'Feb2026-COLLECTION'!K33</f>
        <v>5143</v>
      </c>
      <c r="AU34" s="10">
        <f>'Feb2026-EXPENSE'!R37</f>
        <v>5165.7017429773823</v>
      </c>
      <c r="AV34" s="10"/>
      <c r="AW34" s="174">
        <f t="shared" si="10"/>
        <v>-22.70174297738231</v>
      </c>
      <c r="AX34" s="7">
        <f>'Mar2026-COLLECTION'!K33</f>
        <v>5166</v>
      </c>
      <c r="AY34" s="10">
        <f>'Mar2026-EXPENSE'!R37</f>
        <v>4819.0278202984982</v>
      </c>
      <c r="AZ34" s="10"/>
      <c r="BA34" s="174">
        <f t="shared" si="11"/>
        <v>346.97217970150177</v>
      </c>
      <c r="BB34" s="172">
        <f t="shared" ref="BB34:BD34" si="45">SUM(F34,J34,N34,R34,V34,Z34,AD34,AH34,AL34,AP34,AT34,AX34)</f>
        <v>69743.09</v>
      </c>
      <c r="BC34" s="172">
        <f t="shared" si="45"/>
        <v>64279.665483421508</v>
      </c>
      <c r="BD34" s="172">
        <f t="shared" si="45"/>
        <v>500</v>
      </c>
      <c r="BE34" s="172">
        <f t="shared" si="13"/>
        <v>4963.4245165784887</v>
      </c>
      <c r="BF34" s="172">
        <f t="shared" si="14"/>
        <v>4056.6145165784874</v>
      </c>
      <c r="BG34" s="175">
        <v>-9953.8100000000013</v>
      </c>
    </row>
    <row r="35" spans="1:59" ht="15.75" customHeight="1">
      <c r="A35" s="169" t="s">
        <v>99</v>
      </c>
      <c r="B35" s="13"/>
      <c r="C35" s="13" t="s">
        <v>100</v>
      </c>
      <c r="D35" s="170">
        <v>-14777.27</v>
      </c>
      <c r="E35" s="175">
        <v>-22380.800000000003</v>
      </c>
      <c r="F35" s="171">
        <f>'Apr2025-COLLECTION'!K34</f>
        <v>4592</v>
      </c>
      <c r="G35" s="172">
        <f>'Apr2025-EXPENSE'!R38</f>
        <v>5334.5148437500002</v>
      </c>
      <c r="H35" s="172"/>
      <c r="I35" s="172">
        <f t="shared" si="0"/>
        <v>-742.51484375000018</v>
      </c>
      <c r="J35" s="173">
        <f>'May2025-COLLECTION'!K34</f>
        <v>5286</v>
      </c>
      <c r="K35" s="174">
        <f>'May2025-EXPENSE'!R38</f>
        <v>4029.8636485156248</v>
      </c>
      <c r="L35" s="174">
        <v>500</v>
      </c>
      <c r="M35" s="174">
        <f t="shared" si="1"/>
        <v>756.13635148437515</v>
      </c>
      <c r="N35" s="172">
        <f>'June2025-COLLECTION'!K34</f>
        <v>4012</v>
      </c>
      <c r="O35" s="172">
        <f>'June2025-EXPENSE'!R38</f>
        <v>4365.1665173038364</v>
      </c>
      <c r="P35" s="172"/>
      <c r="Q35" s="172">
        <f t="shared" si="2"/>
        <v>-353.16651730383637</v>
      </c>
      <c r="R35" s="41">
        <f>'July2025-COLLECTION'!K34</f>
        <v>4365.17</v>
      </c>
      <c r="S35" s="174">
        <f>'July2025-EXPENSE'!R38</f>
        <v>5177.8030768544486</v>
      </c>
      <c r="T35" s="174"/>
      <c r="U35" s="174">
        <f t="shared" si="3"/>
        <v>-812.63307685444852</v>
      </c>
      <c r="V35" s="167">
        <f>'Aug2025-COLLECTION'!K34</f>
        <v>5177</v>
      </c>
      <c r="W35" s="172">
        <f>'Aug2025-EXPENSE'!R38</f>
        <v>5581.9105235156248</v>
      </c>
      <c r="X35" s="172"/>
      <c r="Y35" s="172">
        <f t="shared" si="4"/>
        <v>-404.91052351562485</v>
      </c>
      <c r="Z35" s="41">
        <f>'Sep2025-COLLECTION'!K34</f>
        <v>5581.91</v>
      </c>
      <c r="AA35" s="174">
        <f>'Sep2025-EXPENSE'!R38</f>
        <v>4841.0443090400631</v>
      </c>
      <c r="AB35" s="174"/>
      <c r="AC35" s="174">
        <f t="shared" si="5"/>
        <v>740.86569095993673</v>
      </c>
      <c r="AD35" s="41">
        <f>'Oct2025-COLLECTION'!K34</f>
        <v>4841.04</v>
      </c>
      <c r="AE35" s="174">
        <f>'Oct2025-EXPENSE'!R38</f>
        <v>6315.5233246658063</v>
      </c>
      <c r="AF35" s="174"/>
      <c r="AG35" s="174">
        <f t="shared" si="6"/>
        <v>-1474.4833246658063</v>
      </c>
      <c r="AH35" s="41">
        <f>'Nov2025-COLLECTION'!K34</f>
        <v>6114</v>
      </c>
      <c r="AI35" s="174">
        <f>'Nov2025-EXPENSE'!R38</f>
        <v>7163.7523358424914</v>
      </c>
      <c r="AJ35" s="174"/>
      <c r="AK35" s="174">
        <f t="shared" si="7"/>
        <v>-1049.7523358424914</v>
      </c>
      <c r="AL35" s="41">
        <f>'Dec2025-COLLECTION'!K34</f>
        <v>7245.47</v>
      </c>
      <c r="AM35" s="174">
        <f>'Dec2025-EXPENSE'!R38</f>
        <v>5209.3913405531712</v>
      </c>
      <c r="AN35" s="174"/>
      <c r="AO35" s="174">
        <f t="shared" si="8"/>
        <v>2036.0786594468291</v>
      </c>
      <c r="AP35" s="7">
        <f>'Jan2026-COLLECTION'!K34</f>
        <v>5192.32</v>
      </c>
      <c r="AQ35" s="10">
        <f>'Jan2026-EXPENSE'!R38</f>
        <v>4877.1101484443361</v>
      </c>
      <c r="AR35" s="10"/>
      <c r="AS35" s="174">
        <f t="shared" si="9"/>
        <v>315.20985155566359</v>
      </c>
      <c r="AT35" s="7">
        <f>'Feb2026-COLLECTION'!K34</f>
        <v>4894</v>
      </c>
      <c r="AU35" s="10">
        <f>'Feb2026-EXPENSE'!R38</f>
        <v>4572.7891027598325</v>
      </c>
      <c r="AV35" s="10"/>
      <c r="AW35" s="174">
        <f t="shared" si="10"/>
        <v>321.21089724016747</v>
      </c>
      <c r="AX35" s="7">
        <f>'Mar2026-COLLECTION'!K34</f>
        <v>4573</v>
      </c>
      <c r="AY35" s="10">
        <f>'Mar2026-EXPENSE'!R38</f>
        <v>4890.0163989143866</v>
      </c>
      <c r="AZ35" s="10"/>
      <c r="BA35" s="174">
        <f t="shared" si="11"/>
        <v>-317.01639891438663</v>
      </c>
      <c r="BB35" s="172">
        <f t="shared" ref="BB35:BD35" si="46">SUM(F35,J35,N35,R35,V35,Z35,AD35,AH35,AL35,AP35,AT35,AX35)</f>
        <v>61873.909999999996</v>
      </c>
      <c r="BC35" s="172">
        <f t="shared" si="46"/>
        <v>62358.885570159611</v>
      </c>
      <c r="BD35" s="172">
        <f t="shared" si="46"/>
        <v>500</v>
      </c>
      <c r="BE35" s="172">
        <f t="shared" si="13"/>
        <v>-984.97557015961502</v>
      </c>
      <c r="BF35" s="172">
        <f t="shared" si="14"/>
        <v>-23365.775570159618</v>
      </c>
      <c r="BG35" s="175">
        <v>-26972.800000000003</v>
      </c>
    </row>
    <row r="36" spans="1:59" ht="15.75" customHeight="1">
      <c r="A36" s="169" t="s">
        <v>101</v>
      </c>
      <c r="B36" s="13"/>
      <c r="C36" s="13" t="s">
        <v>340</v>
      </c>
      <c r="D36" s="170">
        <v>-86620.5</v>
      </c>
      <c r="E36" s="175">
        <v>-47620.721317381802</v>
      </c>
      <c r="F36" s="171">
        <f>'Apr2025-COLLECTION'!K35</f>
        <v>0</v>
      </c>
      <c r="G36" s="172">
        <f>'Apr2025-EXPENSE'!R39</f>
        <v>8208.6854521879468</v>
      </c>
      <c r="H36" s="172"/>
      <c r="I36" s="172">
        <f t="shared" si="0"/>
        <v>-8208.6854521879468</v>
      </c>
      <c r="J36" s="173">
        <f>'May2025-COLLECTION'!K35</f>
        <v>21099</v>
      </c>
      <c r="K36" s="174">
        <f>'May2025-EXPENSE'!R39</f>
        <v>7121.8856052159854</v>
      </c>
      <c r="L36" s="174">
        <v>500</v>
      </c>
      <c r="M36" s="174">
        <f t="shared" si="1"/>
        <v>13477.114394784014</v>
      </c>
      <c r="N36" s="172">
        <f>'June2025-COLLECTION'!K35</f>
        <v>77099</v>
      </c>
      <c r="O36" s="172">
        <f>'June2025-EXPENSE'!R39</f>
        <v>7058.387070069839</v>
      </c>
      <c r="P36" s="172"/>
      <c r="Q36" s="172">
        <f t="shared" si="2"/>
        <v>70040.612929930154</v>
      </c>
      <c r="R36" s="41">
        <f>'July2025-COLLECTION'!K35</f>
        <v>0</v>
      </c>
      <c r="S36" s="174">
        <f>'July2025-EXPENSE'!R39</f>
        <v>8300.9970488782637</v>
      </c>
      <c r="T36" s="174">
        <v>500</v>
      </c>
      <c r="U36" s="174">
        <f t="shared" si="3"/>
        <v>-8800.9970488782637</v>
      </c>
      <c r="V36" s="167">
        <f>'Aug2025-COLLECTION'!K35</f>
        <v>15859</v>
      </c>
      <c r="W36" s="172">
        <f>'Aug2025-EXPENSE'!R39</f>
        <v>9210.8168098141978</v>
      </c>
      <c r="X36" s="172"/>
      <c r="Y36" s="172">
        <f t="shared" si="4"/>
        <v>6648.1831901858022</v>
      </c>
      <c r="Z36" s="41">
        <f>'Sep2025-COLLECTION'!K35</f>
        <v>0</v>
      </c>
      <c r="AA36" s="174">
        <f>'Sep2025-EXPENSE'!R39</f>
        <v>7566.3495394434731</v>
      </c>
      <c r="AB36" s="174"/>
      <c r="AC36" s="174">
        <f t="shared" si="5"/>
        <v>-7566.3495394434731</v>
      </c>
      <c r="AD36" s="41">
        <f>'Oct2025-COLLECTION'!K35</f>
        <v>0</v>
      </c>
      <c r="AE36" s="174">
        <f>'Oct2025-EXPENSE'!R39</f>
        <v>9405.9914352738124</v>
      </c>
      <c r="AF36" s="174"/>
      <c r="AG36" s="174">
        <f t="shared" si="6"/>
        <v>-9405.9914352738124</v>
      </c>
      <c r="AH36" s="41">
        <f>'Nov2025-COLLECTION'!K35</f>
        <v>0</v>
      </c>
      <c r="AI36" s="174">
        <f>'Nov2025-EXPENSE'!R39</f>
        <v>8947.7271636671503</v>
      </c>
      <c r="AJ36" s="174"/>
      <c r="AK36" s="174">
        <f t="shared" si="7"/>
        <v>-8947.7271636671503</v>
      </c>
      <c r="AL36" s="41">
        <f>'Dec2025-COLLECTION'!K35</f>
        <v>0</v>
      </c>
      <c r="AM36" s="174">
        <f>'Dec2025-EXPENSE'!R39</f>
        <v>5831.9204065967551</v>
      </c>
      <c r="AN36" s="174"/>
      <c r="AO36" s="174">
        <f t="shared" si="8"/>
        <v>-5831.9204065967551</v>
      </c>
      <c r="AP36" s="7">
        <f>'Jan2026-COLLECTION'!K35</f>
        <v>6231</v>
      </c>
      <c r="AQ36" s="10">
        <f>'Jan2026-EXPENSE'!R39</f>
        <v>5791.7878256489503</v>
      </c>
      <c r="AR36" s="10"/>
      <c r="AS36" s="174">
        <f t="shared" si="9"/>
        <v>439.21217435104973</v>
      </c>
      <c r="AT36" s="7">
        <f>'Feb2026-COLLECTION'!K35</f>
        <v>5809.25</v>
      </c>
      <c r="AU36" s="10">
        <f>'Feb2026-EXPENSE'!R39</f>
        <v>5653.4330499110101</v>
      </c>
      <c r="AV36" s="10"/>
      <c r="AW36" s="174">
        <f t="shared" si="10"/>
        <v>155.81695008898987</v>
      </c>
      <c r="AX36" s="7">
        <f>'Mar2026-COLLECTION'!K35</f>
        <v>5814</v>
      </c>
      <c r="AY36" s="10">
        <f>'Mar2026-EXPENSE'!R39</f>
        <v>6948.1808810820075</v>
      </c>
      <c r="AZ36" s="10"/>
      <c r="BA36" s="174">
        <f t="shared" si="11"/>
        <v>-1134.1808810820075</v>
      </c>
      <c r="BB36" s="172">
        <f t="shared" ref="BB36:BD36" si="47">SUM(F36,J36,N36,R36,V36,Z36,AD36,AH36,AL36,AP36,AT36,AX36)</f>
        <v>131911.25</v>
      </c>
      <c r="BC36" s="172">
        <f t="shared" si="47"/>
        <v>90046.162287789382</v>
      </c>
      <c r="BD36" s="172">
        <f t="shared" si="47"/>
        <v>1000</v>
      </c>
      <c r="BE36" s="172">
        <f t="shared" si="13"/>
        <v>40865.087712210618</v>
      </c>
      <c r="BF36" s="172">
        <f t="shared" si="14"/>
        <v>-6755.6336051711842</v>
      </c>
      <c r="BG36" s="175">
        <v>-96278.63</v>
      </c>
    </row>
    <row r="37" spans="1:59" ht="15.75" customHeight="1">
      <c r="A37" s="169" t="s">
        <v>103</v>
      </c>
      <c r="B37" s="13" t="s">
        <v>341</v>
      </c>
      <c r="C37" s="13" t="s">
        <v>342</v>
      </c>
      <c r="D37" s="170">
        <v>-48759.94</v>
      </c>
      <c r="E37" s="175">
        <v>-2308.8191154821034</v>
      </c>
      <c r="F37" s="171">
        <f>'Apr2025-COLLECTION'!K36</f>
        <v>5088</v>
      </c>
      <c r="G37" s="172">
        <f>'Apr2025-EXPENSE'!R40</f>
        <v>5597.3407650340832</v>
      </c>
      <c r="H37" s="172"/>
      <c r="I37" s="172">
        <f t="shared" si="0"/>
        <v>-509.34076503408323</v>
      </c>
      <c r="J37" s="173">
        <f>'May2025-COLLECTION'!K36</f>
        <v>5553</v>
      </c>
      <c r="K37" s="174">
        <f>'May2025-EXPENSE'!R40</f>
        <v>4294.7358862969986</v>
      </c>
      <c r="L37" s="174"/>
      <c r="M37" s="174">
        <f t="shared" si="1"/>
        <v>1258.2641137030014</v>
      </c>
      <c r="N37" s="172">
        <f>'June2025-COLLECTION'!K36</f>
        <v>44238.54</v>
      </c>
      <c r="O37" s="172">
        <f>'June2025-EXPENSE'!R40</f>
        <v>4516.2540293633547</v>
      </c>
      <c r="P37" s="172"/>
      <c r="Q37" s="172">
        <f t="shared" si="2"/>
        <v>39722.285970636643</v>
      </c>
      <c r="R37" s="41">
        <f>'July2025-COLLECTION'!K36</f>
        <v>4573</v>
      </c>
      <c r="S37" s="174">
        <f>'July2025-EXPENSE'!R40</f>
        <v>5457.3476344639521</v>
      </c>
      <c r="T37" s="174"/>
      <c r="U37" s="174">
        <f t="shared" si="3"/>
        <v>-884.34763446395209</v>
      </c>
      <c r="V37" s="167">
        <f>'Aug2025-COLLECTION'!K36</f>
        <v>5457</v>
      </c>
      <c r="W37" s="172">
        <f>'Aug2025-EXPENSE'!R40</f>
        <v>5849.8145735826502</v>
      </c>
      <c r="X37" s="172"/>
      <c r="Y37" s="172">
        <f t="shared" si="4"/>
        <v>-392.81457358265016</v>
      </c>
      <c r="Z37" s="41">
        <f>'Sep2025-COLLECTION'!K36</f>
        <v>5457</v>
      </c>
      <c r="AA37" s="174">
        <f>'Sep2025-EXPENSE'!R40</f>
        <v>4996.7193908584168</v>
      </c>
      <c r="AB37" s="174"/>
      <c r="AC37" s="174">
        <f t="shared" si="5"/>
        <v>460.28060914158323</v>
      </c>
      <c r="AD37" s="41">
        <f>'Oct2025-COLLECTION'!K36</f>
        <v>4997</v>
      </c>
      <c r="AE37" s="174">
        <f>'Oct2025-EXPENSE'!R40</f>
        <v>6407.5139789387858</v>
      </c>
      <c r="AF37" s="174"/>
      <c r="AG37" s="174">
        <f t="shared" si="6"/>
        <v>-1410.5139789387858</v>
      </c>
      <c r="AH37" s="41">
        <f>'Nov2025-COLLECTION'!K36</f>
        <v>6231</v>
      </c>
      <c r="AI37" s="174">
        <f>'Nov2025-EXPENSE'!R40</f>
        <v>6763.1849042773583</v>
      </c>
      <c r="AJ37" s="174"/>
      <c r="AK37" s="174">
        <f t="shared" si="7"/>
        <v>-532.18490427735833</v>
      </c>
      <c r="AL37" s="41">
        <f>'Dec2025-COLLECTION'!K36</f>
        <v>6845</v>
      </c>
      <c r="AM37" s="174">
        <f>'Dec2025-EXPENSE'!R40</f>
        <v>5152.707166432142</v>
      </c>
      <c r="AN37" s="174"/>
      <c r="AO37" s="174">
        <f t="shared" si="8"/>
        <v>1692.292833567858</v>
      </c>
      <c r="AP37" s="7">
        <f>'Jan2026-COLLECTION'!K36</f>
        <v>5130</v>
      </c>
      <c r="AQ37" s="10">
        <f>'Jan2026-EXPENSE'!R40</f>
        <v>5275.2167384867789</v>
      </c>
      <c r="AR37" s="10"/>
      <c r="AS37" s="174">
        <f t="shared" si="9"/>
        <v>-145.21673848677892</v>
      </c>
      <c r="AT37" s="7">
        <f>'Feb2026-COLLECTION'!K36</f>
        <v>5298</v>
      </c>
      <c r="AU37" s="10">
        <f>'Feb2026-EXPENSE'!R40</f>
        <v>4829.0228645388734</v>
      </c>
      <c r="AV37" s="10"/>
      <c r="AW37" s="174">
        <f t="shared" si="10"/>
        <v>468.97713546112664</v>
      </c>
      <c r="AX37" s="7">
        <f>'Mar2026-COLLECTION'!K36</f>
        <v>0</v>
      </c>
      <c r="AY37" s="10">
        <f>'Mar2026-EXPENSE'!R40</f>
        <v>5092.1723300175017</v>
      </c>
      <c r="AZ37" s="10"/>
      <c r="BA37" s="174">
        <f t="shared" si="11"/>
        <v>-5092.1723300175017</v>
      </c>
      <c r="BB37" s="172">
        <f t="shared" ref="BB37:BD37" si="48">SUM(F37,J37,N37,R37,V37,Z37,AD37,AH37,AL37,AP37,AT37,AX37)</f>
        <v>98867.540000000008</v>
      </c>
      <c r="BC37" s="172">
        <f t="shared" si="48"/>
        <v>64232.030262290893</v>
      </c>
      <c r="BD37" s="172">
        <f t="shared" si="48"/>
        <v>0</v>
      </c>
      <c r="BE37" s="172">
        <f t="shared" si="13"/>
        <v>34635.509737709115</v>
      </c>
      <c r="BF37" s="172">
        <f t="shared" si="14"/>
        <v>32326.690622227012</v>
      </c>
      <c r="BG37" s="175">
        <v>-35044.409999999996</v>
      </c>
    </row>
    <row r="38" spans="1:59" ht="15.75" customHeight="1">
      <c r="A38" s="169" t="s">
        <v>105</v>
      </c>
      <c r="B38" s="13"/>
      <c r="C38" s="13" t="s">
        <v>106</v>
      </c>
      <c r="D38" s="170">
        <v>-8330.82</v>
      </c>
      <c r="E38" s="175">
        <v>19747.489999999998</v>
      </c>
      <c r="F38" s="171">
        <f>'Apr2025-COLLECTION'!K37</f>
        <v>4768</v>
      </c>
      <c r="G38" s="172">
        <f>'Apr2025-EXPENSE'!R41</f>
        <v>6855.8488164196642</v>
      </c>
      <c r="H38" s="172"/>
      <c r="I38" s="172">
        <f t="shared" si="0"/>
        <v>-2087.8488164196642</v>
      </c>
      <c r="J38" s="173">
        <f>'May2025-COLLECTION'!K37</f>
        <v>6853</v>
      </c>
      <c r="K38" s="174">
        <f>'May2025-EXPENSE'!R41</f>
        <v>4913.9280862591713</v>
      </c>
      <c r="L38" s="174"/>
      <c r="M38" s="174">
        <f t="shared" si="1"/>
        <v>1939.0719137408287</v>
      </c>
      <c r="N38" s="172">
        <f>'June2025-COLLECTION'!K37</f>
        <v>4897</v>
      </c>
      <c r="O38" s="172">
        <f>'June2025-EXPENSE'!R41</f>
        <v>4515.5349136041968</v>
      </c>
      <c r="P38" s="172"/>
      <c r="Q38" s="172">
        <f t="shared" si="2"/>
        <v>381.46508639580316</v>
      </c>
      <c r="R38" s="41">
        <f>'July2025-COLLECTION'!K37</f>
        <v>4516</v>
      </c>
      <c r="S38" s="174">
        <f>'July2025-EXPENSE'!R41</f>
        <v>5289.848310488298</v>
      </c>
      <c r="T38" s="174"/>
      <c r="U38" s="174">
        <f t="shared" si="3"/>
        <v>-773.84831048829801</v>
      </c>
      <c r="V38" s="167">
        <f>'Aug2025-COLLECTION'!K37</f>
        <v>5290</v>
      </c>
      <c r="W38" s="172">
        <f>'Aug2025-EXPENSE'!R41</f>
        <v>6420.737984347099</v>
      </c>
      <c r="X38" s="172"/>
      <c r="Y38" s="172">
        <f t="shared" si="4"/>
        <v>-1130.737984347099</v>
      </c>
      <c r="Z38" s="41">
        <f>'Sep2025-COLLECTION'!K37</f>
        <v>5290</v>
      </c>
      <c r="AA38" s="174">
        <f>'Sep2025-EXPENSE'!R41</f>
        <v>5637.2005888428539</v>
      </c>
      <c r="AB38" s="174"/>
      <c r="AC38" s="174">
        <f t="shared" si="5"/>
        <v>-347.2005888428539</v>
      </c>
      <c r="AD38" s="41">
        <f>'Oct2025-COLLECTION'!K37</f>
        <v>0</v>
      </c>
      <c r="AE38" s="174">
        <f>'Oct2025-EXPENSE'!R41</f>
        <v>7696.3095218890994</v>
      </c>
      <c r="AF38" s="174"/>
      <c r="AG38" s="174">
        <f t="shared" si="6"/>
        <v>-7696.3095218890994</v>
      </c>
      <c r="AH38" s="41">
        <f>'Nov2025-COLLECTION'!K37</f>
        <v>11751</v>
      </c>
      <c r="AI38" s="174">
        <f>'Nov2025-EXPENSE'!R41</f>
        <v>7688.1354435223348</v>
      </c>
      <c r="AJ38" s="174"/>
      <c r="AK38" s="174">
        <f t="shared" si="7"/>
        <v>4062.8645564776652</v>
      </c>
      <c r="AL38" s="41">
        <f>'Dec2025-COLLECTION'!K37</f>
        <v>0</v>
      </c>
      <c r="AM38" s="174">
        <f>'Dec2025-EXPENSE'!R41</f>
        <v>6321.071280642067</v>
      </c>
      <c r="AN38" s="174"/>
      <c r="AO38" s="174">
        <f t="shared" si="8"/>
        <v>-6321.071280642067</v>
      </c>
      <c r="AP38" s="7">
        <f>'Jan2026-COLLECTION'!K37</f>
        <v>0</v>
      </c>
      <c r="AQ38" s="10">
        <f>'Jan2026-EXPENSE'!R41</f>
        <v>5842.1085868849495</v>
      </c>
      <c r="AR38" s="10"/>
      <c r="AS38" s="174">
        <f t="shared" si="9"/>
        <v>-5842.1085868849495</v>
      </c>
      <c r="AT38" s="7">
        <f>'Feb2026-COLLECTION'!K37</f>
        <v>0</v>
      </c>
      <c r="AU38" s="10">
        <f>'Feb2026-EXPENSE'!R41</f>
        <v>5361.1962518421724</v>
      </c>
      <c r="AV38" s="10"/>
      <c r="AW38" s="174">
        <f t="shared" si="10"/>
        <v>-5361.1962518421724</v>
      </c>
      <c r="AX38" s="7">
        <f>'Mar2026-COLLECTION'!K37</f>
        <v>5361</v>
      </c>
      <c r="AY38" s="10">
        <f>'Mar2026-EXPENSE'!R41</f>
        <v>5779.8283768548517</v>
      </c>
      <c r="AZ38" s="10"/>
      <c r="BA38" s="174">
        <f t="shared" si="11"/>
        <v>-418.82837685485174</v>
      </c>
      <c r="BB38" s="172">
        <f t="shared" ref="BB38:BD38" si="49">SUM(F38,J38,N38,R38,V38,Z38,AD38,AH38,AL38,AP38,AT38,AX38)</f>
        <v>48726</v>
      </c>
      <c r="BC38" s="172">
        <f t="shared" si="49"/>
        <v>72321.748161596755</v>
      </c>
      <c r="BD38" s="172">
        <f t="shared" si="49"/>
        <v>0</v>
      </c>
      <c r="BE38" s="172">
        <f t="shared" si="13"/>
        <v>-23595.748161596755</v>
      </c>
      <c r="BF38" s="172">
        <f t="shared" si="14"/>
        <v>-3848.2581615967574</v>
      </c>
      <c r="BG38" s="175">
        <v>14979.49</v>
      </c>
    </row>
    <row r="39" spans="1:59" ht="15.75" customHeight="1">
      <c r="A39" s="169" t="s">
        <v>107</v>
      </c>
      <c r="B39" s="13"/>
      <c r="C39" s="13" t="s">
        <v>108</v>
      </c>
      <c r="D39" s="170">
        <v>37108.99</v>
      </c>
      <c r="E39" s="175">
        <v>18968.16</v>
      </c>
      <c r="F39" s="171">
        <f>'Apr2025-COLLECTION'!K38</f>
        <v>0</v>
      </c>
      <c r="G39" s="172">
        <f>'Apr2025-EXPENSE'!R42</f>
        <v>6332.9111607591467</v>
      </c>
      <c r="H39" s="172"/>
      <c r="I39" s="172">
        <f t="shared" si="0"/>
        <v>-6332.9111607591467</v>
      </c>
      <c r="J39" s="173">
        <f>'May2025-COLLECTION'!K38</f>
        <v>6314</v>
      </c>
      <c r="K39" s="174">
        <f>'May2025-EXPENSE'!R42</f>
        <v>4812.3075739551878</v>
      </c>
      <c r="L39" s="174"/>
      <c r="M39" s="174">
        <f t="shared" si="1"/>
        <v>1501.6924260448122</v>
      </c>
      <c r="N39" s="172">
        <f>'June2025-COLLECTION'!K38</f>
        <v>0</v>
      </c>
      <c r="O39" s="172">
        <f>'June2025-EXPENSE'!R42</f>
        <v>4999.9159555647966</v>
      </c>
      <c r="P39" s="172"/>
      <c r="Q39" s="172">
        <f t="shared" si="2"/>
        <v>-4999.9159555647966</v>
      </c>
      <c r="R39" s="41">
        <f>'July2025-COLLECTION'!K38</f>
        <v>0</v>
      </c>
      <c r="S39" s="174">
        <f>'July2025-EXPENSE'!R42</f>
        <v>5848.8570857770119</v>
      </c>
      <c r="T39" s="174"/>
      <c r="U39" s="174">
        <f t="shared" si="3"/>
        <v>-5848.8570857770119</v>
      </c>
      <c r="V39" s="167">
        <f>'Aug2025-COLLECTION'!K38</f>
        <v>5000</v>
      </c>
      <c r="W39" s="172">
        <f>'Aug2025-EXPENSE'!R42</f>
        <v>6298.0402341385288</v>
      </c>
      <c r="X39" s="172"/>
      <c r="Y39" s="172">
        <f t="shared" si="4"/>
        <v>-1298.0402341385288</v>
      </c>
      <c r="Z39" s="41">
        <f>'Sep2025-COLLECTION'!K38</f>
        <v>0</v>
      </c>
      <c r="AA39" s="174">
        <f>'Sep2025-EXPENSE'!R42</f>
        <v>4935.0527656941658</v>
      </c>
      <c r="AB39" s="174"/>
      <c r="AC39" s="174">
        <f t="shared" si="5"/>
        <v>-4935.0527656941658</v>
      </c>
      <c r="AD39" s="41">
        <f>'Oct2025-COLLECTION'!K38</f>
        <v>4935</v>
      </c>
      <c r="AE39" s="174">
        <f>'Oct2025-EXPENSE'!R42</f>
        <v>6242.6294594693627</v>
      </c>
      <c r="AF39" s="174"/>
      <c r="AG39" s="174">
        <f t="shared" si="6"/>
        <v>-1307.6294594693627</v>
      </c>
      <c r="AH39" s="41">
        <f>'Nov2025-COLLECTION'!K38</f>
        <v>0</v>
      </c>
      <c r="AI39" s="174">
        <f>'Nov2025-EXPENSE'!R42</f>
        <v>6546.452221363239</v>
      </c>
      <c r="AJ39" s="174"/>
      <c r="AK39" s="174">
        <f t="shared" si="7"/>
        <v>-6546.452221363239</v>
      </c>
      <c r="AL39" s="41">
        <f>'Dec2025-COLLECTION'!K38</f>
        <v>6114</v>
      </c>
      <c r="AM39" s="174">
        <f>'Dec2025-EXPENSE'!R42</f>
        <v>5094.6957010530787</v>
      </c>
      <c r="AN39" s="174"/>
      <c r="AO39" s="174">
        <f t="shared" si="8"/>
        <v>1019.3042989469213</v>
      </c>
      <c r="AP39" s="7">
        <f>'Jan2026-COLLECTION'!K38</f>
        <v>0</v>
      </c>
      <c r="AQ39" s="10">
        <f>'Jan2026-EXPENSE'!R42</f>
        <v>4874.6976523482354</v>
      </c>
      <c r="AR39" s="10"/>
      <c r="AS39" s="174">
        <f t="shared" si="9"/>
        <v>-4874.6976523482354</v>
      </c>
      <c r="AT39" s="7">
        <f>'Feb2026-COLLECTION'!K38</f>
        <v>4892</v>
      </c>
      <c r="AU39" s="10">
        <f>'Feb2026-EXPENSE'!R42</f>
        <v>4619.1776302870703</v>
      </c>
      <c r="AV39" s="10"/>
      <c r="AW39" s="174">
        <f t="shared" si="10"/>
        <v>272.82236971292969</v>
      </c>
      <c r="AX39" s="7">
        <f>'Mar2026-COLLECTION'!K38</f>
        <v>4619</v>
      </c>
      <c r="AY39" s="10">
        <f>'Mar2026-EXPENSE'!R42</f>
        <v>5329.7917491809167</v>
      </c>
      <c r="AZ39" s="10"/>
      <c r="BA39" s="174">
        <f t="shared" si="11"/>
        <v>-710.79174918091667</v>
      </c>
      <c r="BB39" s="172">
        <f t="shared" ref="BB39:BD39" si="50">SUM(F39,J39,N39,R39,V39,Z39,AD39,AH39,AL39,AP39,AT39,AX39)</f>
        <v>31874</v>
      </c>
      <c r="BC39" s="172">
        <f t="shared" si="50"/>
        <v>65934.529189590728</v>
      </c>
      <c r="BD39" s="172">
        <f t="shared" si="50"/>
        <v>0</v>
      </c>
      <c r="BE39" s="172">
        <f t="shared" si="13"/>
        <v>-34060.529189590728</v>
      </c>
      <c r="BF39" s="172">
        <f t="shared" si="14"/>
        <v>-15092.369189590729</v>
      </c>
      <c r="BG39" s="175">
        <v>18968.16</v>
      </c>
    </row>
    <row r="40" spans="1:59" ht="15.75" customHeight="1">
      <c r="A40" s="169" t="s">
        <v>109</v>
      </c>
      <c r="B40" s="30"/>
      <c r="C40" s="30" t="s">
        <v>110</v>
      </c>
      <c r="D40" s="170">
        <v>30080.35</v>
      </c>
      <c r="E40" s="175">
        <v>12756.36</v>
      </c>
      <c r="F40" s="171">
        <f>'Apr2025-COLLECTION'!K39</f>
        <v>0</v>
      </c>
      <c r="G40" s="172">
        <f>'Apr2025-EXPENSE'!R43</f>
        <v>5368.2079545563784</v>
      </c>
      <c r="H40" s="172"/>
      <c r="I40" s="172">
        <f t="shared" si="0"/>
        <v>-5368.2079545563784</v>
      </c>
      <c r="J40" s="173">
        <f>'May2025-COLLECTION'!K39</f>
        <v>5320</v>
      </c>
      <c r="K40" s="174">
        <f>'May2025-EXPENSE'!R43</f>
        <v>4093.0909495713313</v>
      </c>
      <c r="L40" s="174"/>
      <c r="M40" s="174">
        <f t="shared" si="1"/>
        <v>1226.9090504286687</v>
      </c>
      <c r="N40" s="172">
        <f>'June2025-COLLECTION'!K39</f>
        <v>0</v>
      </c>
      <c r="O40" s="172">
        <f>'June2025-EXPENSE'!R43</f>
        <v>4299.4508878948382</v>
      </c>
      <c r="P40" s="172"/>
      <c r="Q40" s="172">
        <f t="shared" si="2"/>
        <v>-4299.4508878948382</v>
      </c>
      <c r="R40" s="41">
        <f>'July2025-COLLECTION'!K39</f>
        <v>0</v>
      </c>
      <c r="S40" s="174">
        <f>'July2025-EXPENSE'!R43</f>
        <v>5134.9237942847149</v>
      </c>
      <c r="T40" s="174"/>
      <c r="U40" s="174">
        <f t="shared" si="3"/>
        <v>-5134.9237942847149</v>
      </c>
      <c r="V40" s="167">
        <f>'Aug2025-COLLECTION'!K39</f>
        <v>0</v>
      </c>
      <c r="W40" s="172">
        <f>'Aug2025-EXPENSE'!R43</f>
        <v>5582.266298072228</v>
      </c>
      <c r="X40" s="172"/>
      <c r="Y40" s="172">
        <f t="shared" si="4"/>
        <v>-5582.266298072228</v>
      </c>
      <c r="Z40" s="41">
        <f>'Sep2025-COLLECTION'!K39</f>
        <v>15000</v>
      </c>
      <c r="AA40" s="174">
        <f>'Sep2025-EXPENSE'!R43</f>
        <v>4758.1466590818764</v>
      </c>
      <c r="AB40" s="174"/>
      <c r="AC40" s="174">
        <f t="shared" si="5"/>
        <v>10241.853340918124</v>
      </c>
      <c r="AD40" s="41">
        <f>'Oct2025-COLLECTION'!K39</f>
        <v>0</v>
      </c>
      <c r="AE40" s="174">
        <f>'Oct2025-EXPENSE'!R43</f>
        <v>6130.2071425920494</v>
      </c>
      <c r="AF40" s="174"/>
      <c r="AG40" s="174">
        <f t="shared" si="6"/>
        <v>-6130.2071425920494</v>
      </c>
      <c r="AH40" s="41">
        <f>'Nov2025-COLLECTION'!K39</f>
        <v>0</v>
      </c>
      <c r="AI40" s="174">
        <f>'Nov2025-EXPENSE'!R43</f>
        <v>6464.2843419788715</v>
      </c>
      <c r="AJ40" s="174"/>
      <c r="AK40" s="174">
        <f t="shared" si="7"/>
        <v>-6464.2843419788715</v>
      </c>
      <c r="AL40" s="41">
        <f>'Dec2025-COLLECTION'!K39</f>
        <v>0</v>
      </c>
      <c r="AM40" s="174">
        <f>'Dec2025-EXPENSE'!R43</f>
        <v>5014.8049061052343</v>
      </c>
      <c r="AN40" s="174"/>
      <c r="AO40" s="174">
        <f t="shared" si="8"/>
        <v>-5014.8049061052343</v>
      </c>
      <c r="AP40" s="7">
        <f>'Jan2026-COLLECTION'!K39</f>
        <v>0</v>
      </c>
      <c r="AQ40" s="10">
        <f>'Jan2026-EXPENSE'!R43</f>
        <v>4793.3779762473359</v>
      </c>
      <c r="AR40" s="10"/>
      <c r="AS40" s="174">
        <f t="shared" si="9"/>
        <v>-4793.3779762473359</v>
      </c>
      <c r="AT40" s="7">
        <f>'Feb2026-COLLECTION'!K39</f>
        <v>0</v>
      </c>
      <c r="AU40" s="10">
        <f>'Feb2026-EXPENSE'!R43</f>
        <v>4559.8319660731195</v>
      </c>
      <c r="AV40" s="10"/>
      <c r="AW40" s="174">
        <f t="shared" si="10"/>
        <v>-4559.8319660731195</v>
      </c>
      <c r="AX40" s="7">
        <f>'Mar2026-COLLECTION'!K39</f>
        <v>0</v>
      </c>
      <c r="AY40" s="10">
        <f>'Mar2026-EXPENSE'!R43</f>
        <v>4903.4622106896077</v>
      </c>
      <c r="AZ40" s="10"/>
      <c r="BA40" s="174">
        <f t="shared" si="11"/>
        <v>-4903.4622106896077</v>
      </c>
      <c r="BB40" s="172">
        <f t="shared" ref="BB40:BD40" si="51">SUM(F40,J40,N40,R40,V40,Z40,AD40,AH40,AL40,AP40,AT40,AX40)</f>
        <v>20320</v>
      </c>
      <c r="BC40" s="172">
        <f t="shared" si="51"/>
        <v>61102.055087147586</v>
      </c>
      <c r="BD40" s="172">
        <f t="shared" si="51"/>
        <v>0</v>
      </c>
      <c r="BE40" s="172">
        <f t="shared" si="13"/>
        <v>-40782.055087147586</v>
      </c>
      <c r="BF40" s="172">
        <f t="shared" si="14"/>
        <v>-28025.695087147586</v>
      </c>
      <c r="BG40" s="175">
        <v>12756.36</v>
      </c>
    </row>
    <row r="41" spans="1:59" ht="15.75" customHeight="1">
      <c r="A41" s="169" t="s">
        <v>111</v>
      </c>
      <c r="B41" s="13"/>
      <c r="C41" s="13" t="s">
        <v>112</v>
      </c>
      <c r="D41" s="170">
        <v>30955.51</v>
      </c>
      <c r="E41" s="175">
        <v>28850.080000000002</v>
      </c>
      <c r="F41" s="171">
        <f>'Apr2025-COLLECTION'!K40</f>
        <v>4677</v>
      </c>
      <c r="G41" s="172">
        <f>'Apr2025-EXPENSE'!R44</f>
        <v>5447.3739049854094</v>
      </c>
      <c r="H41" s="172"/>
      <c r="I41" s="172">
        <f t="shared" si="0"/>
        <v>-770.37390498540935</v>
      </c>
      <c r="J41" s="173">
        <f>'May2025-COLLECTION'!K40</f>
        <v>5402</v>
      </c>
      <c r="K41" s="174">
        <f>'May2025-EXPENSE'!R44</f>
        <v>4077.49067006412</v>
      </c>
      <c r="L41" s="174"/>
      <c r="M41" s="174">
        <f t="shared" si="1"/>
        <v>1324.50932993588</v>
      </c>
      <c r="N41" s="172">
        <f>'June2025-COLLECTION'!K40</f>
        <v>4060</v>
      </c>
      <c r="O41" s="172">
        <f>'June2025-EXPENSE'!R44</f>
        <v>4377.7494717899108</v>
      </c>
      <c r="P41" s="172"/>
      <c r="Q41" s="172">
        <f t="shared" si="2"/>
        <v>-317.74947178991079</v>
      </c>
      <c r="R41" s="41">
        <f>'July2025-COLLECTION'!K40</f>
        <v>4378</v>
      </c>
      <c r="S41" s="174">
        <f>'July2025-EXPENSE'!R44</f>
        <v>5167.9286679346051</v>
      </c>
      <c r="T41" s="174"/>
      <c r="U41" s="174">
        <f t="shared" si="3"/>
        <v>-789.92866793460507</v>
      </c>
      <c r="V41" s="167">
        <f>'Aug2025-COLLECTION'!K40</f>
        <v>5168</v>
      </c>
      <c r="W41" s="172">
        <f>'Aug2025-EXPENSE'!R44</f>
        <v>5581.9105235156248</v>
      </c>
      <c r="X41" s="172"/>
      <c r="Y41" s="172">
        <f t="shared" si="4"/>
        <v>-413.91052351562485</v>
      </c>
      <c r="Z41" s="41">
        <f>'Sep2025-COLLECTION'!K40</f>
        <v>5168</v>
      </c>
      <c r="AA41" s="174">
        <f>'Sep2025-EXPENSE'!R44</f>
        <v>4740.6136485156248</v>
      </c>
      <c r="AB41" s="174"/>
      <c r="AC41" s="174">
        <f t="shared" si="5"/>
        <v>427.38635148437515</v>
      </c>
      <c r="AD41" s="41">
        <f>'Oct2025-COLLECTION'!K40</f>
        <v>4741</v>
      </c>
      <c r="AE41" s="174">
        <f>'Oct2025-EXPENSE'!R44</f>
        <v>6113.6306951129754</v>
      </c>
      <c r="AF41" s="174"/>
      <c r="AG41" s="174">
        <f t="shared" si="6"/>
        <v>-1372.6306951129754</v>
      </c>
      <c r="AH41" s="41">
        <f>'Nov2025-COLLECTION'!K40</f>
        <v>6114</v>
      </c>
      <c r="AI41" s="174">
        <f>'Nov2025-EXPENSE'!R44</f>
        <v>6464.1390835002903</v>
      </c>
      <c r="AJ41" s="174"/>
      <c r="AK41" s="174">
        <f t="shared" si="7"/>
        <v>-350.13908350029033</v>
      </c>
      <c r="AL41" s="41">
        <f>'Dec2025-COLLECTION'!K40</f>
        <v>6546</v>
      </c>
      <c r="AM41" s="174">
        <f>'Dec2025-EXPENSE'!R44</f>
        <v>4817.2001653546622</v>
      </c>
      <c r="AN41" s="174"/>
      <c r="AO41" s="174">
        <f t="shared" si="8"/>
        <v>1728.7998346453378</v>
      </c>
      <c r="AP41" s="7">
        <f>'Jan2026-COLLECTION'!K40</f>
        <v>4800.13</v>
      </c>
      <c r="AQ41" s="10">
        <f>'Jan2026-EXPENSE'!R44</f>
        <v>5254.9812677429472</v>
      </c>
      <c r="AR41" s="10"/>
      <c r="AS41" s="174">
        <f t="shared" si="9"/>
        <v>-454.85126774294713</v>
      </c>
      <c r="AT41" s="7">
        <f>'Feb2026-COLLECTION'!K40</f>
        <v>5272</v>
      </c>
      <c r="AU41" s="10">
        <f>'Feb2026-EXPENSE'!R44</f>
        <v>4875.2047166500915</v>
      </c>
      <c r="AV41" s="10"/>
      <c r="AW41" s="174">
        <f t="shared" si="10"/>
        <v>396.79528334990846</v>
      </c>
      <c r="AX41" s="7">
        <f>'Mar2026-COLLECTION'!K40</f>
        <v>4875</v>
      </c>
      <c r="AY41" s="10">
        <f>'Mar2026-EXPENSE'!R44</f>
        <v>4936.2806065357072</v>
      </c>
      <c r="AZ41" s="10"/>
      <c r="BA41" s="174">
        <f t="shared" si="11"/>
        <v>-61.280606535707193</v>
      </c>
      <c r="BB41" s="172">
        <f t="shared" ref="BB41:BD41" si="52">SUM(F41,J41,N41,R41,V41,Z41,AD41,AH41,AL41,AP41,AT41,AX41)</f>
        <v>61201.13</v>
      </c>
      <c r="BC41" s="172">
        <f t="shared" si="52"/>
        <v>61854.503421701971</v>
      </c>
      <c r="BD41" s="172">
        <f t="shared" si="52"/>
        <v>0</v>
      </c>
      <c r="BE41" s="172">
        <f t="shared" si="13"/>
        <v>-653.37342170197371</v>
      </c>
      <c r="BF41" s="172">
        <f t="shared" si="14"/>
        <v>28196.706578298028</v>
      </c>
      <c r="BG41" s="175">
        <v>24173.08</v>
      </c>
    </row>
    <row r="42" spans="1:59" ht="15.75" customHeight="1">
      <c r="A42" s="169" t="s">
        <v>113</v>
      </c>
      <c r="B42" s="13"/>
      <c r="C42" s="13" t="s">
        <v>114</v>
      </c>
      <c r="D42" s="170">
        <v>42482.7</v>
      </c>
      <c r="E42" s="175">
        <v>36780.589999999997</v>
      </c>
      <c r="F42" s="171">
        <f>'Apr2025-COLLECTION'!K41</f>
        <v>5994</v>
      </c>
      <c r="G42" s="172">
        <f>'Apr2025-EXPENSE'!R45</f>
        <v>5475.7172699538287</v>
      </c>
      <c r="H42" s="172"/>
      <c r="I42" s="172">
        <f t="shared" si="0"/>
        <v>518.28273004617131</v>
      </c>
      <c r="J42" s="173">
        <f>'May2025-COLLECTION'!K41</f>
        <v>5431</v>
      </c>
      <c r="K42" s="174">
        <f>'May2025-EXPENSE'!R45</f>
        <v>6855.9494773741153</v>
      </c>
      <c r="L42" s="174"/>
      <c r="M42" s="174">
        <f t="shared" si="1"/>
        <v>-1424.9494773741153</v>
      </c>
      <c r="N42" s="172">
        <f>'June2025-COLLECTION'!K41</f>
        <v>4838</v>
      </c>
      <c r="O42" s="172">
        <f>'June2025-EXPENSE'!R45</f>
        <v>5922.8610357759062</v>
      </c>
      <c r="P42" s="172"/>
      <c r="Q42" s="172">
        <f t="shared" si="2"/>
        <v>-1084.8610357759062</v>
      </c>
      <c r="R42" s="41">
        <f>'July2025-COLLECTION'!K41</f>
        <v>5922.86</v>
      </c>
      <c r="S42" s="174">
        <f>'July2025-EXPENSE'!R45</f>
        <v>6830.0306588579697</v>
      </c>
      <c r="T42" s="174"/>
      <c r="U42" s="174">
        <f t="shared" si="3"/>
        <v>-907.17065885797001</v>
      </c>
      <c r="V42" s="167">
        <f>'Aug2025-COLLECTION'!K41</f>
        <v>6830.03</v>
      </c>
      <c r="W42" s="172">
        <f>'Aug2025-EXPENSE'!R45</f>
        <v>6981.2607982756272</v>
      </c>
      <c r="X42" s="172"/>
      <c r="Y42" s="172">
        <f t="shared" si="4"/>
        <v>-151.23079827562742</v>
      </c>
      <c r="Z42" s="41">
        <f>'Sep2025-COLLECTION'!K41</f>
        <v>6981.26</v>
      </c>
      <c r="AA42" s="174">
        <f>'Sep2025-EXPENSE'!R45</f>
        <v>5862.4505245895034</v>
      </c>
      <c r="AB42" s="174"/>
      <c r="AC42" s="174">
        <f t="shared" si="5"/>
        <v>1118.8094754104968</v>
      </c>
      <c r="AD42" s="41">
        <f>'Oct2025-COLLECTION'!K41</f>
        <v>5862.45</v>
      </c>
      <c r="AE42" s="174">
        <f>'Oct2025-EXPENSE'!R45</f>
        <v>7718.7833593366904</v>
      </c>
      <c r="AF42" s="174"/>
      <c r="AG42" s="174">
        <f t="shared" si="6"/>
        <v>-1856.3333593366906</v>
      </c>
      <c r="AH42" s="41">
        <f>'Nov2025-COLLECTION'!K41</f>
        <v>6114</v>
      </c>
      <c r="AI42" s="174">
        <f>'Nov2025-EXPENSE'!R45</f>
        <v>7866.1739187706062</v>
      </c>
      <c r="AJ42" s="174"/>
      <c r="AK42" s="174">
        <f t="shared" si="7"/>
        <v>-1752.1739187706062</v>
      </c>
      <c r="AL42" s="41">
        <f>'Dec2025-COLLECTION'!K41</f>
        <v>7947.89</v>
      </c>
      <c r="AM42" s="174">
        <f>'Dec2025-EXPENSE'!R45</f>
        <v>6148.6033720681189</v>
      </c>
      <c r="AN42" s="174"/>
      <c r="AO42" s="174">
        <f t="shared" si="8"/>
        <v>1799.2866279318814</v>
      </c>
      <c r="AP42" s="7">
        <f>'Jan2026-COLLECTION'!K41</f>
        <v>6131.54</v>
      </c>
      <c r="AQ42" s="10">
        <f>'Jan2026-EXPENSE'!R45</f>
        <v>5726.086082324744</v>
      </c>
      <c r="AR42" s="10"/>
      <c r="AS42" s="174">
        <f t="shared" si="9"/>
        <v>405.45391767525598</v>
      </c>
      <c r="AT42" s="7">
        <f>'Feb2026-COLLECTION'!K41</f>
        <v>0</v>
      </c>
      <c r="AU42" s="10">
        <f>'Feb2026-EXPENSE'!R45</f>
        <v>5558.9162231149858</v>
      </c>
      <c r="AV42" s="10"/>
      <c r="AW42" s="174">
        <f t="shared" si="10"/>
        <v>-5558.9162231149858</v>
      </c>
      <c r="AX42" s="7">
        <f>'Mar2026-COLLECTION'!K41</f>
        <v>11302</v>
      </c>
      <c r="AY42" s="10">
        <f>'Mar2026-EXPENSE'!R45</f>
        <v>5436.8717172987144</v>
      </c>
      <c r="AZ42" s="10"/>
      <c r="BA42" s="174">
        <f t="shared" si="11"/>
        <v>5865.1282827012856</v>
      </c>
      <c r="BB42" s="172">
        <f t="shared" ref="BB42:BD42" si="53">SUM(F42,J42,N42,R42,V42,Z42,AD42,AH42,AL42,AP42,AT42,AX42)</f>
        <v>73355.03</v>
      </c>
      <c r="BC42" s="172">
        <f t="shared" si="53"/>
        <v>76383.704437740802</v>
      </c>
      <c r="BD42" s="172">
        <f t="shared" si="53"/>
        <v>0</v>
      </c>
      <c r="BE42" s="172">
        <f t="shared" si="13"/>
        <v>-3028.6744377408031</v>
      </c>
      <c r="BF42" s="172">
        <f t="shared" si="14"/>
        <v>33751.915562259193</v>
      </c>
      <c r="BG42" s="175">
        <v>30786.59</v>
      </c>
    </row>
    <row r="43" spans="1:59" ht="15.75" customHeight="1">
      <c r="A43" s="169" t="s">
        <v>115</v>
      </c>
      <c r="B43" s="13"/>
      <c r="C43" s="13" t="s">
        <v>116</v>
      </c>
      <c r="D43" s="170">
        <v>-12683.27</v>
      </c>
      <c r="E43" s="175">
        <v>-5302.42</v>
      </c>
      <c r="F43" s="171">
        <f>'Apr2025-COLLECTION'!K42</f>
        <v>6000</v>
      </c>
      <c r="G43" s="172">
        <f>'Apr2025-EXPENSE'!R46</f>
        <v>6428.4032050155238</v>
      </c>
      <c r="H43" s="172"/>
      <c r="I43" s="172">
        <f t="shared" si="0"/>
        <v>-428.40320501552378</v>
      </c>
      <c r="J43" s="173">
        <f>'May2025-COLLECTION'!K42</f>
        <v>11712</v>
      </c>
      <c r="K43" s="174">
        <f>'May2025-EXPENSE'!R46</f>
        <v>5047.9718117869234</v>
      </c>
      <c r="L43" s="174"/>
      <c r="M43" s="174">
        <f t="shared" si="1"/>
        <v>6664.0281882130766</v>
      </c>
      <c r="N43" s="172">
        <f>'June2025-COLLECTION'!K42</f>
        <v>5025</v>
      </c>
      <c r="O43" s="172">
        <f>'June2025-EXPENSE'!R46</f>
        <v>4957.3262977439781</v>
      </c>
      <c r="P43" s="172"/>
      <c r="Q43" s="172">
        <f t="shared" si="2"/>
        <v>67.673702256021897</v>
      </c>
      <c r="R43" s="41">
        <f>'July2025-COLLECTION'!K42</f>
        <v>5000</v>
      </c>
      <c r="S43" s="174">
        <f>'July2025-EXPENSE'!R46</f>
        <v>5443.1447175244502</v>
      </c>
      <c r="T43" s="174"/>
      <c r="U43" s="174">
        <f t="shared" si="3"/>
        <v>-443.14471752445024</v>
      </c>
      <c r="V43" s="167">
        <f>'Aug2025-COLLECTION'!K42</f>
        <v>5500</v>
      </c>
      <c r="W43" s="172">
        <f>'Aug2025-EXPENSE'!R46</f>
        <v>6057.2756119019596</v>
      </c>
      <c r="X43" s="172"/>
      <c r="Y43" s="172">
        <f t="shared" si="4"/>
        <v>-557.27561190195956</v>
      </c>
      <c r="Z43" s="41">
        <f>'Sep2025-COLLECTION'!K42</f>
        <v>6000</v>
      </c>
      <c r="AA43" s="174">
        <f>'Sep2025-EXPENSE'!R46</f>
        <v>5203.7665156351613</v>
      </c>
      <c r="AB43" s="174"/>
      <c r="AC43" s="174">
        <f t="shared" si="5"/>
        <v>796.23348436483866</v>
      </c>
      <c r="AD43" s="41">
        <f>'Oct2025-COLLECTION'!K42</f>
        <v>5205</v>
      </c>
      <c r="AE43" s="174">
        <f>'Oct2025-EXPENSE'!R46</f>
        <v>6547.0855415270189</v>
      </c>
      <c r="AF43" s="174"/>
      <c r="AG43" s="174">
        <f t="shared" si="6"/>
        <v>-1342.0855415270189</v>
      </c>
      <c r="AH43" s="41">
        <f>'Nov2025-COLLECTION'!K42</f>
        <v>6240</v>
      </c>
      <c r="AI43" s="174">
        <f>'Nov2025-EXPENSE'!R46</f>
        <v>7519.8847387021578</v>
      </c>
      <c r="AJ43" s="174"/>
      <c r="AK43" s="174">
        <f t="shared" si="7"/>
        <v>-1279.8847387021578</v>
      </c>
      <c r="AL43" s="41">
        <f>'Dec2025-COLLECTION'!K42</f>
        <v>7602</v>
      </c>
      <c r="AM43" s="174">
        <f>'Dec2025-EXPENSE'!R46</f>
        <v>5318.2424027172265</v>
      </c>
      <c r="AN43" s="174"/>
      <c r="AO43" s="174">
        <f t="shared" si="8"/>
        <v>2283.7575972827735</v>
      </c>
      <c r="AP43" s="7">
        <f>'Jan2026-COLLECTION'!K42</f>
        <v>5300</v>
      </c>
      <c r="AQ43" s="10">
        <f>'Jan2026-EXPENSE'!R46</f>
        <v>5491.8217725921413</v>
      </c>
      <c r="AR43" s="10"/>
      <c r="AS43" s="174">
        <f t="shared" si="9"/>
        <v>-191.82177259214131</v>
      </c>
      <c r="AT43" s="7">
        <f>'Feb2026-COLLECTION'!K42</f>
        <v>5520</v>
      </c>
      <c r="AU43" s="10">
        <f>'Feb2026-EXPENSE'!R46</f>
        <v>5410.1158266338107</v>
      </c>
      <c r="AV43" s="10"/>
      <c r="AW43" s="174">
        <f t="shared" si="10"/>
        <v>109.88417336618932</v>
      </c>
      <c r="AX43" s="7">
        <f>'Mar2026-COLLECTION'!K42</f>
        <v>5500</v>
      </c>
      <c r="AY43" s="10">
        <f>'Mar2026-EXPENSE'!R46</f>
        <v>5266.7467348753908</v>
      </c>
      <c r="AZ43" s="10"/>
      <c r="BA43" s="174">
        <f t="shared" si="11"/>
        <v>233.25326512460924</v>
      </c>
      <c r="BB43" s="172">
        <f t="shared" ref="BB43:BD43" si="54">SUM(F43,J43,N43,R43,V43,Z43,AD43,AH43,AL43,AP43,AT43,AX43)</f>
        <v>74604</v>
      </c>
      <c r="BC43" s="172">
        <f t="shared" si="54"/>
        <v>68691.785176655743</v>
      </c>
      <c r="BD43" s="172">
        <f t="shared" si="54"/>
        <v>0</v>
      </c>
      <c r="BE43" s="172">
        <f t="shared" si="13"/>
        <v>5912.2148233442567</v>
      </c>
      <c r="BF43" s="172">
        <f t="shared" si="14"/>
        <v>609.79482334425666</v>
      </c>
      <c r="BG43" s="175">
        <v>-11302.42</v>
      </c>
    </row>
    <row r="44" spans="1:59" ht="15.75" customHeight="1">
      <c r="A44" s="169" t="s">
        <v>117</v>
      </c>
      <c r="B44" s="13" t="s">
        <v>343</v>
      </c>
      <c r="C44" s="13" t="s">
        <v>344</v>
      </c>
      <c r="D44" s="170">
        <v>31615.919999999998</v>
      </c>
      <c r="E44" s="175">
        <v>-11827.04</v>
      </c>
      <c r="F44" s="171">
        <f>'Apr2025-COLLECTION'!K43</f>
        <v>0</v>
      </c>
      <c r="G44" s="172">
        <f>'Apr2025-EXPENSE'!R47</f>
        <v>5399.9463505373478</v>
      </c>
      <c r="H44" s="172"/>
      <c r="I44" s="172">
        <f t="shared" si="0"/>
        <v>-5399.9463505373478</v>
      </c>
      <c r="J44" s="173">
        <f>'May2025-COLLECTION'!K43</f>
        <v>0</v>
      </c>
      <c r="K44" s="174">
        <f>'May2025-EXPENSE'!R47</f>
        <v>4099.2144237704233</v>
      </c>
      <c r="L44" s="174">
        <v>500</v>
      </c>
      <c r="M44" s="174">
        <f t="shared" si="1"/>
        <v>-4599.2144237704233</v>
      </c>
      <c r="N44" s="172">
        <f>'June2025-COLLECTION'!K43</f>
        <v>0</v>
      </c>
      <c r="O44" s="172">
        <f>'June2025-EXPENSE'!R47</f>
        <v>4325.0766390575072</v>
      </c>
      <c r="P44" s="172"/>
      <c r="Q44" s="172">
        <f t="shared" si="2"/>
        <v>-4325.0766390575072</v>
      </c>
      <c r="R44" s="41">
        <f>'July2025-COLLECTION'!K43</f>
        <v>0</v>
      </c>
      <c r="S44" s="174">
        <f>'July2025-EXPENSE'!R47</f>
        <v>5156.5212457577982</v>
      </c>
      <c r="T44" s="174">
        <v>500</v>
      </c>
      <c r="U44" s="174">
        <f t="shared" si="3"/>
        <v>-5656.5212457577982</v>
      </c>
      <c r="V44" s="167">
        <f>'Aug2025-COLLECTION'!K43</f>
        <v>0</v>
      </c>
      <c r="W44" s="172">
        <f>'Aug2025-EXPENSE'!R47</f>
        <v>5645.6386409671941</v>
      </c>
      <c r="X44" s="172"/>
      <c r="Y44" s="172">
        <f t="shared" si="4"/>
        <v>-5645.6386409671941</v>
      </c>
      <c r="Z44" s="41">
        <f>'Sep2025-COLLECTION'!K43</f>
        <v>0</v>
      </c>
      <c r="AA44" s="174">
        <f>'Sep2025-EXPENSE'!R47</f>
        <v>4795.9312818527414</v>
      </c>
      <c r="AB44" s="174"/>
      <c r="AC44" s="174">
        <f t="shared" si="5"/>
        <v>-4795.9312818527414</v>
      </c>
      <c r="AD44" s="41">
        <f>'Oct2025-COLLECTION'!K43</f>
        <v>0</v>
      </c>
      <c r="AE44" s="174">
        <f>'Oct2025-EXPENSE'!R47</f>
        <v>6185.9401342765022</v>
      </c>
      <c r="AF44" s="174"/>
      <c r="AG44" s="174">
        <f t="shared" si="6"/>
        <v>-6185.9401342765022</v>
      </c>
      <c r="AH44" s="41">
        <f>'Nov2025-COLLECTION'!K43</f>
        <v>0</v>
      </c>
      <c r="AI44" s="174">
        <f>'Nov2025-EXPENSE'!R47</f>
        <v>6507.571368596211</v>
      </c>
      <c r="AJ44" s="174"/>
      <c r="AK44" s="174">
        <f t="shared" si="7"/>
        <v>-6507.571368596211</v>
      </c>
      <c r="AL44" s="41">
        <f>'Dec2025-COLLECTION'!K43</f>
        <v>0</v>
      </c>
      <c r="AM44" s="174">
        <f>'Dec2025-EXPENSE'!R47</f>
        <v>4871.6240008740324</v>
      </c>
      <c r="AN44" s="174"/>
      <c r="AO44" s="174">
        <f t="shared" si="8"/>
        <v>-4871.6240008740324</v>
      </c>
      <c r="AP44" s="7">
        <f>'Jan2026-COLLECTION'!K43</f>
        <v>0</v>
      </c>
      <c r="AQ44" s="10">
        <f>'Jan2026-EXPENSE'!R47</f>
        <v>4780.981457845829</v>
      </c>
      <c r="AR44" s="10"/>
      <c r="AS44" s="174">
        <f t="shared" si="9"/>
        <v>-4780.981457845829</v>
      </c>
      <c r="AT44" s="7">
        <f>'Feb2026-COLLECTION'!K43</f>
        <v>0</v>
      </c>
      <c r="AU44" s="10">
        <f>'Feb2026-EXPENSE'!R47</f>
        <v>4461.8127106797438</v>
      </c>
      <c r="AV44" s="10"/>
      <c r="AW44" s="174">
        <f t="shared" si="10"/>
        <v>-4461.8127106797438</v>
      </c>
      <c r="AX44" s="7">
        <f>'Mar2026-COLLECTION'!K43</f>
        <v>0</v>
      </c>
      <c r="AY44" s="10">
        <f>'Mar2026-EXPENSE'!R47</f>
        <v>4632.2460336973163</v>
      </c>
      <c r="AZ44" s="10"/>
      <c r="BA44" s="174">
        <f t="shared" si="11"/>
        <v>-4632.2460336973163</v>
      </c>
      <c r="BB44" s="172">
        <f t="shared" ref="BB44:BD44" si="55">SUM(F44,J44,N44,R44,V44,Z44,AD44,AH44,AL44,AP44,AT44,AX44)</f>
        <v>0</v>
      </c>
      <c r="BC44" s="172">
        <f t="shared" si="55"/>
        <v>60862.504287912656</v>
      </c>
      <c r="BD44" s="172">
        <f t="shared" si="55"/>
        <v>1000</v>
      </c>
      <c r="BE44" s="172">
        <f t="shared" si="13"/>
        <v>-61862.504287912656</v>
      </c>
      <c r="BF44" s="172">
        <f t="shared" si="14"/>
        <v>-73689.544287912664</v>
      </c>
      <c r="BG44" s="175">
        <v>-11827.04</v>
      </c>
    </row>
    <row r="45" spans="1:59" ht="15.75" customHeight="1">
      <c r="A45" s="169" t="s">
        <v>119</v>
      </c>
      <c r="B45" s="13"/>
      <c r="C45" s="13" t="s">
        <v>120</v>
      </c>
      <c r="D45" s="170">
        <v>-62427.69</v>
      </c>
      <c r="E45" s="175">
        <v>-29570.949999999997</v>
      </c>
      <c r="F45" s="171">
        <f>'Apr2025-COLLECTION'!K44</f>
        <v>4685</v>
      </c>
      <c r="G45" s="172">
        <f>'Apr2025-EXPENSE'!R48</f>
        <v>5377.5185699089798</v>
      </c>
      <c r="H45" s="172"/>
      <c r="I45" s="172">
        <f t="shared" si="0"/>
        <v>-692.51856990897977</v>
      </c>
      <c r="J45" s="173">
        <f>'May2025-COLLECTION'!K44</f>
        <v>5330</v>
      </c>
      <c r="K45" s="174">
        <f>'May2025-EXPENSE'!R48</f>
        <v>4364.9537644103948</v>
      </c>
      <c r="L45" s="174">
        <v>500</v>
      </c>
      <c r="M45" s="174">
        <f t="shared" si="1"/>
        <v>465.0462355896052</v>
      </c>
      <c r="N45" s="172">
        <f>'June2025-COLLECTION'!K44</f>
        <v>4348</v>
      </c>
      <c r="O45" s="172">
        <f>'June2025-EXPENSE'!R48</f>
        <v>5104.9271903455883</v>
      </c>
      <c r="P45" s="172"/>
      <c r="Q45" s="172">
        <f t="shared" si="2"/>
        <v>-756.92719034558831</v>
      </c>
      <c r="R45" s="41">
        <f>'July2025-COLLECTION'!K44</f>
        <v>5000</v>
      </c>
      <c r="S45" s="174">
        <f>'July2025-EXPENSE'!R48</f>
        <v>5912.2967814401209</v>
      </c>
      <c r="T45" s="174"/>
      <c r="U45" s="174">
        <f t="shared" si="3"/>
        <v>-912.29678144012087</v>
      </c>
      <c r="V45" s="167">
        <f>'Aug2025-COLLECTION'!K44</f>
        <v>5000</v>
      </c>
      <c r="W45" s="172">
        <f>'Aug2025-EXPENSE'!R48</f>
        <v>6392.9430971124639</v>
      </c>
      <c r="X45" s="172"/>
      <c r="Y45" s="172">
        <f t="shared" si="4"/>
        <v>-1392.9430971124639</v>
      </c>
      <c r="Z45" s="41">
        <f>'Sep2025-COLLECTION'!K44</f>
        <v>37546</v>
      </c>
      <c r="AA45" s="174">
        <f>'Sep2025-EXPENSE'!R48</f>
        <v>5150.9648958133967</v>
      </c>
      <c r="AB45" s="174"/>
      <c r="AC45" s="174">
        <f t="shared" si="5"/>
        <v>32395.035104186602</v>
      </c>
      <c r="AD45" s="41">
        <f>'Oct2025-COLLECTION'!K44</f>
        <v>5151</v>
      </c>
      <c r="AE45" s="174">
        <f>'Oct2025-EXPENSE'!R48</f>
        <v>6370.03433464507</v>
      </c>
      <c r="AF45" s="174"/>
      <c r="AG45" s="174">
        <f t="shared" si="6"/>
        <v>-1219.03433464507</v>
      </c>
      <c r="AH45" s="41">
        <f>'Nov2025-COLLECTION'!K44</f>
        <v>6114</v>
      </c>
      <c r="AI45" s="174">
        <f>'Nov2025-EXPENSE'!R48</f>
        <v>7191.3998662658705</v>
      </c>
      <c r="AJ45" s="174"/>
      <c r="AK45" s="174">
        <f t="shared" si="7"/>
        <v>-1077.3998662658705</v>
      </c>
      <c r="AL45" s="41">
        <f>'Dec2025-COLLECTION'!K44</f>
        <v>7274</v>
      </c>
      <c r="AM45" s="174">
        <f>'Dec2025-EXPENSE'!R48</f>
        <v>5517.8716768895647</v>
      </c>
      <c r="AN45" s="174"/>
      <c r="AO45" s="174">
        <f t="shared" si="8"/>
        <v>1756.1283231104353</v>
      </c>
      <c r="AP45" s="7">
        <f>'Jan2026-COLLECTION'!K44</f>
        <v>5501</v>
      </c>
      <c r="AQ45" s="10">
        <f>'Jan2026-EXPENSE'!R48</f>
        <v>5052.257365021308</v>
      </c>
      <c r="AR45" s="10"/>
      <c r="AS45" s="174">
        <f t="shared" si="9"/>
        <v>448.74263497869197</v>
      </c>
      <c r="AT45" s="7">
        <f>'Feb2026-COLLECTION'!K44</f>
        <v>5070</v>
      </c>
      <c r="AU45" s="10">
        <f>'Feb2026-EXPENSE'!R48</f>
        <v>5055.8133547412162</v>
      </c>
      <c r="AV45" s="10"/>
      <c r="AW45" s="174">
        <f t="shared" si="10"/>
        <v>14.186645258783756</v>
      </c>
      <c r="AX45" s="7">
        <f>'Mar2026-COLLECTION'!K44</f>
        <v>5056</v>
      </c>
      <c r="AY45" s="10">
        <f>'Mar2026-EXPENSE'!R48</f>
        <v>5146.2387265915477</v>
      </c>
      <c r="AZ45" s="10"/>
      <c r="BA45" s="174">
        <f t="shared" si="11"/>
        <v>-90.238726591547675</v>
      </c>
      <c r="BB45" s="172">
        <f t="shared" ref="BB45:BD45" si="56">SUM(F45,J45,N45,R45,V45,Z45,AD45,AH45,AL45,AP45,AT45,AX45)</f>
        <v>96075</v>
      </c>
      <c r="BC45" s="172">
        <f t="shared" si="56"/>
        <v>66637.21962318552</v>
      </c>
      <c r="BD45" s="172">
        <f t="shared" si="56"/>
        <v>500</v>
      </c>
      <c r="BE45" s="172">
        <f t="shared" si="13"/>
        <v>28937.78037681448</v>
      </c>
      <c r="BF45" s="172">
        <f t="shared" si="14"/>
        <v>-633.16962318551668</v>
      </c>
      <c r="BG45" s="175">
        <v>-34255.949999999997</v>
      </c>
    </row>
    <row r="46" spans="1:59" ht="15.75" customHeight="1">
      <c r="A46" s="169" t="s">
        <v>121</v>
      </c>
      <c r="B46" s="13"/>
      <c r="C46" s="13" t="s">
        <v>122</v>
      </c>
      <c r="D46" s="170">
        <v>-6659.47</v>
      </c>
      <c r="E46" s="175">
        <v>107182.71</v>
      </c>
      <c r="F46" s="171">
        <f>'Apr2025-COLLECTION'!K45</f>
        <v>5270</v>
      </c>
      <c r="G46" s="172">
        <f>'Apr2025-EXPENSE'!R49</f>
        <v>6202.8711850056752</v>
      </c>
      <c r="H46" s="172"/>
      <c r="I46" s="172">
        <f t="shared" si="0"/>
        <v>-932.87118500567522</v>
      </c>
      <c r="J46" s="173">
        <f>'May2025-COLLECTION'!K45</f>
        <v>0</v>
      </c>
      <c r="K46" s="174">
        <f>'May2025-EXPENSE'!R49</f>
        <v>5987.6527716561777</v>
      </c>
      <c r="L46" s="174"/>
      <c r="M46" s="174">
        <f t="shared" si="1"/>
        <v>-5987.6527716561777</v>
      </c>
      <c r="N46" s="172">
        <f>'June2025-COLLECTION'!K45</f>
        <v>11151</v>
      </c>
      <c r="O46" s="172">
        <f>'June2025-EXPENSE'!R49</f>
        <v>5118.6388483902138</v>
      </c>
      <c r="P46" s="172"/>
      <c r="Q46" s="172">
        <f t="shared" si="2"/>
        <v>6032.3611516097862</v>
      </c>
      <c r="R46" s="41">
        <f>'July2025-COLLECTION'!K45</f>
        <v>5119</v>
      </c>
      <c r="S46" s="174">
        <f>'July2025-EXPENSE'!R49</f>
        <v>5904.9473355317441</v>
      </c>
      <c r="T46" s="174"/>
      <c r="U46" s="174">
        <f t="shared" si="3"/>
        <v>-785.9473355317441</v>
      </c>
      <c r="V46" s="167">
        <f>'Aug2025-COLLECTION'!K45</f>
        <v>5905</v>
      </c>
      <c r="W46" s="172">
        <f>'Aug2025-EXPENSE'!R49</f>
        <v>6760.1469113466646</v>
      </c>
      <c r="X46" s="172"/>
      <c r="Y46" s="172">
        <f t="shared" si="4"/>
        <v>-855.14691134666464</v>
      </c>
      <c r="Z46" s="41">
        <f>'Sep2025-COLLECTION'!K45</f>
        <v>5905</v>
      </c>
      <c r="AA46" s="174">
        <f>'Sep2025-EXPENSE'!R49</f>
        <v>5234.7687463177035</v>
      </c>
      <c r="AB46" s="174"/>
      <c r="AC46" s="174">
        <f t="shared" si="5"/>
        <v>670.23125368229648</v>
      </c>
      <c r="AD46" s="41">
        <f>'Oct2025-COLLECTION'!K45</f>
        <v>0</v>
      </c>
      <c r="AE46" s="174">
        <f>'Oct2025-EXPENSE'!R49</f>
        <v>6313.6637872883457</v>
      </c>
      <c r="AF46" s="174"/>
      <c r="AG46" s="174">
        <f t="shared" si="6"/>
        <v>-6313.6637872883457</v>
      </c>
      <c r="AH46" s="41">
        <f>'Nov2025-COLLECTION'!K45</f>
        <v>11349</v>
      </c>
      <c r="AI46" s="174">
        <f>'Nov2025-EXPENSE'!R49</f>
        <v>6717.1309336967051</v>
      </c>
      <c r="AJ46" s="174"/>
      <c r="AK46" s="174">
        <f t="shared" si="7"/>
        <v>4631.8690663032949</v>
      </c>
      <c r="AL46" s="41">
        <f>'Dec2025-COLLECTION'!K45</f>
        <v>6798.85</v>
      </c>
      <c r="AM46" s="174">
        <f>'Dec2025-EXPENSE'!R49</f>
        <v>5914.3073453261532</v>
      </c>
      <c r="AN46" s="174"/>
      <c r="AO46" s="174">
        <f t="shared" si="8"/>
        <v>884.54265467384721</v>
      </c>
      <c r="AP46" s="7">
        <f>'Jan2026-COLLECTION'!K45</f>
        <v>5897.24</v>
      </c>
      <c r="AQ46" s="10">
        <f>'Jan2026-EXPENSE'!R49</f>
        <v>5003.0795599853918</v>
      </c>
      <c r="AR46" s="10"/>
      <c r="AS46" s="174">
        <f t="shared" si="9"/>
        <v>894.16044001460796</v>
      </c>
      <c r="AT46" s="7">
        <f>'Feb2026-COLLECTION'!K45</f>
        <v>0</v>
      </c>
      <c r="AU46" s="10">
        <f>'Feb2026-EXPENSE'!R49</f>
        <v>4687.7713271743623</v>
      </c>
      <c r="AV46" s="10"/>
      <c r="AW46" s="174">
        <f t="shared" si="10"/>
        <v>-4687.7713271743623</v>
      </c>
      <c r="AX46" s="7">
        <f>'Mar2026-COLLECTION'!K45</f>
        <v>0</v>
      </c>
      <c r="AY46" s="10">
        <f>'Mar2026-EXPENSE'!R49</f>
        <v>4851.6692975686074</v>
      </c>
      <c r="AZ46" s="10"/>
      <c r="BA46" s="174">
        <f t="shared" si="11"/>
        <v>-4851.6692975686074</v>
      </c>
      <c r="BB46" s="172">
        <f t="shared" ref="BB46:BD46" si="57">SUM(F46,J46,N46,R46,V46,Z46,AD46,AH46,AL46,AP46,AT46,AX46)</f>
        <v>57395.09</v>
      </c>
      <c r="BC46" s="172">
        <f t="shared" si="57"/>
        <v>68696.648049287745</v>
      </c>
      <c r="BD46" s="172">
        <f t="shared" si="57"/>
        <v>0</v>
      </c>
      <c r="BE46" s="172">
        <f t="shared" si="13"/>
        <v>-11301.558049287749</v>
      </c>
      <c r="BF46" s="172">
        <f t="shared" si="14"/>
        <v>95881.151950712258</v>
      </c>
      <c r="BG46" s="175">
        <v>101912.71</v>
      </c>
    </row>
    <row r="47" spans="1:59" ht="15.75" customHeight="1">
      <c r="A47" s="169" t="s">
        <v>123</v>
      </c>
      <c r="B47" s="13"/>
      <c r="C47" s="13" t="s">
        <v>124</v>
      </c>
      <c r="D47" s="170">
        <v>-17999.490000000002</v>
      </c>
      <c r="E47" s="175">
        <v>-15734.34</v>
      </c>
      <c r="F47" s="171">
        <f>'Apr2025-COLLECTION'!K46</f>
        <v>4808</v>
      </c>
      <c r="G47" s="172">
        <f>'Apr2025-EXPENSE'!R50</f>
        <v>5705.9303175718915</v>
      </c>
      <c r="H47" s="172"/>
      <c r="I47" s="172">
        <f t="shared" si="0"/>
        <v>-897.93031757189146</v>
      </c>
      <c r="J47" s="173">
        <f>'May2025-COLLECTION'!K46</f>
        <v>5665</v>
      </c>
      <c r="K47" s="174">
        <f>'May2025-EXPENSE'!R50</f>
        <v>4461.4304617167318</v>
      </c>
      <c r="L47" s="174">
        <v>500</v>
      </c>
      <c r="M47" s="174">
        <f t="shared" si="1"/>
        <v>703.56953828326823</v>
      </c>
      <c r="N47" s="172">
        <f>'June2025-COLLECTION'!K46</f>
        <v>4439</v>
      </c>
      <c r="O47" s="172">
        <f>'June2025-EXPENSE'!R50</f>
        <v>4778.5312933023206</v>
      </c>
      <c r="P47" s="172"/>
      <c r="Q47" s="172">
        <f t="shared" si="2"/>
        <v>-339.53129330232059</v>
      </c>
      <c r="R47" s="41">
        <f>'July2025-COLLECTION'!K46</f>
        <v>4778.53</v>
      </c>
      <c r="S47" s="174">
        <f>'July2025-EXPENSE'!R50</f>
        <v>5522.3203433840226</v>
      </c>
      <c r="T47" s="174"/>
      <c r="U47" s="174">
        <f t="shared" si="3"/>
        <v>-743.79034338402289</v>
      </c>
      <c r="V47" s="167">
        <f>'Aug2025-COLLECTION'!K46</f>
        <v>0</v>
      </c>
      <c r="W47" s="172">
        <f>'Aug2025-EXPENSE'!R50</f>
        <v>6028.013154621337</v>
      </c>
      <c r="X47" s="172"/>
      <c r="Y47" s="172">
        <f t="shared" si="4"/>
        <v>-6028.013154621337</v>
      </c>
      <c r="Z47" s="41">
        <f>'Sep2025-COLLECTION'!K46</f>
        <v>11550.33</v>
      </c>
      <c r="AA47" s="174">
        <f>'Sep2025-EXPENSE'!R50</f>
        <v>5066.5756329572123</v>
      </c>
      <c r="AB47" s="174"/>
      <c r="AC47" s="174">
        <f t="shared" si="5"/>
        <v>6483.7543670427876</v>
      </c>
      <c r="AD47" s="41">
        <f>'Oct2025-COLLECTION'!K46</f>
        <v>5067</v>
      </c>
      <c r="AE47" s="174">
        <f>'Oct2025-EXPENSE'!R50</f>
        <v>6354.5968581402021</v>
      </c>
      <c r="AF47" s="174"/>
      <c r="AG47" s="174">
        <f t="shared" si="6"/>
        <v>-1287.5968581402021</v>
      </c>
      <c r="AH47" s="41">
        <f>'Nov2025-COLLECTION'!K46</f>
        <v>0</v>
      </c>
      <c r="AI47" s="174">
        <f>'Nov2025-EXPENSE'!R50</f>
        <v>6854.2619703480677</v>
      </c>
      <c r="AJ47" s="174"/>
      <c r="AK47" s="174">
        <f t="shared" si="7"/>
        <v>-6854.2619703480677</v>
      </c>
      <c r="AL47" s="41">
        <f>'Dec2025-COLLECTION'!K46</f>
        <v>13166.98</v>
      </c>
      <c r="AM47" s="174">
        <f>'Dec2025-EXPENSE'!R50</f>
        <v>5227.8818577821203</v>
      </c>
      <c r="AN47" s="174"/>
      <c r="AO47" s="174">
        <f t="shared" si="8"/>
        <v>7939.0981422178793</v>
      </c>
      <c r="AP47" s="7">
        <f>'Jan2026-COLLECTION'!K46</f>
        <v>0</v>
      </c>
      <c r="AQ47" s="10">
        <f>'Jan2026-EXPENSE'!R50</f>
        <v>4854.2547273793398</v>
      </c>
      <c r="AR47" s="10"/>
      <c r="AS47" s="174">
        <f t="shared" si="9"/>
        <v>-4854.2547273793398</v>
      </c>
      <c r="AT47" s="7">
        <f>'Feb2026-COLLECTION'!K46</f>
        <v>5025.21</v>
      </c>
      <c r="AU47" s="10">
        <f>'Feb2026-EXPENSE'!R50</f>
        <v>4566.5172098324965</v>
      </c>
      <c r="AV47" s="10"/>
      <c r="AW47" s="174">
        <f t="shared" si="10"/>
        <v>458.69279016750352</v>
      </c>
      <c r="AX47" s="7">
        <f>'Mar2026-COLLECTION'!K46</f>
        <v>9444</v>
      </c>
      <c r="AY47" s="10">
        <f>'Mar2026-EXPENSE'!R50</f>
        <v>4739.2197709179436</v>
      </c>
      <c r="AZ47" s="10"/>
      <c r="BA47" s="174">
        <f t="shared" si="11"/>
        <v>4704.7802290820564</v>
      </c>
      <c r="BB47" s="172">
        <f t="shared" ref="BB47:BD47" si="58">SUM(F47,J47,N47,R47,V47,Z47,AD47,AH47,AL47,AP47,AT47,AX47)</f>
        <v>63944.049999999996</v>
      </c>
      <c r="BC47" s="172">
        <f t="shared" si="58"/>
        <v>64159.53359795369</v>
      </c>
      <c r="BD47" s="172">
        <f t="shared" si="58"/>
        <v>500</v>
      </c>
      <c r="BE47" s="172">
        <f t="shared" si="13"/>
        <v>-715.4835979536947</v>
      </c>
      <c r="BF47" s="172">
        <f t="shared" si="14"/>
        <v>-16449.823597953695</v>
      </c>
      <c r="BG47" s="175">
        <v>-20542.34</v>
      </c>
    </row>
    <row r="48" spans="1:59" ht="15.75" customHeight="1">
      <c r="A48" s="169" t="s">
        <v>125</v>
      </c>
      <c r="B48" s="13"/>
      <c r="C48" s="13" t="s">
        <v>126</v>
      </c>
      <c r="D48" s="170">
        <v>21692.9</v>
      </c>
      <c r="E48" s="175">
        <v>236.81999999999607</v>
      </c>
      <c r="F48" s="171">
        <f>'Apr2025-COLLECTION'!K47</f>
        <v>12494</v>
      </c>
      <c r="G48" s="172">
        <f>'Apr2025-EXPENSE'!R51</f>
        <v>5716.526929520157</v>
      </c>
      <c r="H48" s="172"/>
      <c r="I48" s="172">
        <f t="shared" si="0"/>
        <v>6777.473070479843</v>
      </c>
      <c r="J48" s="173">
        <f>'May2025-COLLECTION'!K47</f>
        <v>0</v>
      </c>
      <c r="K48" s="174">
        <f>'May2025-EXPENSE'!R51</f>
        <v>4339.3497697475277</v>
      </c>
      <c r="L48" s="174">
        <v>500</v>
      </c>
      <c r="M48" s="174">
        <f t="shared" si="1"/>
        <v>-4839.3497697475277</v>
      </c>
      <c r="N48" s="172">
        <f>'June2025-COLLECTION'!K47</f>
        <v>0</v>
      </c>
      <c r="O48" s="172">
        <f>'June2025-EXPENSE'!R51</f>
        <v>4763.774539370148</v>
      </c>
      <c r="P48" s="172"/>
      <c r="Q48" s="172">
        <f t="shared" si="2"/>
        <v>-4763.774539370148</v>
      </c>
      <c r="R48" s="41">
        <f>'July2025-COLLECTION'!K47</f>
        <v>0</v>
      </c>
      <c r="S48" s="174">
        <f>'July2025-EXPENSE'!R51</f>
        <v>5695.641018671151</v>
      </c>
      <c r="T48" s="174">
        <v>500</v>
      </c>
      <c r="U48" s="174">
        <f t="shared" si="3"/>
        <v>-6195.641018671151</v>
      </c>
      <c r="V48" s="167">
        <f>'Aug2025-COLLECTION'!K47</f>
        <v>10000</v>
      </c>
      <c r="W48" s="172">
        <f>'Aug2025-EXPENSE'!R51</f>
        <v>5962.2393334692988</v>
      </c>
      <c r="X48" s="172"/>
      <c r="Y48" s="172">
        <f t="shared" si="4"/>
        <v>4037.7606665307012</v>
      </c>
      <c r="Z48" s="41">
        <f>'Sep2025-COLLECTION'!K47</f>
        <v>0</v>
      </c>
      <c r="AA48" s="174">
        <f>'Sep2025-EXPENSE'!R51</f>
        <v>4938.4861557642162</v>
      </c>
      <c r="AB48" s="174"/>
      <c r="AC48" s="174">
        <f t="shared" si="5"/>
        <v>-4938.4861557642162</v>
      </c>
      <c r="AD48" s="41">
        <f>'Oct2025-COLLECTION'!K47</f>
        <v>17240</v>
      </c>
      <c r="AE48" s="174">
        <f>'Oct2025-EXPENSE'!R51</f>
        <v>6317.3529809516403</v>
      </c>
      <c r="AF48" s="174"/>
      <c r="AG48" s="174">
        <f t="shared" si="6"/>
        <v>10922.64701904836</v>
      </c>
      <c r="AH48" s="41">
        <f>'Nov2025-COLLECTION'!K47</f>
        <v>0</v>
      </c>
      <c r="AI48" s="174">
        <f>'Nov2025-EXPENSE'!R51</f>
        <v>6939.6739557540923</v>
      </c>
      <c r="AJ48" s="174"/>
      <c r="AK48" s="174">
        <f t="shared" si="7"/>
        <v>-6939.6739557540923</v>
      </c>
      <c r="AL48" s="41">
        <f>'Dec2025-COLLECTION'!K47</f>
        <v>0</v>
      </c>
      <c r="AM48" s="174">
        <f>'Dec2025-EXPENSE'!R51</f>
        <v>5090.2659547964004</v>
      </c>
      <c r="AN48" s="174"/>
      <c r="AO48" s="174">
        <f t="shared" si="8"/>
        <v>-5090.2659547964004</v>
      </c>
      <c r="AP48" s="7">
        <f>'Jan2026-COLLECTION'!K47</f>
        <v>23264</v>
      </c>
      <c r="AQ48" s="10">
        <f>'Jan2026-EXPENSE'!R51</f>
        <v>4970.3514625886564</v>
      </c>
      <c r="AR48" s="10"/>
      <c r="AS48" s="174">
        <f t="shared" si="9"/>
        <v>18293.648537411344</v>
      </c>
      <c r="AT48" s="7">
        <f>'Feb2026-COLLECTION'!K47</f>
        <v>0</v>
      </c>
      <c r="AU48" s="10">
        <f>'Feb2026-EXPENSE'!R51</f>
        <v>4701.8747789604831</v>
      </c>
      <c r="AV48" s="10"/>
      <c r="AW48" s="174">
        <f t="shared" si="10"/>
        <v>-4701.8747789604831</v>
      </c>
      <c r="AX48" s="7">
        <f>'Mar2026-COLLECTION'!K47</f>
        <v>0</v>
      </c>
      <c r="AY48" s="10">
        <f>'Mar2026-EXPENSE'!R51</f>
        <v>5462.9494356480282</v>
      </c>
      <c r="AZ48" s="10"/>
      <c r="BA48" s="174">
        <f t="shared" si="11"/>
        <v>-5462.9494356480282</v>
      </c>
      <c r="BB48" s="172">
        <f t="shared" ref="BB48:BD48" si="59">SUM(F48,J48,N48,R48,V48,Z48,AD48,AH48,AL48,AP48,AT48,AX48)</f>
        <v>62998</v>
      </c>
      <c r="BC48" s="172">
        <f t="shared" si="59"/>
        <v>64898.486315241797</v>
      </c>
      <c r="BD48" s="172">
        <f t="shared" si="59"/>
        <v>1000</v>
      </c>
      <c r="BE48" s="172">
        <f t="shared" si="13"/>
        <v>-2900.4863152417965</v>
      </c>
      <c r="BF48" s="172">
        <f t="shared" si="14"/>
        <v>-2663.6663152418005</v>
      </c>
      <c r="BG48" s="175">
        <v>-12257.180000000004</v>
      </c>
    </row>
    <row r="49" spans="1:59" ht="15.75" customHeight="1">
      <c r="A49" s="169" t="s">
        <v>127</v>
      </c>
      <c r="B49" s="13"/>
      <c r="C49" s="13" t="s">
        <v>128</v>
      </c>
      <c r="D49" s="170">
        <v>-28051.73</v>
      </c>
      <c r="E49" s="175">
        <v>1318.26</v>
      </c>
      <c r="F49" s="171">
        <f>'Apr2025-COLLECTION'!K48</f>
        <v>0</v>
      </c>
      <c r="G49" s="172">
        <f>'Apr2025-EXPENSE'!R52</f>
        <v>7055.8666639715539</v>
      </c>
      <c r="H49" s="172"/>
      <c r="I49" s="172">
        <f t="shared" si="0"/>
        <v>-7055.8666639715539</v>
      </c>
      <c r="J49" s="173">
        <f>'May2025-COLLECTION'!K48</f>
        <v>7056</v>
      </c>
      <c r="K49" s="174">
        <f>'May2025-EXPENSE'!R52</f>
        <v>5462.6184932683118</v>
      </c>
      <c r="L49" s="174">
        <v>500</v>
      </c>
      <c r="M49" s="174">
        <f t="shared" si="1"/>
        <v>1093.3815067316882</v>
      </c>
      <c r="N49" s="172">
        <f>'June2025-COLLECTION'!K48</f>
        <v>0</v>
      </c>
      <c r="O49" s="172">
        <f>'June2025-EXPENSE'!R52</f>
        <v>5274.3665861904428</v>
      </c>
      <c r="P49" s="172"/>
      <c r="Q49" s="172">
        <f t="shared" si="2"/>
        <v>-5274.3665861904428</v>
      </c>
      <c r="R49" s="41">
        <f>'July2025-COLLECTION'!K48</f>
        <v>9919</v>
      </c>
      <c r="S49" s="174">
        <f>'July2025-EXPENSE'!R52</f>
        <v>6502.3667008348621</v>
      </c>
      <c r="T49" s="174"/>
      <c r="U49" s="174">
        <f t="shared" si="3"/>
        <v>3416.6332991651379</v>
      </c>
      <c r="V49" s="167">
        <f>'Aug2025-COLLECTION'!K48</f>
        <v>6502</v>
      </c>
      <c r="W49" s="172">
        <f>'Aug2025-EXPENSE'!R52</f>
        <v>6787.6363047889972</v>
      </c>
      <c r="X49" s="172"/>
      <c r="Y49" s="172">
        <f t="shared" si="4"/>
        <v>-285.63630478899722</v>
      </c>
      <c r="Z49" s="41">
        <f>'Sep2025-COLLECTION'!K48</f>
        <v>6788</v>
      </c>
      <c r="AA49" s="174">
        <f>'Sep2025-EXPENSE'!R52</f>
        <v>6032.1520148608597</v>
      </c>
      <c r="AB49" s="174"/>
      <c r="AC49" s="174">
        <f t="shared" si="5"/>
        <v>755.84798513914029</v>
      </c>
      <c r="AD49" s="41">
        <f>'Oct2025-COLLECTION'!K48</f>
        <v>6032</v>
      </c>
      <c r="AE49" s="174">
        <f>'Oct2025-EXPENSE'!R52</f>
        <v>7878.3549148705133</v>
      </c>
      <c r="AF49" s="174"/>
      <c r="AG49" s="174">
        <f t="shared" si="6"/>
        <v>-1846.3549148705133</v>
      </c>
      <c r="AH49" s="41">
        <f>'Nov2025-COLLECTION'!K48</f>
        <v>0</v>
      </c>
      <c r="AI49" s="174">
        <f>'Nov2025-EXPENSE'!R52</f>
        <v>7991.5390186568529</v>
      </c>
      <c r="AJ49" s="174"/>
      <c r="AK49" s="174">
        <f t="shared" si="7"/>
        <v>-7991.5390186568529</v>
      </c>
      <c r="AL49" s="41">
        <f>'Dec2025-COLLECTION'!K48</f>
        <v>6231</v>
      </c>
      <c r="AM49" s="174">
        <f>'Dec2025-EXPENSE'!R52</f>
        <v>6351.7765061894879</v>
      </c>
      <c r="AN49" s="174"/>
      <c r="AO49" s="174">
        <f t="shared" si="8"/>
        <v>-120.77650618948792</v>
      </c>
      <c r="AP49" s="7">
        <f>'Jan2026-COLLECTION'!K48</f>
        <v>6329</v>
      </c>
      <c r="AQ49" s="10">
        <f>'Jan2026-EXPENSE'!R52</f>
        <v>5896.6757328425338</v>
      </c>
      <c r="AR49" s="10"/>
      <c r="AS49" s="174">
        <f t="shared" si="9"/>
        <v>432.32426715746624</v>
      </c>
      <c r="AT49" s="7">
        <f>'Feb2026-COLLECTION'!K48</f>
        <v>0</v>
      </c>
      <c r="AU49" s="10">
        <f>'Feb2026-EXPENSE'!R52</f>
        <v>5683.8971575408386</v>
      </c>
      <c r="AV49" s="10"/>
      <c r="AW49" s="174">
        <f t="shared" si="10"/>
        <v>-5683.8971575408386</v>
      </c>
      <c r="AX49" s="7">
        <f>'Mar2026-COLLECTION'!K48</f>
        <v>5919</v>
      </c>
      <c r="AY49" s="10">
        <f>'Mar2026-EXPENSE'!R52</f>
        <v>6096.8044637753164</v>
      </c>
      <c r="AZ49" s="10"/>
      <c r="BA49" s="174">
        <f t="shared" si="11"/>
        <v>-177.80446377531644</v>
      </c>
      <c r="BB49" s="172">
        <f t="shared" ref="BB49:BD49" si="60">SUM(F49,J49,N49,R49,V49,Z49,AD49,AH49,AL49,AP49,AT49,AX49)</f>
        <v>54776</v>
      </c>
      <c r="BC49" s="172">
        <f t="shared" si="60"/>
        <v>77014.054557790572</v>
      </c>
      <c r="BD49" s="172">
        <f t="shared" si="60"/>
        <v>500</v>
      </c>
      <c r="BE49" s="172">
        <f t="shared" si="13"/>
        <v>-22738.054557790572</v>
      </c>
      <c r="BF49" s="172">
        <f t="shared" si="14"/>
        <v>-21419.794557790574</v>
      </c>
      <c r="BG49" s="175">
        <v>1318.26</v>
      </c>
    </row>
    <row r="50" spans="1:59" ht="15.75" customHeight="1">
      <c r="A50" s="169" t="s">
        <v>129</v>
      </c>
      <c r="B50" s="13"/>
      <c r="C50" s="13" t="s">
        <v>130</v>
      </c>
      <c r="D50" s="170">
        <v>-10704.71</v>
      </c>
      <c r="E50" s="175">
        <v>134.5</v>
      </c>
      <c r="F50" s="171">
        <f>'Apr2025-COLLECTION'!K49</f>
        <v>10455</v>
      </c>
      <c r="G50" s="172">
        <f>'Apr2025-EXPENSE'!R53</f>
        <v>5801.4859275672516</v>
      </c>
      <c r="H50" s="172"/>
      <c r="I50" s="172">
        <f t="shared" si="0"/>
        <v>4653.5140724327484</v>
      </c>
      <c r="J50" s="173">
        <f>'May2025-COLLECTION'!K49</f>
        <v>5800</v>
      </c>
      <c r="K50" s="174">
        <f>'May2025-EXPENSE'!R53</f>
        <v>4388.4270821735809</v>
      </c>
      <c r="L50" s="174"/>
      <c r="M50" s="174">
        <f t="shared" si="1"/>
        <v>1411.5729178264191</v>
      </c>
      <c r="N50" s="172">
        <f>'June2025-COLLECTION'!K49</f>
        <v>4372</v>
      </c>
      <c r="O50" s="172">
        <f>'June2025-EXPENSE'!R53</f>
        <v>4590.3637791526107</v>
      </c>
      <c r="P50" s="172"/>
      <c r="Q50" s="172">
        <f t="shared" si="2"/>
        <v>-218.36377915261073</v>
      </c>
      <c r="R50" s="41">
        <f>'July2025-COLLECTION'!K49</f>
        <v>4475</v>
      </c>
      <c r="S50" s="174">
        <f>'July2025-EXPENSE'!R53</f>
        <v>5525.932352060463</v>
      </c>
      <c r="T50" s="174"/>
      <c r="U50" s="174">
        <f t="shared" si="3"/>
        <v>-1050.932352060463</v>
      </c>
      <c r="V50" s="167">
        <f>'Aug2025-COLLECTION'!K49</f>
        <v>5525</v>
      </c>
      <c r="W50" s="172">
        <f>'Aug2025-EXPENSE'!R53</f>
        <v>5931.5924408371111</v>
      </c>
      <c r="X50" s="172"/>
      <c r="Y50" s="172">
        <f t="shared" si="4"/>
        <v>-406.5924408371111</v>
      </c>
      <c r="Z50" s="41">
        <f>'Sep2025-COLLECTION'!K49</f>
        <v>5931</v>
      </c>
      <c r="AA50" s="174">
        <f>'Sep2025-EXPENSE'!R53</f>
        <v>5083.9454554241975</v>
      </c>
      <c r="AB50" s="174"/>
      <c r="AC50" s="174">
        <f t="shared" si="5"/>
        <v>847.05454457580254</v>
      </c>
      <c r="AD50" s="41">
        <f>'Oct2025-COLLECTION'!K49</f>
        <v>5084</v>
      </c>
      <c r="AE50" s="174">
        <f>'Oct2025-EXPENSE'!R53</f>
        <v>6532.6110310744543</v>
      </c>
      <c r="AF50" s="174"/>
      <c r="AG50" s="174">
        <f t="shared" si="6"/>
        <v>-1448.6110310744543</v>
      </c>
      <c r="AH50" s="41">
        <f>'Nov2025-COLLECTION'!K49</f>
        <v>6114</v>
      </c>
      <c r="AI50" s="174">
        <f>'Nov2025-EXPENSE'!R53</f>
        <v>6944.8478086199093</v>
      </c>
      <c r="AJ50" s="174"/>
      <c r="AK50" s="174">
        <f t="shared" si="7"/>
        <v>-830.8478086199093</v>
      </c>
      <c r="AL50" s="41">
        <f>'Dec2025-COLLECTION'!K49</f>
        <v>7026</v>
      </c>
      <c r="AM50" s="174">
        <f>'Dec2025-EXPENSE'!R53</f>
        <v>5376.8130182774021</v>
      </c>
      <c r="AN50" s="174"/>
      <c r="AO50" s="174">
        <f t="shared" si="8"/>
        <v>1649.1869817225979</v>
      </c>
      <c r="AP50" s="7">
        <f>'Jan2026-COLLECTION'!K49</f>
        <v>5400</v>
      </c>
      <c r="AQ50" s="10">
        <f>'Jan2026-EXPENSE'!R53</f>
        <v>5083.3600069987397</v>
      </c>
      <c r="AR50" s="10"/>
      <c r="AS50" s="174">
        <f t="shared" si="9"/>
        <v>316.63999300126034</v>
      </c>
      <c r="AT50" s="7">
        <f>'Feb2026-COLLECTION'!K49</f>
        <v>5100</v>
      </c>
      <c r="AU50" s="10">
        <f>'Feb2026-EXPENSE'!R53</f>
        <v>4792.466969791808</v>
      </c>
      <c r="AV50" s="10"/>
      <c r="AW50" s="174">
        <f t="shared" si="10"/>
        <v>307.53303020819203</v>
      </c>
      <c r="AX50" s="7">
        <f>'Mar2026-COLLECTION'!K49</f>
        <v>4792</v>
      </c>
      <c r="AY50" s="10">
        <f>'Mar2026-EXPENSE'!R53</f>
        <v>4839.3734565373197</v>
      </c>
      <c r="AZ50" s="10"/>
      <c r="BA50" s="174">
        <f t="shared" si="11"/>
        <v>-47.373456537319726</v>
      </c>
      <c r="BB50" s="172">
        <f t="shared" ref="BB50:BD50" si="61">SUM(F50,J50,N50,R50,V50,Z50,AD50,AH50,AL50,AP50,AT50,AX50)</f>
        <v>70074</v>
      </c>
      <c r="BC50" s="172">
        <f t="shared" si="61"/>
        <v>64891.219328514839</v>
      </c>
      <c r="BD50" s="172">
        <f t="shared" si="61"/>
        <v>0</v>
      </c>
      <c r="BE50" s="172">
        <f t="shared" si="13"/>
        <v>5182.7806714851613</v>
      </c>
      <c r="BF50" s="172">
        <f t="shared" si="14"/>
        <v>5317.2806714851613</v>
      </c>
      <c r="BG50" s="175">
        <v>-10320.5</v>
      </c>
    </row>
    <row r="51" spans="1:59" ht="15.75" customHeight="1">
      <c r="A51" s="169" t="s">
        <v>131</v>
      </c>
      <c r="B51" s="13"/>
      <c r="C51" s="13" t="s">
        <v>132</v>
      </c>
      <c r="D51" s="170">
        <v>14185.9</v>
      </c>
      <c r="E51" s="175">
        <v>8375.25</v>
      </c>
      <c r="F51" s="171">
        <f>'Apr2025-COLLECTION'!K50</f>
        <v>5820</v>
      </c>
      <c r="G51" s="172">
        <f>'Apr2025-EXPENSE'!R54</f>
        <v>6826.4766541747149</v>
      </c>
      <c r="H51" s="172"/>
      <c r="I51" s="172">
        <f t="shared" si="0"/>
        <v>-1006.4766541747149</v>
      </c>
      <c r="J51" s="173">
        <f>'May2025-COLLECTION'!K50</f>
        <v>6823</v>
      </c>
      <c r="K51" s="174">
        <f>'May2025-EXPENSE'!R54</f>
        <v>5607.5816358118964</v>
      </c>
      <c r="L51" s="174"/>
      <c r="M51" s="174">
        <f t="shared" si="1"/>
        <v>1215.4183641881036</v>
      </c>
      <c r="N51" s="172">
        <f>'June2025-COLLECTION'!K50</f>
        <v>5591</v>
      </c>
      <c r="O51" s="172">
        <f>'June2025-EXPENSE'!R54</f>
        <v>5410.8894623840479</v>
      </c>
      <c r="P51" s="172"/>
      <c r="Q51" s="172">
        <f t="shared" si="2"/>
        <v>180.11053761595213</v>
      </c>
      <c r="R51" s="41">
        <f>'July2025-COLLECTION'!K50</f>
        <v>5410</v>
      </c>
      <c r="S51" s="174">
        <f>'July2025-EXPENSE'!R54</f>
        <v>6417.8304472359796</v>
      </c>
      <c r="T51" s="174"/>
      <c r="U51" s="174">
        <f t="shared" si="3"/>
        <v>-1007.8304472359796</v>
      </c>
      <c r="V51" s="167">
        <f>'Aug2025-COLLECTION'!K50</f>
        <v>6420</v>
      </c>
      <c r="W51" s="172">
        <f>'Aug2025-EXPENSE'!R54</f>
        <v>6872.5716712333124</v>
      </c>
      <c r="X51" s="172"/>
      <c r="Y51" s="172">
        <f t="shared" si="4"/>
        <v>-452.57167123331237</v>
      </c>
      <c r="Z51" s="41">
        <f>'Sep2025-COLLECTION'!K50</f>
        <v>6417</v>
      </c>
      <c r="AA51" s="174">
        <f>'Sep2025-EXPENSE'!R54</f>
        <v>6025.9606231287025</v>
      </c>
      <c r="AB51" s="174"/>
      <c r="AC51" s="174">
        <f t="shared" si="5"/>
        <v>391.03937687129746</v>
      </c>
      <c r="AD51" s="41">
        <f>'Oct2025-COLLECTION'!K50</f>
        <v>6026</v>
      </c>
      <c r="AE51" s="174">
        <f>'Oct2025-EXPENSE'!R54</f>
        <v>7597.063355572076</v>
      </c>
      <c r="AF51" s="174"/>
      <c r="AG51" s="174">
        <f t="shared" si="6"/>
        <v>-1571.063355572076</v>
      </c>
      <c r="AH51" s="41">
        <f>'Nov2025-COLLECTION'!K50</f>
        <v>6114</v>
      </c>
      <c r="AI51" s="174">
        <f>'Nov2025-EXPENSE'!R54</f>
        <v>7704.0654566734574</v>
      </c>
      <c r="AJ51" s="174"/>
      <c r="AK51" s="174">
        <f t="shared" si="7"/>
        <v>-1590.0654566734574</v>
      </c>
      <c r="AL51" s="41">
        <f>'Dec2025-COLLECTION'!K50</f>
        <v>7786</v>
      </c>
      <c r="AM51" s="174">
        <f>'Dec2025-EXPENSE'!R54</f>
        <v>6297.8208899045885</v>
      </c>
      <c r="AN51" s="174"/>
      <c r="AO51" s="174">
        <f t="shared" si="8"/>
        <v>1488.1791100954115</v>
      </c>
      <c r="AP51" s="7">
        <f>'Jan2026-COLLECTION'!K50</f>
        <v>6280</v>
      </c>
      <c r="AQ51" s="10">
        <f>'Jan2026-EXPENSE'!R54</f>
        <v>6032.3988558805268</v>
      </c>
      <c r="AR51" s="10"/>
      <c r="AS51" s="174">
        <f t="shared" si="9"/>
        <v>247.60114411947325</v>
      </c>
      <c r="AT51" s="7">
        <f>'Feb2026-COLLECTION'!K50</f>
        <v>6050</v>
      </c>
      <c r="AU51" s="10">
        <f>'Feb2026-EXPENSE'!R54</f>
        <v>5932.8928171032348</v>
      </c>
      <c r="AV51" s="10"/>
      <c r="AW51" s="174">
        <f t="shared" si="10"/>
        <v>117.10718289676515</v>
      </c>
      <c r="AX51" s="7">
        <f>'Mar2026-COLLECTION'!K50</f>
        <v>5933</v>
      </c>
      <c r="AY51" s="10">
        <f>'Mar2026-EXPENSE'!R54</f>
        <v>5878.725860833124</v>
      </c>
      <c r="AZ51" s="10"/>
      <c r="BA51" s="174">
        <f t="shared" si="11"/>
        <v>54.274139166876012</v>
      </c>
      <c r="BB51" s="172">
        <f t="shared" ref="BB51:BD51" si="62">SUM(F51,J51,N51,R51,V51,Z51,AD51,AH51,AL51,AP51,AT51,AX51)</f>
        <v>74670</v>
      </c>
      <c r="BC51" s="172">
        <f t="shared" si="62"/>
        <v>76604.277729935653</v>
      </c>
      <c r="BD51" s="172">
        <f t="shared" si="62"/>
        <v>0</v>
      </c>
      <c r="BE51" s="172">
        <f t="shared" si="13"/>
        <v>-1934.277729935653</v>
      </c>
      <c r="BF51" s="172">
        <f t="shared" si="14"/>
        <v>6440.972270064347</v>
      </c>
      <c r="BG51" s="175">
        <v>2555.25</v>
      </c>
    </row>
    <row r="52" spans="1:59" ht="15.75" customHeight="1">
      <c r="A52" s="169" t="s">
        <v>133</v>
      </c>
      <c r="B52" s="13"/>
      <c r="C52" s="13" t="s">
        <v>134</v>
      </c>
      <c r="D52" s="170">
        <v>-95754.96</v>
      </c>
      <c r="E52" s="175">
        <v>-15186.806955318374</v>
      </c>
      <c r="F52" s="171">
        <f>'Apr2025-COLLECTION'!K51</f>
        <v>5236</v>
      </c>
      <c r="G52" s="172">
        <f>'Apr2025-EXPENSE'!R55</f>
        <v>6778.7601175380287</v>
      </c>
      <c r="H52" s="172"/>
      <c r="I52" s="172">
        <f t="shared" si="0"/>
        <v>-1542.7601175380287</v>
      </c>
      <c r="J52" s="173">
        <f>'May2025-COLLECTION'!K51</f>
        <v>0</v>
      </c>
      <c r="K52" s="174">
        <f>'May2025-EXPENSE'!R55</f>
        <v>5525.1168093003162</v>
      </c>
      <c r="L52" s="174">
        <v>500</v>
      </c>
      <c r="M52" s="174">
        <f t="shared" si="1"/>
        <v>-6025.1168093003162</v>
      </c>
      <c r="N52" s="172">
        <f>'June2025-COLLECTION'!K51</f>
        <v>69469</v>
      </c>
      <c r="O52" s="172">
        <f>'June2025-EXPENSE'!R55</f>
        <v>5694.2443099716002</v>
      </c>
      <c r="P52" s="172"/>
      <c r="Q52" s="172">
        <f t="shared" si="2"/>
        <v>63774.755690028396</v>
      </c>
      <c r="R52" s="41">
        <f>'July2025-COLLECTION'!K51</f>
        <v>0</v>
      </c>
      <c r="S52" s="174">
        <f>'July2025-EXPENSE'!R55</f>
        <v>6598.9014473982697</v>
      </c>
      <c r="T52" s="174">
        <v>500</v>
      </c>
      <c r="U52" s="174">
        <f t="shared" si="3"/>
        <v>-7098.9014473982697</v>
      </c>
      <c r="V52" s="167">
        <f>'Aug2025-COLLECTION'!K51</f>
        <v>18827</v>
      </c>
      <c r="W52" s="172">
        <f>'Aug2025-EXPENSE'!R55</f>
        <v>6902.2401838348405</v>
      </c>
      <c r="X52" s="172"/>
      <c r="Y52" s="172">
        <f t="shared" si="4"/>
        <v>11924.759816165159</v>
      </c>
      <c r="Z52" s="41">
        <f>'Sep2025-COLLECTION'!K51</f>
        <v>0</v>
      </c>
      <c r="AA52" s="174">
        <f>'Sep2025-EXPENSE'!R55</f>
        <v>5775.3820601187008</v>
      </c>
      <c r="AB52" s="174"/>
      <c r="AC52" s="174">
        <f t="shared" si="5"/>
        <v>-5775.3820601187008</v>
      </c>
      <c r="AD52" s="41">
        <f>'Oct2025-COLLECTION'!K51</f>
        <v>5775</v>
      </c>
      <c r="AE52" s="174">
        <f>'Oct2025-EXPENSE'!R55</f>
        <v>7544.3288722392899</v>
      </c>
      <c r="AF52" s="174"/>
      <c r="AG52" s="174">
        <f t="shared" si="6"/>
        <v>-1769.3288722392899</v>
      </c>
      <c r="AH52" s="41">
        <f>'Nov2025-COLLECTION'!K51</f>
        <v>0</v>
      </c>
      <c r="AI52" s="174">
        <f>'Nov2025-EXPENSE'!R55</f>
        <v>7835.5314126601352</v>
      </c>
      <c r="AJ52" s="174"/>
      <c r="AK52" s="174">
        <f t="shared" si="7"/>
        <v>-7835.5314126601352</v>
      </c>
      <c r="AL52" s="41">
        <f>'Dec2025-COLLECTION'!K51</f>
        <v>6231</v>
      </c>
      <c r="AM52" s="174">
        <f>'Dec2025-EXPENSE'!R55</f>
        <v>5933.4109560228244</v>
      </c>
      <c r="AN52" s="174"/>
      <c r="AO52" s="174">
        <f t="shared" si="8"/>
        <v>297.58904397717561</v>
      </c>
      <c r="AP52" s="7">
        <f>'Jan2026-COLLECTION'!K51</f>
        <v>0</v>
      </c>
      <c r="AQ52" s="10">
        <f>'Jan2026-EXPENSE'!R55</f>
        <v>5895.8963110268705</v>
      </c>
      <c r="AR52" s="10"/>
      <c r="AS52" s="174">
        <f t="shared" si="9"/>
        <v>-5895.8963110268705</v>
      </c>
      <c r="AT52" s="7">
        <f>'Feb2026-COLLECTION'!K51</f>
        <v>0</v>
      </c>
      <c r="AU52" s="10">
        <f>'Feb2026-EXPENSE'!R55</f>
        <v>5861.9341501826912</v>
      </c>
      <c r="AV52" s="10"/>
      <c r="AW52" s="174">
        <f t="shared" si="10"/>
        <v>-5861.9341501826912</v>
      </c>
      <c r="AX52" s="7">
        <f>'Mar2026-COLLECTION'!K51</f>
        <v>0</v>
      </c>
      <c r="AY52" s="10">
        <f>'Mar2026-EXPENSE'!R55</f>
        <v>6105.0311775588398</v>
      </c>
      <c r="AZ52" s="10"/>
      <c r="BA52" s="174">
        <f t="shared" si="11"/>
        <v>-6105.0311775588398</v>
      </c>
      <c r="BB52" s="172">
        <f t="shared" ref="BB52:BD52" si="63">SUM(F52,J52,N52,R52,V52,Z52,AD52,AH52,AL52,AP52,AT52,AX52)</f>
        <v>105538</v>
      </c>
      <c r="BC52" s="172">
        <f t="shared" si="63"/>
        <v>76450.777807852399</v>
      </c>
      <c r="BD52" s="172">
        <f t="shared" si="63"/>
        <v>1000</v>
      </c>
      <c r="BE52" s="172">
        <f t="shared" si="13"/>
        <v>28087.222192147601</v>
      </c>
      <c r="BF52" s="172">
        <f t="shared" si="14"/>
        <v>12900.415236829227</v>
      </c>
      <c r="BG52" s="175">
        <v>-67934.559999999998</v>
      </c>
    </row>
    <row r="53" spans="1:59" ht="15.75" customHeight="1">
      <c r="A53" s="169" t="s">
        <v>135</v>
      </c>
      <c r="B53" s="13"/>
      <c r="C53" s="13" t="s">
        <v>136</v>
      </c>
      <c r="D53" s="170">
        <v>5261.88</v>
      </c>
      <c r="E53" s="175">
        <v>-6949.6900000000023</v>
      </c>
      <c r="F53" s="171">
        <f>'Apr2025-COLLECTION'!K52</f>
        <v>4978</v>
      </c>
      <c r="G53" s="172">
        <f>'Apr2025-EXPENSE'!R56</f>
        <v>6552.0646376545055</v>
      </c>
      <c r="H53" s="172"/>
      <c r="I53" s="172">
        <f t="shared" si="0"/>
        <v>-1574.0646376545055</v>
      </c>
      <c r="J53" s="173">
        <f>'May2025-COLLECTION'!K52</f>
        <v>11928</v>
      </c>
      <c r="K53" s="174">
        <f>'May2025-EXPENSE'!R56</f>
        <v>4927.494886869863</v>
      </c>
      <c r="L53" s="174">
        <v>500</v>
      </c>
      <c r="M53" s="174">
        <f t="shared" si="1"/>
        <v>6500.505113130137</v>
      </c>
      <c r="N53" s="172">
        <f>'June2025-COLLECTION'!K52</f>
        <v>4905</v>
      </c>
      <c r="O53" s="172">
        <f>'June2025-EXPENSE'!R56</f>
        <v>4859.0454804789943</v>
      </c>
      <c r="P53" s="172"/>
      <c r="Q53" s="172">
        <f t="shared" si="2"/>
        <v>45.95451952100575</v>
      </c>
      <c r="R53" s="41">
        <f>'July2025-COLLECTION'!K52</f>
        <v>4860</v>
      </c>
      <c r="S53" s="174">
        <f>'July2025-EXPENSE'!R56</f>
        <v>6114.8750558250849</v>
      </c>
      <c r="T53" s="174"/>
      <c r="U53" s="174">
        <f t="shared" si="3"/>
        <v>-1254.8750558250849</v>
      </c>
      <c r="V53" s="167">
        <f>'Aug2025-COLLECTION'!K52</f>
        <v>6114.88</v>
      </c>
      <c r="W53" s="172">
        <f>'Aug2025-EXPENSE'!R56</f>
        <v>6343.0070526740001</v>
      </c>
      <c r="X53" s="172"/>
      <c r="Y53" s="172">
        <f t="shared" si="4"/>
        <v>-228.12705267399997</v>
      </c>
      <c r="Z53" s="41">
        <f>'Sep2025-COLLECTION'!K52</f>
        <v>6343</v>
      </c>
      <c r="AA53" s="174">
        <f>'Sep2025-EXPENSE'!R56</f>
        <v>5604.7405572817688</v>
      </c>
      <c r="AB53" s="174"/>
      <c r="AC53" s="174">
        <f t="shared" si="5"/>
        <v>738.25944271823118</v>
      </c>
      <c r="AD53" s="41">
        <f>'Oct2025-COLLECTION'!K52</f>
        <v>5605</v>
      </c>
      <c r="AE53" s="174">
        <f>'Oct2025-EXPENSE'!R56</f>
        <v>6652.494746009339</v>
      </c>
      <c r="AF53" s="174"/>
      <c r="AG53" s="174">
        <f t="shared" si="6"/>
        <v>-1047.494746009339</v>
      </c>
      <c r="AH53" s="41">
        <f>'Nov2025-COLLECTION'!K52</f>
        <v>6231</v>
      </c>
      <c r="AI53" s="174">
        <f>'Nov2025-EXPENSE'!R56</f>
        <v>6769.4794383492308</v>
      </c>
      <c r="AJ53" s="174"/>
      <c r="AK53" s="174">
        <f t="shared" si="7"/>
        <v>-538.4794383492308</v>
      </c>
      <c r="AL53" s="41">
        <f>'Dec2025-COLLECTION'!K52</f>
        <v>6851</v>
      </c>
      <c r="AM53" s="174">
        <f>'Dec2025-EXPENSE'!R56</f>
        <v>5340.3609285912171</v>
      </c>
      <c r="AN53" s="174"/>
      <c r="AO53" s="174">
        <f t="shared" si="8"/>
        <v>1510.6390714087829</v>
      </c>
      <c r="AP53" s="7">
        <f>'Jan2026-COLLECTION'!K52</f>
        <v>5317.69</v>
      </c>
      <c r="AQ53" s="10">
        <f>'Jan2026-EXPENSE'!R56</f>
        <v>5404.5265292378208</v>
      </c>
      <c r="AR53" s="10"/>
      <c r="AS53" s="174">
        <f t="shared" si="9"/>
        <v>-86.836529237821196</v>
      </c>
      <c r="AT53" s="7">
        <f>'Feb2026-COLLECTION'!K52</f>
        <v>5427</v>
      </c>
      <c r="AU53" s="10">
        <f>'Feb2026-EXPENSE'!R56</f>
        <v>5275.8462613497468</v>
      </c>
      <c r="AV53" s="10"/>
      <c r="AW53" s="174">
        <f t="shared" si="10"/>
        <v>151.15373865025322</v>
      </c>
      <c r="AX53" s="7">
        <f>'Mar2026-COLLECTION'!K52</f>
        <v>5276</v>
      </c>
      <c r="AY53" s="10">
        <f>'Mar2026-EXPENSE'!R56</f>
        <v>5430.7502548178927</v>
      </c>
      <c r="AZ53" s="10"/>
      <c r="BA53" s="174">
        <f t="shared" si="11"/>
        <v>-154.75025481789271</v>
      </c>
      <c r="BB53" s="172">
        <f t="shared" ref="BB53:BD53" si="64">SUM(F53,J53,N53,R53,V53,Z53,AD53,AH53,AL53,AP53,AT53,AX53)</f>
        <v>73836.570000000007</v>
      </c>
      <c r="BC53" s="172">
        <f t="shared" si="64"/>
        <v>69274.685829139475</v>
      </c>
      <c r="BD53" s="172">
        <f t="shared" si="64"/>
        <v>500</v>
      </c>
      <c r="BE53" s="172">
        <f t="shared" si="13"/>
        <v>4061.8841708605323</v>
      </c>
      <c r="BF53" s="172">
        <f t="shared" si="14"/>
        <v>-2887.80582913947</v>
      </c>
      <c r="BG53" s="175">
        <v>-11927.690000000002</v>
      </c>
    </row>
    <row r="54" spans="1:59" ht="15.75" customHeight="1">
      <c r="A54" s="169" t="s">
        <v>137</v>
      </c>
      <c r="B54" s="13"/>
      <c r="C54" s="13" t="s">
        <v>138</v>
      </c>
      <c r="D54" s="170">
        <v>-16511.91</v>
      </c>
      <c r="E54" s="175">
        <v>24885.55</v>
      </c>
      <c r="F54" s="171">
        <f>'Apr2025-COLLECTION'!K53</f>
        <v>10099</v>
      </c>
      <c r="G54" s="172">
        <f>'Apr2025-EXPENSE'!R57</f>
        <v>5573.9870668568383</v>
      </c>
      <c r="H54" s="172"/>
      <c r="I54" s="172">
        <f t="shared" si="0"/>
        <v>4525.0129331431617</v>
      </c>
      <c r="J54" s="173">
        <f>'May2025-COLLECTION'!K53</f>
        <v>0</v>
      </c>
      <c r="K54" s="174">
        <f>'May2025-EXPENSE'!R57</f>
        <v>4216.0541027388217</v>
      </c>
      <c r="L54" s="174"/>
      <c r="M54" s="174">
        <f t="shared" si="1"/>
        <v>-4216.0541027388217</v>
      </c>
      <c r="N54" s="172">
        <f>'June2025-COLLECTION'!K53</f>
        <v>5529</v>
      </c>
      <c r="O54" s="172">
        <f>'June2025-EXPENSE'!R57</f>
        <v>4925.9734211175482</v>
      </c>
      <c r="P54" s="172"/>
      <c r="Q54" s="172">
        <f t="shared" si="2"/>
        <v>603.02657888245176</v>
      </c>
      <c r="R54" s="41">
        <f>'July2025-COLLECTION'!K53</f>
        <v>0</v>
      </c>
      <c r="S54" s="174">
        <f>'July2025-EXPENSE'!R57</f>
        <v>6261.4130877405805</v>
      </c>
      <c r="T54" s="174"/>
      <c r="U54" s="174">
        <f t="shared" si="3"/>
        <v>-6261.4130877405805</v>
      </c>
      <c r="V54" s="167">
        <f>'Aug2025-COLLECTION'!K53</f>
        <v>11187</v>
      </c>
      <c r="W54" s="172">
        <f>'Aug2025-EXPENSE'!R57</f>
        <v>6562.2086513612194</v>
      </c>
      <c r="X54" s="172"/>
      <c r="Y54" s="172">
        <f t="shared" si="4"/>
        <v>4624.7913486387806</v>
      </c>
      <c r="Z54" s="41">
        <f>'Sep2025-COLLECTION'!K53</f>
        <v>0</v>
      </c>
      <c r="AA54" s="174">
        <f>'Sep2025-EXPENSE'!R57</f>
        <v>5493.6324903226032</v>
      </c>
      <c r="AB54" s="174"/>
      <c r="AC54" s="174">
        <f t="shared" si="5"/>
        <v>-5493.6324903226032</v>
      </c>
      <c r="AD54" s="41">
        <f>'Oct2025-COLLECTION'!K53</f>
        <v>0</v>
      </c>
      <c r="AE54" s="174">
        <f>'Oct2025-EXPENSE'!R57</f>
        <v>6984.5018623450333</v>
      </c>
      <c r="AF54" s="174"/>
      <c r="AG54" s="174">
        <f t="shared" si="6"/>
        <v>-6984.5018623450333</v>
      </c>
      <c r="AH54" s="41">
        <f>'Nov2025-COLLECTION'!K53</f>
        <v>0</v>
      </c>
      <c r="AI54" s="174">
        <f>'Nov2025-EXPENSE'!R57</f>
        <v>7106.9148840944599</v>
      </c>
      <c r="AJ54" s="174"/>
      <c r="AK54" s="174">
        <f t="shared" si="7"/>
        <v>-7106.9148840944599</v>
      </c>
      <c r="AL54" s="41">
        <f>'Dec2025-COLLECTION'!K53</f>
        <v>6231</v>
      </c>
      <c r="AM54" s="174">
        <f>'Dec2025-EXPENSE'!R57</f>
        <v>5468.921912669035</v>
      </c>
      <c r="AN54" s="174"/>
      <c r="AO54" s="174">
        <f t="shared" si="8"/>
        <v>762.07808733096499</v>
      </c>
      <c r="AP54" s="7">
        <f>'Jan2026-COLLECTION'!K53</f>
        <v>0</v>
      </c>
      <c r="AQ54" s="10">
        <f>'Jan2026-EXPENSE'!R57</f>
        <v>5364.4419787179804</v>
      </c>
      <c r="AR54" s="10"/>
      <c r="AS54" s="174">
        <f t="shared" si="9"/>
        <v>-5364.4419787179804</v>
      </c>
      <c r="AT54" s="7">
        <f>'Feb2026-COLLECTION'!K53</f>
        <v>0</v>
      </c>
      <c r="AU54" s="10">
        <f>'Feb2026-EXPENSE'!R57</f>
        <v>5572.9207654607499</v>
      </c>
      <c r="AV54" s="10"/>
      <c r="AW54" s="174">
        <f t="shared" si="10"/>
        <v>-5572.9207654607499</v>
      </c>
      <c r="AX54" s="7">
        <f>'Mar2026-COLLECTION'!K53</f>
        <v>0</v>
      </c>
      <c r="AY54" s="10">
        <f>'Mar2026-EXPENSE'!R57</f>
        <v>5566.2256543820458</v>
      </c>
      <c r="AZ54" s="10"/>
      <c r="BA54" s="174">
        <f t="shared" si="11"/>
        <v>-5566.2256543820458</v>
      </c>
      <c r="BB54" s="172">
        <f t="shared" ref="BB54:BD54" si="65">SUM(F54,J54,N54,R54,V54,Z54,AD54,AH54,AL54,AP54,AT54,AX54)</f>
        <v>33046</v>
      </c>
      <c r="BC54" s="172">
        <f t="shared" si="65"/>
        <v>69097.195877806924</v>
      </c>
      <c r="BD54" s="172">
        <f t="shared" si="65"/>
        <v>0</v>
      </c>
      <c r="BE54" s="172">
        <f t="shared" si="13"/>
        <v>-36051.195877806924</v>
      </c>
      <c r="BF54" s="172">
        <f t="shared" si="14"/>
        <v>-11165.645877806925</v>
      </c>
      <c r="BG54" s="175">
        <v>14786.55</v>
      </c>
    </row>
    <row r="55" spans="1:59" ht="15.75" customHeight="1">
      <c r="A55" s="169" t="s">
        <v>139</v>
      </c>
      <c r="B55" s="13"/>
      <c r="C55" s="13" t="s">
        <v>140</v>
      </c>
      <c r="D55" s="170">
        <v>-1440.38</v>
      </c>
      <c r="E55" s="175">
        <v>23027</v>
      </c>
      <c r="F55" s="171">
        <f>'Apr2025-COLLECTION'!K54</f>
        <v>4996</v>
      </c>
      <c r="G55" s="172">
        <f>'Apr2025-EXPENSE'!R58</f>
        <v>5971.0831586033255</v>
      </c>
      <c r="H55" s="172"/>
      <c r="I55" s="172">
        <f t="shared" si="0"/>
        <v>-975.0831586033255</v>
      </c>
      <c r="J55" s="173">
        <f>'May2025-COLLECTION'!K54</f>
        <v>5941</v>
      </c>
      <c r="K55" s="174">
        <f>'May2025-EXPENSE'!R58</f>
        <v>4449.5646261613438</v>
      </c>
      <c r="L55" s="174"/>
      <c r="M55" s="174">
        <f t="shared" si="1"/>
        <v>1491.4353738386562</v>
      </c>
      <c r="N55" s="172">
        <f>'June2025-COLLECTION'!K54</f>
        <v>0</v>
      </c>
      <c r="O55" s="172">
        <f>'June2025-EXPENSE'!R58</f>
        <v>4459.7267932091509</v>
      </c>
      <c r="P55" s="172"/>
      <c r="Q55" s="172">
        <f t="shared" si="2"/>
        <v>-4459.7267932091509</v>
      </c>
      <c r="R55" s="41">
        <f>'July2025-COLLECTION'!K54</f>
        <v>0</v>
      </c>
      <c r="S55" s="174">
        <f>'July2025-EXPENSE'!R58</f>
        <v>5301.4811757911275</v>
      </c>
      <c r="T55" s="174"/>
      <c r="U55" s="174">
        <f t="shared" si="3"/>
        <v>-5301.4811757911275</v>
      </c>
      <c r="V55" s="167">
        <f>'Aug2025-COLLECTION'!K54</f>
        <v>4459</v>
      </c>
      <c r="W55" s="172">
        <f>'Aug2025-EXPENSE'!R58</f>
        <v>5701.7176054517922</v>
      </c>
      <c r="X55" s="172"/>
      <c r="Y55" s="172">
        <f t="shared" si="4"/>
        <v>-1242.7176054517922</v>
      </c>
      <c r="Z55" s="41">
        <f>'Sep2025-COLLECTION'!K54</f>
        <v>0</v>
      </c>
      <c r="AA55" s="174">
        <f>'Sep2025-EXPENSE'!R58</f>
        <v>4776.5464701705041</v>
      </c>
      <c r="AB55" s="174"/>
      <c r="AC55" s="174">
        <f t="shared" si="5"/>
        <v>-4776.5464701705041</v>
      </c>
      <c r="AD55" s="41">
        <f>'Oct2025-COLLECTION'!K54</f>
        <v>4776</v>
      </c>
      <c r="AE55" s="174">
        <f>'Oct2025-EXPENSE'!R58</f>
        <v>6189.9779868675587</v>
      </c>
      <c r="AF55" s="174"/>
      <c r="AG55" s="174">
        <f t="shared" si="6"/>
        <v>-1413.9779868675587</v>
      </c>
      <c r="AH55" s="41">
        <f>'Nov2025-COLLECTION'!K54</f>
        <v>0</v>
      </c>
      <c r="AI55" s="174">
        <f>'Nov2025-EXPENSE'!R58</f>
        <v>6846.604657605837</v>
      </c>
      <c r="AJ55" s="174"/>
      <c r="AK55" s="174">
        <f t="shared" si="7"/>
        <v>-6846.604657605837</v>
      </c>
      <c r="AL55" s="41">
        <f>'Dec2025-COLLECTION'!K54</f>
        <v>6928</v>
      </c>
      <c r="AM55" s="174">
        <f>'Dec2025-EXPENSE'!R58</f>
        <v>4937.3664850282794</v>
      </c>
      <c r="AN55" s="174"/>
      <c r="AO55" s="174">
        <f t="shared" si="8"/>
        <v>1990.6335149717206</v>
      </c>
      <c r="AP55" s="7">
        <f>'Jan2026-COLLECTION'!K54</f>
        <v>0</v>
      </c>
      <c r="AQ55" s="10">
        <f>'Jan2026-EXPENSE'!R58</f>
        <v>4864.639399393719</v>
      </c>
      <c r="AR55" s="10"/>
      <c r="AS55" s="174">
        <f t="shared" si="9"/>
        <v>-4864.639399393719</v>
      </c>
      <c r="AT55" s="7">
        <f>'Feb2026-COLLECTION'!K54</f>
        <v>4920</v>
      </c>
      <c r="AU55" s="10">
        <f>'Feb2026-EXPENSE'!R58</f>
        <v>4511.3168855782142</v>
      </c>
      <c r="AV55" s="10"/>
      <c r="AW55" s="174">
        <f t="shared" si="10"/>
        <v>408.68311442178583</v>
      </c>
      <c r="AX55" s="7">
        <f>'Mar2026-COLLECTION'!K54</f>
        <v>4511</v>
      </c>
      <c r="AY55" s="10">
        <f>'Mar2026-EXPENSE'!R58</f>
        <v>4846.980955304879</v>
      </c>
      <c r="AZ55" s="10"/>
      <c r="BA55" s="174">
        <f t="shared" si="11"/>
        <v>-335.98095530487899</v>
      </c>
      <c r="BB55" s="172">
        <f t="shared" ref="BB55:BD55" si="66">SUM(F55,J55,N55,R55,V55,Z55,AD55,AH55,AL55,AP55,AT55,AX55)</f>
        <v>36531</v>
      </c>
      <c r="BC55" s="172">
        <f t="shared" si="66"/>
        <v>62857.006199165728</v>
      </c>
      <c r="BD55" s="172">
        <f t="shared" si="66"/>
        <v>0</v>
      </c>
      <c r="BE55" s="172">
        <f t="shared" si="13"/>
        <v>-26326.006199165728</v>
      </c>
      <c r="BF55" s="172">
        <f t="shared" si="14"/>
        <v>-3299.0061991657276</v>
      </c>
      <c r="BG55" s="175">
        <v>18031</v>
      </c>
    </row>
    <row r="56" spans="1:59" ht="15.75" customHeight="1">
      <c r="A56" s="169" t="s">
        <v>141</v>
      </c>
      <c r="B56" s="13"/>
      <c r="C56" s="13" t="s">
        <v>142</v>
      </c>
      <c r="D56" s="170">
        <v>30052.14</v>
      </c>
      <c r="E56" s="175">
        <v>21346.41</v>
      </c>
      <c r="F56" s="171">
        <f>'Apr2025-COLLECTION'!K55</f>
        <v>10363</v>
      </c>
      <c r="G56" s="172">
        <f>'Apr2025-EXPENSE'!R59</f>
        <v>6745.2531091926221</v>
      </c>
      <c r="H56" s="172"/>
      <c r="I56" s="172">
        <f t="shared" si="0"/>
        <v>3617.7468908073779</v>
      </c>
      <c r="J56" s="173">
        <f>'May2025-COLLECTION'!K55</f>
        <v>6739</v>
      </c>
      <c r="K56" s="174">
        <f>'May2025-EXPENSE'!R59</f>
        <v>5170.0448245862826</v>
      </c>
      <c r="L56" s="174"/>
      <c r="M56" s="174">
        <f t="shared" si="1"/>
        <v>1568.9551754137174</v>
      </c>
      <c r="N56" s="172">
        <f>'June2025-COLLECTION'!K55</f>
        <v>0</v>
      </c>
      <c r="O56" s="172">
        <f>'June2025-EXPENSE'!R59</f>
        <v>5521.6696264641014</v>
      </c>
      <c r="P56" s="172"/>
      <c r="Q56" s="172">
        <f t="shared" si="2"/>
        <v>-5521.6696264641014</v>
      </c>
      <c r="R56" s="41">
        <f>'July2025-COLLECTION'!K55</f>
        <v>0</v>
      </c>
      <c r="S56" s="174">
        <f>'July2025-EXPENSE'!R59</f>
        <v>6295.5050070554444</v>
      </c>
      <c r="T56" s="174"/>
      <c r="U56" s="174">
        <f t="shared" si="3"/>
        <v>-6295.5050070554444</v>
      </c>
      <c r="V56" s="167">
        <f>'Aug2025-COLLECTION'!K55</f>
        <v>11818</v>
      </c>
      <c r="W56" s="172">
        <f>'Aug2025-EXPENSE'!R59</f>
        <v>6709.8937552264451</v>
      </c>
      <c r="X56" s="172"/>
      <c r="Y56" s="172">
        <f t="shared" si="4"/>
        <v>5108.1062447735549</v>
      </c>
      <c r="Z56" s="41">
        <f>'Sep2025-COLLECTION'!K55</f>
        <v>0</v>
      </c>
      <c r="AA56" s="174">
        <f>'Sep2025-EXPENSE'!R59</f>
        <v>5634.4031871570023</v>
      </c>
      <c r="AB56" s="174"/>
      <c r="AC56" s="174">
        <f t="shared" si="5"/>
        <v>-5634.4031871570023</v>
      </c>
      <c r="AD56" s="41">
        <f>'Oct2025-COLLECTION'!K55</f>
        <v>6296</v>
      </c>
      <c r="AE56" s="174">
        <f>'Oct2025-EXPENSE'!R59</f>
        <v>7471.8367956099646</v>
      </c>
      <c r="AF56" s="174"/>
      <c r="AG56" s="174">
        <f t="shared" si="6"/>
        <v>-1175.8367956099646</v>
      </c>
      <c r="AH56" s="41">
        <f>'Nov2025-COLLECTION'!K55</f>
        <v>5634</v>
      </c>
      <c r="AI56" s="174">
        <f>'Nov2025-EXPENSE'!R59</f>
        <v>7632.8888021684379</v>
      </c>
      <c r="AJ56" s="174"/>
      <c r="AK56" s="174">
        <f t="shared" si="7"/>
        <v>-1998.8888021684379</v>
      </c>
      <c r="AL56" s="41">
        <f>'Dec2025-COLLECTION'!K55</f>
        <v>13828.61</v>
      </c>
      <c r="AM56" s="174">
        <f>'Dec2025-EXPENSE'!R59</f>
        <v>5838.0479501486643</v>
      </c>
      <c r="AN56" s="174"/>
      <c r="AO56" s="174">
        <f t="shared" si="8"/>
        <v>7990.5620498513363</v>
      </c>
      <c r="AP56" s="7">
        <f>'Jan2026-COLLECTION'!K55</f>
        <v>0</v>
      </c>
      <c r="AQ56" s="10">
        <f>'Jan2026-EXPENSE'!R59</f>
        <v>5459.7465133151345</v>
      </c>
      <c r="AR56" s="10"/>
      <c r="AS56" s="174">
        <f t="shared" si="9"/>
        <v>-5459.7465133151345</v>
      </c>
      <c r="AT56" s="7">
        <f>'Feb2026-COLLECTION'!K55</f>
        <v>0</v>
      </c>
      <c r="AU56" s="10">
        <f>'Feb2026-EXPENSE'!R59</f>
        <v>5952.7736146149082</v>
      </c>
      <c r="AV56" s="10"/>
      <c r="AW56" s="174">
        <f t="shared" si="10"/>
        <v>-5952.7736146149082</v>
      </c>
      <c r="AX56" s="7">
        <f>'Mar2026-COLLECTION'!K55</f>
        <v>0</v>
      </c>
      <c r="AY56" s="10">
        <f>'Mar2026-EXPENSE'!R59</f>
        <v>6245.9203652998567</v>
      </c>
      <c r="AZ56" s="10"/>
      <c r="BA56" s="174">
        <f t="shared" si="11"/>
        <v>-6245.9203652998567</v>
      </c>
      <c r="BB56" s="172">
        <f t="shared" ref="BB56:BD56" si="67">SUM(F56,J56,N56,R56,V56,Z56,AD56,AH56,AL56,AP56,AT56,AX56)</f>
        <v>54678.61</v>
      </c>
      <c r="BC56" s="172">
        <f t="shared" si="67"/>
        <v>74677.983550838864</v>
      </c>
      <c r="BD56" s="172">
        <f t="shared" si="67"/>
        <v>0</v>
      </c>
      <c r="BE56" s="172">
        <f t="shared" si="13"/>
        <v>-19999.373550838864</v>
      </c>
      <c r="BF56" s="172">
        <f t="shared" si="14"/>
        <v>1347.0364491611363</v>
      </c>
      <c r="BG56" s="175">
        <v>10983.41</v>
      </c>
    </row>
    <row r="57" spans="1:59" ht="15.75" customHeight="1">
      <c r="A57" s="169" t="s">
        <v>143</v>
      </c>
      <c r="B57" s="13"/>
      <c r="C57" s="13" t="s">
        <v>144</v>
      </c>
      <c r="D57" s="170">
        <v>11655.8</v>
      </c>
      <c r="E57" s="175">
        <v>8849.2100000000009</v>
      </c>
      <c r="F57" s="171">
        <f>'Apr2025-COLLECTION'!K56</f>
        <v>0</v>
      </c>
      <c r="G57" s="172">
        <f>'Apr2025-EXPENSE'!R60</f>
        <v>5378.0844084110722</v>
      </c>
      <c r="H57" s="172"/>
      <c r="I57" s="172">
        <f t="shared" si="0"/>
        <v>-5378.0844084110722</v>
      </c>
      <c r="J57" s="173">
        <f>'May2025-COLLECTION'!K56</f>
        <v>0</v>
      </c>
      <c r="K57" s="174">
        <f>'May2025-EXPENSE'!R60</f>
        <v>4092.6049595555305</v>
      </c>
      <c r="L57" s="174"/>
      <c r="M57" s="174">
        <f t="shared" si="1"/>
        <v>-4092.6049595555305</v>
      </c>
      <c r="N57" s="172">
        <f>'June2025-COLLECTION'!K56</f>
        <v>4076</v>
      </c>
      <c r="O57" s="172">
        <f>'June2025-EXPENSE'!R60</f>
        <v>4403.5006344590856</v>
      </c>
      <c r="P57" s="172"/>
      <c r="Q57" s="172">
        <f t="shared" si="2"/>
        <v>-327.50063445908563</v>
      </c>
      <c r="R57" s="41">
        <f>'July2025-COLLECTION'!K56</f>
        <v>4403.5</v>
      </c>
      <c r="S57" s="174">
        <f>'July2025-EXPENSE'!R60</f>
        <v>5248.1413321738873</v>
      </c>
      <c r="T57" s="174"/>
      <c r="U57" s="174">
        <f t="shared" si="3"/>
        <v>-844.64133217388735</v>
      </c>
      <c r="V57" s="167">
        <f>'Aug2025-COLLECTION'!K56</f>
        <v>1794</v>
      </c>
      <c r="W57" s="172">
        <f>'Aug2025-EXPENSE'!R60</f>
        <v>5777.9867760236284</v>
      </c>
      <c r="X57" s="172"/>
      <c r="Y57" s="172">
        <f t="shared" si="4"/>
        <v>-3983.9867760236284</v>
      </c>
      <c r="Z57" s="41">
        <f>'Sep2025-COLLECTION'!K56</f>
        <v>5777.61</v>
      </c>
      <c r="AA57" s="174">
        <f>'Sep2025-EXPENSE'!R60</f>
        <v>4802.8656860317533</v>
      </c>
      <c r="AB57" s="174"/>
      <c r="AC57" s="174">
        <f t="shared" si="5"/>
        <v>974.74431396824639</v>
      </c>
      <c r="AD57" s="41">
        <f>'Oct2025-COLLECTION'!K56</f>
        <v>0</v>
      </c>
      <c r="AE57" s="174">
        <f>'Oct2025-EXPENSE'!R60</f>
        <v>6308.0320455166084</v>
      </c>
      <c r="AF57" s="174"/>
      <c r="AG57" s="174">
        <f t="shared" si="6"/>
        <v>-6308.0320455166084</v>
      </c>
      <c r="AH57" s="41">
        <f>'Nov2025-COLLECTION'!K56</f>
        <v>6114</v>
      </c>
      <c r="AI57" s="174">
        <f>'Nov2025-EXPENSE'!R60</f>
        <v>6561.898039585757</v>
      </c>
      <c r="AJ57" s="174"/>
      <c r="AK57" s="174">
        <f t="shared" si="7"/>
        <v>-447.89803958575703</v>
      </c>
      <c r="AL57" s="41">
        <f>'Dec2025-COLLECTION'!K56</f>
        <v>6643.62</v>
      </c>
      <c r="AM57" s="174">
        <f>'Dec2025-EXPENSE'!R60</f>
        <v>4916.6627902336495</v>
      </c>
      <c r="AN57" s="174"/>
      <c r="AO57" s="174">
        <f t="shared" si="8"/>
        <v>1726.9572097663504</v>
      </c>
      <c r="AP57" s="7">
        <f>'Jan2026-COLLECTION'!K56</f>
        <v>4889.6000000000004</v>
      </c>
      <c r="AQ57" s="10">
        <f>'Jan2026-EXPENSE'!R60</f>
        <v>5295.1595118259947</v>
      </c>
      <c r="AR57" s="10"/>
      <c r="AS57" s="174">
        <f t="shared" si="9"/>
        <v>-405.55951182599438</v>
      </c>
      <c r="AT57" s="7">
        <f>'Feb2026-COLLECTION'!K56</f>
        <v>5312</v>
      </c>
      <c r="AU57" s="10">
        <f>'Feb2026-EXPENSE'!R60</f>
        <v>4499.0026602538201</v>
      </c>
      <c r="AV57" s="10"/>
      <c r="AW57" s="174">
        <f t="shared" si="10"/>
        <v>812.99733974617993</v>
      </c>
      <c r="AX57" s="7">
        <f>'Mar2026-COLLECTION'!K56</f>
        <v>4499</v>
      </c>
      <c r="AY57" s="10">
        <f>'Mar2026-EXPENSE'!R60</f>
        <v>4712.434378264672</v>
      </c>
      <c r="AZ57" s="10"/>
      <c r="BA57" s="174">
        <f t="shared" si="11"/>
        <v>-213.43437826467198</v>
      </c>
      <c r="BB57" s="172">
        <f t="shared" ref="BB57:BD57" si="68">SUM(F57,J57,N57,R57,V57,Z57,AD57,AH57,AL57,AP57,AT57,AX57)</f>
        <v>43509.33</v>
      </c>
      <c r="BC57" s="172">
        <f t="shared" si="68"/>
        <v>61996.37322233546</v>
      </c>
      <c r="BD57" s="172">
        <f t="shared" si="68"/>
        <v>0</v>
      </c>
      <c r="BE57" s="172">
        <f t="shared" si="13"/>
        <v>-18487.043222335458</v>
      </c>
      <c r="BF57" s="172">
        <f t="shared" si="14"/>
        <v>-9637.8332223354573</v>
      </c>
      <c r="BG57" s="175">
        <v>8849.2100000000009</v>
      </c>
    </row>
    <row r="58" spans="1:59" ht="15.75" customHeight="1">
      <c r="A58" s="169" t="s">
        <v>145</v>
      </c>
      <c r="B58" s="13"/>
      <c r="C58" s="13" t="s">
        <v>146</v>
      </c>
      <c r="D58" s="170">
        <v>52886.239999999998</v>
      </c>
      <c r="E58" s="175">
        <v>45505.31</v>
      </c>
      <c r="F58" s="171">
        <f>'Apr2025-COLLECTION'!K57</f>
        <v>10568</v>
      </c>
      <c r="G58" s="172">
        <f>'Apr2025-EXPENSE'!R61</f>
        <v>6035.0743492035308</v>
      </c>
      <c r="H58" s="172"/>
      <c r="I58" s="172">
        <f t="shared" si="0"/>
        <v>4532.9256507964692</v>
      </c>
      <c r="J58" s="173">
        <f>'May2025-COLLECTION'!K57</f>
        <v>6007</v>
      </c>
      <c r="K58" s="174">
        <f>'May2025-EXPENSE'!R61</f>
        <v>4795.0063293926733</v>
      </c>
      <c r="L58" s="174"/>
      <c r="M58" s="174">
        <f t="shared" si="1"/>
        <v>1211.9936706073267</v>
      </c>
      <c r="N58" s="172">
        <f>'June2025-COLLECTION'!K57</f>
        <v>4778</v>
      </c>
      <c r="O58" s="172">
        <f>'June2025-EXPENSE'!R61</f>
        <v>4529.4555908263319</v>
      </c>
      <c r="P58" s="172"/>
      <c r="Q58" s="172">
        <f t="shared" si="2"/>
        <v>248.5444091736681</v>
      </c>
      <c r="R58" s="41">
        <f>'July2025-COLLECTION'!K57</f>
        <v>4529</v>
      </c>
      <c r="S58" s="174">
        <f>'July2025-EXPENSE'!R61</f>
        <v>5200.4826553324474</v>
      </c>
      <c r="T58" s="174"/>
      <c r="U58" s="174">
        <f t="shared" si="3"/>
        <v>-671.48265533244739</v>
      </c>
      <c r="V58" s="167">
        <f>'Aug2025-COLLECTION'!K57</f>
        <v>5200</v>
      </c>
      <c r="W58" s="172">
        <f>'Aug2025-EXPENSE'!R61</f>
        <v>5707.1431674399928</v>
      </c>
      <c r="X58" s="172"/>
      <c r="Y58" s="172">
        <f t="shared" si="4"/>
        <v>-507.14316743999279</v>
      </c>
      <c r="Z58" s="41">
        <f>'Sep2025-COLLECTION'!K57</f>
        <v>0</v>
      </c>
      <c r="AA58" s="174">
        <f>'Sep2025-EXPENSE'!R61</f>
        <v>4881.0747331643579</v>
      </c>
      <c r="AB58" s="174"/>
      <c r="AC58" s="174">
        <f t="shared" si="5"/>
        <v>-4881.0747331643579</v>
      </c>
      <c r="AD58" s="41">
        <f>'Oct2025-COLLECTION'!K57</f>
        <v>4881</v>
      </c>
      <c r="AE58" s="174">
        <f>'Oct2025-EXPENSE'!R61</f>
        <v>6140.1955147909794</v>
      </c>
      <c r="AF58" s="174"/>
      <c r="AG58" s="174">
        <f t="shared" si="6"/>
        <v>-1259.1955147909794</v>
      </c>
      <c r="AH58" s="41">
        <f>'Nov2025-COLLECTION'!K57</f>
        <v>6114</v>
      </c>
      <c r="AI58" s="174">
        <f>'Nov2025-EXPENSE'!R61</f>
        <v>6607.2671043960991</v>
      </c>
      <c r="AJ58" s="174"/>
      <c r="AK58" s="174">
        <f t="shared" si="7"/>
        <v>-493.26710439609906</v>
      </c>
      <c r="AL58" s="41">
        <f>'Dec2025-COLLECTION'!K57</f>
        <v>0</v>
      </c>
      <c r="AM58" s="174">
        <f>'Dec2025-EXPENSE'!R61</f>
        <v>4817.4831315705342</v>
      </c>
      <c r="AN58" s="174"/>
      <c r="AO58" s="174">
        <f t="shared" si="8"/>
        <v>-4817.4831315705342</v>
      </c>
      <c r="AP58" s="7">
        <f>'Jan2026-COLLECTION'!K57</f>
        <v>4800.42</v>
      </c>
      <c r="AQ58" s="10">
        <f>'Jan2026-EXPENSE'!R61</f>
        <v>5288.0139065972608</v>
      </c>
      <c r="AR58" s="10"/>
      <c r="AS58" s="174">
        <f t="shared" si="9"/>
        <v>-487.59390659726068</v>
      </c>
      <c r="AT58" s="7">
        <f>'Feb2026-COLLECTION'!K57</f>
        <v>0</v>
      </c>
      <c r="AU58" s="10">
        <f>'Feb2026-EXPENSE'!R61</f>
        <v>4776.2952762935056</v>
      </c>
      <c r="AV58" s="10"/>
      <c r="AW58" s="174">
        <f t="shared" si="10"/>
        <v>-4776.2952762935056</v>
      </c>
      <c r="AX58" s="7">
        <f>'Mar2026-COLLECTION'!K57</f>
        <v>10081</v>
      </c>
      <c r="AY58" s="10">
        <f>'Mar2026-EXPENSE'!R61</f>
        <v>4917.6599264127854</v>
      </c>
      <c r="AZ58" s="10"/>
      <c r="BA58" s="174">
        <f t="shared" si="11"/>
        <v>5163.3400735872146</v>
      </c>
      <c r="BB58" s="172">
        <f t="shared" ref="BB58:BD58" si="69">SUM(F58,J58,N58,R58,V58,Z58,AD58,AH58,AL58,AP58,AT58,AX58)</f>
        <v>56958.42</v>
      </c>
      <c r="BC58" s="172">
        <f t="shared" si="69"/>
        <v>63695.151685420511</v>
      </c>
      <c r="BD58" s="172">
        <f t="shared" si="69"/>
        <v>0</v>
      </c>
      <c r="BE58" s="172">
        <f t="shared" si="13"/>
        <v>-6736.7316854205128</v>
      </c>
      <c r="BF58" s="172">
        <f t="shared" si="14"/>
        <v>38768.578314579485</v>
      </c>
      <c r="BG58" s="175">
        <v>34937.31</v>
      </c>
    </row>
    <row r="59" spans="1:59" ht="15.75" customHeight="1">
      <c r="A59" s="169" t="s">
        <v>147</v>
      </c>
      <c r="B59" s="13"/>
      <c r="C59" s="13" t="s">
        <v>148</v>
      </c>
      <c r="D59" s="170">
        <v>29774.18</v>
      </c>
      <c r="E59" s="175">
        <v>19894.25</v>
      </c>
      <c r="F59" s="171">
        <f>'Apr2025-COLLECTION'!K58</f>
        <v>5255</v>
      </c>
      <c r="G59" s="172">
        <f>'Apr2025-EXPENSE'!R62</f>
        <v>6009.1683148292941</v>
      </c>
      <c r="H59" s="172"/>
      <c r="I59" s="172">
        <f t="shared" si="0"/>
        <v>-754.1683148292941</v>
      </c>
      <c r="J59" s="173">
        <f>'May2025-COLLECTION'!K58</f>
        <v>5977</v>
      </c>
      <c r="K59" s="174">
        <f>'May2025-EXPENSE'!R62</f>
        <v>5448.6705798148232</v>
      </c>
      <c r="L59" s="174"/>
      <c r="M59" s="174">
        <f t="shared" si="1"/>
        <v>528.32942018517679</v>
      </c>
      <c r="N59" s="172">
        <f>'June2025-COLLECTION'!K58</f>
        <v>5426</v>
      </c>
      <c r="O59" s="172">
        <f>'June2025-EXPENSE'!R62</f>
        <v>5328.9205915204329</v>
      </c>
      <c r="P59" s="172"/>
      <c r="Q59" s="172">
        <f t="shared" si="2"/>
        <v>97.079408479567064</v>
      </c>
      <c r="R59" s="41">
        <f>'July2025-COLLECTION'!K58</f>
        <v>5329</v>
      </c>
      <c r="S59" s="174">
        <f>'July2025-EXPENSE'!R62</f>
        <v>5839.6991762003854</v>
      </c>
      <c r="T59" s="174"/>
      <c r="U59" s="174">
        <f t="shared" si="3"/>
        <v>-510.69917620038541</v>
      </c>
      <c r="V59" s="167">
        <f>'Aug2025-COLLECTION'!K58</f>
        <v>5840</v>
      </c>
      <c r="W59" s="172">
        <f>'Aug2025-EXPENSE'!R62</f>
        <v>6294.2659384193448</v>
      </c>
      <c r="X59" s="172"/>
      <c r="Y59" s="172">
        <f t="shared" si="4"/>
        <v>-454.26593841934482</v>
      </c>
      <c r="Z59" s="41">
        <f>'Sep2025-COLLECTION'!K58</f>
        <v>5840</v>
      </c>
      <c r="AA59" s="174">
        <f>'Sep2025-EXPENSE'!R62</f>
        <v>5244.8607404005543</v>
      </c>
      <c r="AB59" s="174"/>
      <c r="AC59" s="174">
        <f t="shared" si="5"/>
        <v>595.13925959944572</v>
      </c>
      <c r="AD59" s="41">
        <f>'Oct2025-COLLECTION'!K58</f>
        <v>5245</v>
      </c>
      <c r="AE59" s="174">
        <f>'Oct2025-EXPENSE'!R62</f>
        <v>6555.9050616601162</v>
      </c>
      <c r="AF59" s="174"/>
      <c r="AG59" s="174">
        <f t="shared" si="6"/>
        <v>-1310.9050616601162</v>
      </c>
      <c r="AH59" s="41">
        <f>'Nov2025-COLLECTION'!K58</f>
        <v>6231</v>
      </c>
      <c r="AI59" s="174">
        <f>'Nov2025-EXPENSE'!R62</f>
        <v>7005.5728855373118</v>
      </c>
      <c r="AJ59" s="174"/>
      <c r="AK59" s="174">
        <f t="shared" si="7"/>
        <v>-774.57288553731178</v>
      </c>
      <c r="AL59" s="41">
        <f>'Dec2025-COLLECTION'!K58</f>
        <v>7087.29</v>
      </c>
      <c r="AM59" s="174">
        <f>'Dec2025-EXPENSE'!R62</f>
        <v>5478.0711536488943</v>
      </c>
      <c r="AN59" s="174"/>
      <c r="AO59" s="174">
        <f t="shared" si="8"/>
        <v>1609.2188463511056</v>
      </c>
      <c r="AP59" s="7">
        <f>'Jan2026-COLLECTION'!K58</f>
        <v>5455.4</v>
      </c>
      <c r="AQ59" s="10">
        <f>'Jan2026-EXPENSE'!R62</f>
        <v>5485.4008214440555</v>
      </c>
      <c r="AR59" s="10"/>
      <c r="AS59" s="174">
        <f t="shared" si="9"/>
        <v>-30.000821444055873</v>
      </c>
      <c r="AT59" s="7">
        <f>'Feb2026-COLLECTION'!K58</f>
        <v>5508</v>
      </c>
      <c r="AU59" s="10">
        <f>'Feb2026-EXPENSE'!R62</f>
        <v>4658.4535346439425</v>
      </c>
      <c r="AV59" s="10"/>
      <c r="AW59" s="174">
        <f t="shared" si="10"/>
        <v>849.54646535605752</v>
      </c>
      <c r="AX59" s="7">
        <f>'Mar2026-COLLECTION'!K58</f>
        <v>4658</v>
      </c>
      <c r="AY59" s="10">
        <f>'Mar2026-EXPENSE'!R62</f>
        <v>4785.0859117432874</v>
      </c>
      <c r="AZ59" s="10"/>
      <c r="BA59" s="174">
        <f t="shared" si="11"/>
        <v>-127.0859117432874</v>
      </c>
      <c r="BB59" s="172">
        <f t="shared" ref="BB59:BD59" si="70">SUM(F59,J59,N59,R59,V59,Z59,AD59,AH59,AL59,AP59,AT59,AX59)</f>
        <v>67851.69</v>
      </c>
      <c r="BC59" s="172">
        <f t="shared" si="70"/>
        <v>68134.074709862442</v>
      </c>
      <c r="BD59" s="172">
        <f t="shared" si="70"/>
        <v>0</v>
      </c>
      <c r="BE59" s="172">
        <f t="shared" si="13"/>
        <v>-282.38470986243919</v>
      </c>
      <c r="BF59" s="172">
        <f t="shared" si="14"/>
        <v>19611.865290137561</v>
      </c>
      <c r="BG59" s="175">
        <v>14639.25</v>
      </c>
    </row>
    <row r="60" spans="1:59" ht="15.75" customHeight="1">
      <c r="A60" s="169" t="s">
        <v>149</v>
      </c>
      <c r="B60" s="13"/>
      <c r="C60" s="13" t="s">
        <v>36</v>
      </c>
      <c r="D60" s="170">
        <v>-9084.31</v>
      </c>
      <c r="E60" s="175">
        <v>12101</v>
      </c>
      <c r="F60" s="171">
        <f>'Apr2025-COLLECTION'!K59</f>
        <v>5754</v>
      </c>
      <c r="G60" s="172">
        <f>'Apr2025-EXPENSE'!R63</f>
        <v>6609.6644135550587</v>
      </c>
      <c r="H60" s="172"/>
      <c r="I60" s="172">
        <f t="shared" si="0"/>
        <v>-855.66441355505867</v>
      </c>
      <c r="J60" s="173">
        <f>'May2025-COLLECTION'!K59</f>
        <v>6577</v>
      </c>
      <c r="K60" s="174">
        <f>'May2025-EXPENSE'!R63</f>
        <v>4975.9120208897366</v>
      </c>
      <c r="L60" s="174"/>
      <c r="M60" s="174">
        <f t="shared" si="1"/>
        <v>1601.0879791102634</v>
      </c>
      <c r="N60" s="172">
        <f>'June2025-COLLECTION'!K59</f>
        <v>4959</v>
      </c>
      <c r="O60" s="172">
        <f>'June2025-EXPENSE'!R63</f>
        <v>5280.4170790428761</v>
      </c>
      <c r="P60" s="172"/>
      <c r="Q60" s="172">
        <f t="shared" si="2"/>
        <v>-321.41707904287614</v>
      </c>
      <c r="R60" s="41">
        <f>'July2025-COLLECTION'!K59</f>
        <v>5281</v>
      </c>
      <c r="S60" s="174">
        <f>'July2025-EXPENSE'!R63</f>
        <v>5885.059060160329</v>
      </c>
      <c r="T60" s="174"/>
      <c r="U60" s="174">
        <f t="shared" si="3"/>
        <v>-604.05906016032895</v>
      </c>
      <c r="V60" s="167">
        <f>'Aug2025-COLLECTION'!K59</f>
        <v>5886</v>
      </c>
      <c r="W60" s="172">
        <f>'Aug2025-EXPENSE'!R63</f>
        <v>6634.3188966284451</v>
      </c>
      <c r="X60" s="172"/>
      <c r="Y60" s="172">
        <f t="shared" si="4"/>
        <v>-748.31889662844515</v>
      </c>
      <c r="Z60" s="41">
        <f>'Sep2025-COLLECTION'!K59</f>
        <v>9000</v>
      </c>
      <c r="AA60" s="174">
        <f>'Sep2025-EXPENSE'!R63</f>
        <v>5796.1214326295876</v>
      </c>
      <c r="AB60" s="174"/>
      <c r="AC60" s="174">
        <f t="shared" si="5"/>
        <v>3203.8785673704124</v>
      </c>
      <c r="AD60" s="41">
        <f>'Oct2025-COLLECTION'!K59</f>
        <v>5796</v>
      </c>
      <c r="AE60" s="174">
        <f>'Oct2025-EXPENSE'!R63</f>
        <v>7141.1268014694051</v>
      </c>
      <c r="AF60" s="174"/>
      <c r="AG60" s="174">
        <f t="shared" si="6"/>
        <v>-1345.1268014694051</v>
      </c>
      <c r="AH60" s="41">
        <f>'Nov2025-COLLECTION'!K59</f>
        <v>6864</v>
      </c>
      <c r="AI60" s="174">
        <f>'Nov2025-EXPENSE'!R63</f>
        <v>7240.3824486307121</v>
      </c>
      <c r="AJ60" s="174"/>
      <c r="AK60" s="174">
        <f t="shared" si="7"/>
        <v>-376.38244863071213</v>
      </c>
      <c r="AL60" s="41">
        <f>'Dec2025-COLLECTION'!K59</f>
        <v>7323</v>
      </c>
      <c r="AM60" s="174">
        <f>'Dec2025-EXPENSE'!R63</f>
        <v>5573.6612272837383</v>
      </c>
      <c r="AN60" s="174"/>
      <c r="AO60" s="174">
        <f t="shared" si="8"/>
        <v>1749.3387727162617</v>
      </c>
      <c r="AP60" s="7">
        <f>'Jan2026-COLLECTION'!K59</f>
        <v>0</v>
      </c>
      <c r="AQ60" s="10">
        <f>'Jan2026-EXPENSE'!R63</f>
        <v>6779.4296299160942</v>
      </c>
      <c r="AR60" s="10"/>
      <c r="AS60" s="174">
        <f t="shared" si="9"/>
        <v>-6779.4296299160942</v>
      </c>
      <c r="AT60" s="7">
        <f>'Feb2026-COLLECTION'!K59</f>
        <v>0</v>
      </c>
      <c r="AU60" s="10">
        <f>'Feb2026-EXPENSE'!R63</f>
        <v>5920.2021225136068</v>
      </c>
      <c r="AV60" s="10"/>
      <c r="AW60" s="174">
        <f t="shared" si="10"/>
        <v>-5920.2021225136068</v>
      </c>
      <c r="AX60" s="7">
        <f>'Mar2026-COLLECTION'!K59</f>
        <v>12354</v>
      </c>
      <c r="AY60" s="10">
        <f>'Mar2026-EXPENSE'!R63</f>
        <v>5652.9314549616392</v>
      </c>
      <c r="AZ60" s="10"/>
      <c r="BA60" s="174">
        <f t="shared" si="11"/>
        <v>6701.0685450383608</v>
      </c>
      <c r="BB60" s="172">
        <f t="shared" ref="BB60:BD60" si="71">SUM(F60,J60,N60,R60,V60,Z60,AD60,AH60,AL60,AP60,AT60,AX60)</f>
        <v>69794</v>
      </c>
      <c r="BC60" s="172">
        <f t="shared" si="71"/>
        <v>73489.226587681231</v>
      </c>
      <c r="BD60" s="172">
        <f t="shared" si="71"/>
        <v>0</v>
      </c>
      <c r="BE60" s="172">
        <f t="shared" si="13"/>
        <v>-3695.2265876812307</v>
      </c>
      <c r="BF60" s="172">
        <f t="shared" si="14"/>
        <v>8405.7734123187693</v>
      </c>
      <c r="BG60" s="175">
        <v>6347</v>
      </c>
    </row>
    <row r="61" spans="1:59" ht="15.75" customHeight="1">
      <c r="A61" s="169" t="s">
        <v>150</v>
      </c>
      <c r="B61" s="13"/>
      <c r="C61" s="13" t="s">
        <v>151</v>
      </c>
      <c r="D61" s="170">
        <v>18172.14</v>
      </c>
      <c r="E61" s="175">
        <v>807.65999999999804</v>
      </c>
      <c r="F61" s="171">
        <f>'Apr2025-COLLECTION'!K60</f>
        <v>4809</v>
      </c>
      <c r="G61" s="172">
        <f>'Apr2025-EXPENSE'!R64</f>
        <v>5706.6308186711276</v>
      </c>
      <c r="H61" s="172"/>
      <c r="I61" s="172">
        <f t="shared" si="0"/>
        <v>-897.6308186711276</v>
      </c>
      <c r="J61" s="173">
        <f>'May2025-COLLECTION'!K60</f>
        <v>0</v>
      </c>
      <c r="K61" s="174">
        <f>'May2025-EXPENSE'!R64</f>
        <v>4876.4096570393358</v>
      </c>
      <c r="L61" s="174">
        <v>500</v>
      </c>
      <c r="M61" s="174">
        <f t="shared" si="1"/>
        <v>-5376.4096570393358</v>
      </c>
      <c r="N61" s="172">
        <f>'June2025-COLLECTION'!K60</f>
        <v>10528</v>
      </c>
      <c r="O61" s="172">
        <f>'June2025-EXPENSE'!R64</f>
        <v>4585.0546920438683</v>
      </c>
      <c r="P61" s="172"/>
      <c r="Q61" s="172">
        <f t="shared" si="2"/>
        <v>5942.9453079561317</v>
      </c>
      <c r="R61" s="41">
        <f>'July2025-COLLECTION'!K60</f>
        <v>4585</v>
      </c>
      <c r="S61" s="174">
        <f>'July2025-EXPENSE'!R64</f>
        <v>5351.2590180171919</v>
      </c>
      <c r="T61" s="174"/>
      <c r="U61" s="174">
        <f t="shared" si="3"/>
        <v>-766.25901801719192</v>
      </c>
      <c r="V61" s="167">
        <f>'Aug2025-COLLECTION'!K60</f>
        <v>5351</v>
      </c>
      <c r="W61" s="172">
        <f>'Aug2025-EXPENSE'!R64</f>
        <v>5680.5045475143197</v>
      </c>
      <c r="X61" s="172"/>
      <c r="Y61" s="172">
        <f t="shared" si="4"/>
        <v>-329.50454751431971</v>
      </c>
      <c r="Z61" s="41">
        <f>'Sep2025-COLLECTION'!K60</f>
        <v>0</v>
      </c>
      <c r="AA61" s="174">
        <f>'Sep2025-EXPENSE'!R64</f>
        <v>4833.8341046948408</v>
      </c>
      <c r="AB61" s="174"/>
      <c r="AC61" s="174">
        <f t="shared" si="5"/>
        <v>-4833.8341046948408</v>
      </c>
      <c r="AD61" s="41">
        <f>'Oct2025-COLLECTION'!K60</f>
        <v>5176</v>
      </c>
      <c r="AE61" s="174">
        <f>'Oct2025-EXPENSE'!R64</f>
        <v>6194.0158394586151</v>
      </c>
      <c r="AF61" s="174"/>
      <c r="AG61" s="174">
        <f t="shared" si="6"/>
        <v>-1018.0158394586151</v>
      </c>
      <c r="AH61" s="41">
        <f>'Nov2025-COLLECTION'!K60</f>
        <v>4834</v>
      </c>
      <c r="AI61" s="174">
        <f>'Nov2025-EXPENSE'!R64</f>
        <v>6978.402517172276</v>
      </c>
      <c r="AJ61" s="174"/>
      <c r="AK61" s="174">
        <f t="shared" si="7"/>
        <v>-2144.402517172276</v>
      </c>
      <c r="AL61" s="41">
        <f>'Dec2025-COLLECTION'!K60</f>
        <v>13174.119999999999</v>
      </c>
      <c r="AM61" s="174">
        <f>'Dec2025-EXPENSE'!R64</f>
        <v>5229.3404587721434</v>
      </c>
      <c r="AN61" s="174"/>
      <c r="AO61" s="174">
        <f t="shared" si="8"/>
        <v>7944.7795412278556</v>
      </c>
      <c r="AP61" s="7">
        <f>'Jan2026-COLLECTION'!K60</f>
        <v>0</v>
      </c>
      <c r="AQ61" s="10">
        <f>'Jan2026-EXPENSE'!R64</f>
        <v>5145.7879829009362</v>
      </c>
      <c r="AR61" s="10"/>
      <c r="AS61" s="174">
        <f t="shared" si="9"/>
        <v>-5145.7879829009362</v>
      </c>
      <c r="AT61" s="7">
        <f>'Feb2026-COLLECTION'!K60</f>
        <v>0</v>
      </c>
      <c r="AU61" s="10">
        <f>'Feb2026-EXPENSE'!R64</f>
        <v>4887.7662155753778</v>
      </c>
      <c r="AV61" s="10"/>
      <c r="AW61" s="174">
        <f t="shared" si="10"/>
        <v>-4887.7662155753778</v>
      </c>
      <c r="AX61" s="7">
        <f>'Mar2026-COLLECTION'!K60</f>
        <v>5163</v>
      </c>
      <c r="AY61" s="10">
        <f>'Mar2026-EXPENSE'!R64</f>
        <v>4938.9786148195508</v>
      </c>
      <c r="AZ61" s="10"/>
      <c r="BA61" s="174">
        <f t="shared" si="11"/>
        <v>224.02138518044922</v>
      </c>
      <c r="BB61" s="172">
        <f t="shared" ref="BB61:BD61" si="72">SUM(F61,J61,N61,R61,V61,Z61,AD61,AH61,AL61,AP61,AT61,AX61)</f>
        <v>53620.119999999995</v>
      </c>
      <c r="BC61" s="172">
        <f t="shared" si="72"/>
        <v>64407.984466679591</v>
      </c>
      <c r="BD61" s="172">
        <f t="shared" si="72"/>
        <v>500</v>
      </c>
      <c r="BE61" s="172">
        <f t="shared" si="13"/>
        <v>-11287.864466679595</v>
      </c>
      <c r="BF61" s="172">
        <f t="shared" si="14"/>
        <v>-10480.204466679597</v>
      </c>
      <c r="BG61" s="175">
        <v>-4001.340000000002</v>
      </c>
    </row>
    <row r="62" spans="1:59" ht="15.75" customHeight="1">
      <c r="A62" s="169" t="s">
        <v>152</v>
      </c>
      <c r="B62" s="13"/>
      <c r="C62" s="13" t="s">
        <v>153</v>
      </c>
      <c r="D62" s="170">
        <v>-4201.6899999999996</v>
      </c>
      <c r="E62" s="175">
        <v>-13443.343737614523</v>
      </c>
      <c r="F62" s="171">
        <f>'Apr2025-COLLECTION'!K61</f>
        <v>4668</v>
      </c>
      <c r="G62" s="172">
        <f>'Apr2025-EXPENSE'!R65</f>
        <v>5470.8304828903083</v>
      </c>
      <c r="H62" s="172"/>
      <c r="I62" s="172">
        <f t="shared" si="0"/>
        <v>-802.8304828903083</v>
      </c>
      <c r="J62" s="173">
        <f>'May2025-COLLECTION'!K61</f>
        <v>6103</v>
      </c>
      <c r="K62" s="174">
        <f>'May2025-EXPENSE'!R65</f>
        <v>4212.2071024441493</v>
      </c>
      <c r="L62" s="174">
        <v>500</v>
      </c>
      <c r="M62" s="174">
        <f t="shared" si="1"/>
        <v>1390.7928975558507</v>
      </c>
      <c r="N62" s="172">
        <f>'June2025-COLLECTION'!K61</f>
        <v>4195</v>
      </c>
      <c r="O62" s="172">
        <f>'June2025-EXPENSE'!R65</f>
        <v>4410.3982673169003</v>
      </c>
      <c r="P62" s="172"/>
      <c r="Q62" s="172">
        <f t="shared" si="2"/>
        <v>-215.39826731690027</v>
      </c>
      <c r="R62" s="41">
        <f>'July2025-COLLECTION'!K61</f>
        <v>4410.3999999999996</v>
      </c>
      <c r="S62" s="174">
        <f>'July2025-EXPENSE'!R65</f>
        <v>5218.6984599151738</v>
      </c>
      <c r="T62" s="174"/>
      <c r="U62" s="174">
        <f t="shared" si="3"/>
        <v>-808.29845991517413</v>
      </c>
      <c r="V62" s="167">
        <f>'Aug2025-COLLECTION'!K61</f>
        <v>5218.7</v>
      </c>
      <c r="W62" s="172">
        <f>'Aug2025-EXPENSE'!R65</f>
        <v>5695.2247197937822</v>
      </c>
      <c r="X62" s="172"/>
      <c r="Y62" s="172">
        <f t="shared" si="4"/>
        <v>-476.52471979378242</v>
      </c>
      <c r="Z62" s="41">
        <f>'Sep2025-COLLECTION'!K61</f>
        <v>5695.22</v>
      </c>
      <c r="AA62" s="174">
        <f>'Sep2025-EXPENSE'!R65</f>
        <v>4826.8209004683395</v>
      </c>
      <c r="AB62" s="174"/>
      <c r="AC62" s="174">
        <f t="shared" si="5"/>
        <v>868.3990995316608</v>
      </c>
      <c r="AD62" s="41">
        <f>'Oct2025-COLLECTION'!K61</f>
        <v>4826.82</v>
      </c>
      <c r="AE62" s="174">
        <f>'Oct2025-EXPENSE'!R65</f>
        <v>6263.6156670149858</v>
      </c>
      <c r="AF62" s="174"/>
      <c r="AG62" s="174">
        <f t="shared" si="6"/>
        <v>-1436.7956670149861</v>
      </c>
      <c r="AH62" s="41">
        <f>'Nov2025-COLLECTION'!K61</f>
        <v>6114</v>
      </c>
      <c r="AI62" s="174">
        <f>'Nov2025-EXPENSE'!R65</f>
        <v>6898.6071929380769</v>
      </c>
      <c r="AJ62" s="174"/>
      <c r="AK62" s="174">
        <f t="shared" si="7"/>
        <v>-784.60719293807688</v>
      </c>
      <c r="AL62" s="41">
        <f>'Dec2025-COLLECTION'!K61</f>
        <v>6980.33</v>
      </c>
      <c r="AM62" s="174">
        <f>'Dec2025-EXPENSE'!R65</f>
        <v>4994.4784995984328</v>
      </c>
      <c r="AN62" s="174"/>
      <c r="AO62" s="174">
        <f t="shared" si="8"/>
        <v>1985.8515004015671</v>
      </c>
      <c r="AP62" s="7">
        <f>'Jan2026-COLLECTION'!K61</f>
        <v>4977.41</v>
      </c>
      <c r="AQ62" s="10">
        <f>'Jan2026-EXPENSE'!R65</f>
        <v>4964.7023143951001</v>
      </c>
      <c r="AR62" s="10"/>
      <c r="AS62" s="174">
        <f t="shared" si="9"/>
        <v>12.70768560489978</v>
      </c>
      <c r="AT62" s="7">
        <f>'Feb2026-COLLECTION'!K61</f>
        <v>4982</v>
      </c>
      <c r="AU62" s="10">
        <f>'Feb2026-EXPENSE'!R65</f>
        <v>4604.3412142335828</v>
      </c>
      <c r="AV62" s="10"/>
      <c r="AW62" s="174">
        <f t="shared" si="10"/>
        <v>377.65878576641717</v>
      </c>
      <c r="AX62" s="7">
        <f>'Mar2026-COLLECTION'!K61</f>
        <v>4604</v>
      </c>
      <c r="AY62" s="10">
        <f>'Mar2026-EXPENSE'!R65</f>
        <v>4805.6262381672741</v>
      </c>
      <c r="AZ62" s="10"/>
      <c r="BA62" s="174">
        <f t="shared" si="11"/>
        <v>-201.6262381672741</v>
      </c>
      <c r="BB62" s="172">
        <f t="shared" ref="BB62:BD62" si="73">SUM(F62,J62,N62,R62,V62,Z62,AD62,AH62,AL62,AP62,AT62,AX62)</f>
        <v>62774.880000000005</v>
      </c>
      <c r="BC62" s="172">
        <f t="shared" si="73"/>
        <v>62365.551059176098</v>
      </c>
      <c r="BD62" s="172">
        <f t="shared" si="73"/>
        <v>500</v>
      </c>
      <c r="BE62" s="172">
        <f t="shared" si="13"/>
        <v>-90.671059176092967</v>
      </c>
      <c r="BF62" s="172">
        <f t="shared" si="14"/>
        <v>-13534.014796790616</v>
      </c>
      <c r="BG62" s="175">
        <v>-25681</v>
      </c>
    </row>
    <row r="63" spans="1:59" ht="15.75" customHeight="1">
      <c r="A63" s="169" t="s">
        <v>154</v>
      </c>
      <c r="B63" s="13"/>
      <c r="C63" s="13" t="s">
        <v>155</v>
      </c>
      <c r="D63" s="170">
        <v>-21644.38</v>
      </c>
      <c r="E63" s="175">
        <v>-15412.390303130611</v>
      </c>
      <c r="F63" s="171">
        <f>'Apr2025-COLLECTION'!K62</f>
        <v>0</v>
      </c>
      <c r="G63" s="172">
        <f>'Apr2025-EXPENSE'!R66</f>
        <v>5694.202028619442</v>
      </c>
      <c r="H63" s="172"/>
      <c r="I63" s="172">
        <f t="shared" si="0"/>
        <v>-5694.202028619442</v>
      </c>
      <c r="J63" s="173">
        <f>'May2025-COLLECTION'!K62</f>
        <v>12000</v>
      </c>
      <c r="K63" s="174">
        <f>'May2025-EXPENSE'!R66</f>
        <v>4543.6113733886759</v>
      </c>
      <c r="L63" s="174">
        <v>500</v>
      </c>
      <c r="M63" s="174">
        <f t="shared" si="1"/>
        <v>6956.3886266113241</v>
      </c>
      <c r="N63" s="172">
        <f>'June2025-COLLECTION'!K62</f>
        <v>0</v>
      </c>
      <c r="O63" s="172">
        <f>'June2025-EXPENSE'!R66</f>
        <v>4891.4016491574712</v>
      </c>
      <c r="P63" s="172"/>
      <c r="Q63" s="172">
        <f t="shared" si="2"/>
        <v>-4891.4016491574712</v>
      </c>
      <c r="R63" s="41">
        <f>'July2025-COLLECTION'!K62</f>
        <v>12000</v>
      </c>
      <c r="S63" s="174">
        <f>'July2025-EXPENSE'!R66</f>
        <v>5534.9451584413582</v>
      </c>
      <c r="T63" s="174"/>
      <c r="U63" s="174">
        <f t="shared" si="3"/>
        <v>6465.0548415586418</v>
      </c>
      <c r="V63" s="167">
        <f>'Aug2025-COLLECTION'!K62</f>
        <v>0</v>
      </c>
      <c r="W63" s="172">
        <f>'Aug2025-EXPENSE'!R66</f>
        <v>6092.1415184490852</v>
      </c>
      <c r="X63" s="172"/>
      <c r="Y63" s="172">
        <f t="shared" si="4"/>
        <v>-6092.1415184490852</v>
      </c>
      <c r="Z63" s="41">
        <f>'Sep2025-COLLECTION'!K62</f>
        <v>12000</v>
      </c>
      <c r="AA63" s="174">
        <f>'Sep2025-EXPENSE'!R66</f>
        <v>5042.0688181882042</v>
      </c>
      <c r="AB63" s="174"/>
      <c r="AC63" s="174">
        <f t="shared" si="5"/>
        <v>6957.9311818117958</v>
      </c>
      <c r="AD63" s="41">
        <f>'Oct2025-COLLECTION'!K62</f>
        <v>12000</v>
      </c>
      <c r="AE63" s="174">
        <f>'Oct2025-EXPENSE'!R66</f>
        <v>6302.636070850026</v>
      </c>
      <c r="AF63" s="174"/>
      <c r="AG63" s="174">
        <f t="shared" si="6"/>
        <v>5697.363929149974</v>
      </c>
      <c r="AH63" s="41">
        <f>'Nov2025-COLLECTION'!K62</f>
        <v>12000</v>
      </c>
      <c r="AI63" s="174">
        <f>'Nov2025-EXPENSE'!R66</f>
        <v>7071.9075907562765</v>
      </c>
      <c r="AJ63" s="174"/>
      <c r="AK63" s="174">
        <f t="shared" si="7"/>
        <v>4928.0924092437235</v>
      </c>
      <c r="AL63" s="41">
        <f>'Dec2025-COLLECTION'!K62</f>
        <v>0</v>
      </c>
      <c r="AM63" s="174">
        <f>'Dec2025-EXPENSE'!R66</f>
        <v>5485.1453090456926</v>
      </c>
      <c r="AN63" s="174"/>
      <c r="AO63" s="174">
        <f t="shared" si="8"/>
        <v>-5485.1453090456926</v>
      </c>
      <c r="AP63" s="7">
        <f>'Jan2026-COLLECTION'!K62</f>
        <v>12000</v>
      </c>
      <c r="AQ63" s="10">
        <f>'Jan2026-EXPENSE'!R66</f>
        <v>5204.7347371560591</v>
      </c>
      <c r="AR63" s="10"/>
      <c r="AS63" s="174">
        <f t="shared" si="9"/>
        <v>6795.2652628439409</v>
      </c>
      <c r="AT63" s="7">
        <f>'Feb2026-COLLECTION'!K62</f>
        <v>12000</v>
      </c>
      <c r="AU63" s="10">
        <f>'Feb2026-EXPENSE'!R66</f>
        <v>4990.8881636824244</v>
      </c>
      <c r="AV63" s="10"/>
      <c r="AW63" s="174">
        <f t="shared" si="10"/>
        <v>7009.1118363175756</v>
      </c>
      <c r="AX63" s="7">
        <f>'Mar2026-COLLECTION'!K62</f>
        <v>0</v>
      </c>
      <c r="AY63" s="10">
        <f>'Mar2026-EXPENSE'!R66</f>
        <v>5788.2584672491867</v>
      </c>
      <c r="AZ63" s="10"/>
      <c r="BA63" s="174">
        <f t="shared" si="11"/>
        <v>-5788.2584672491867</v>
      </c>
      <c r="BB63" s="172">
        <f t="shared" ref="BB63:BD63" si="74">SUM(F63,J63,N63,R63,V63,Z63,AD63,AH63,AL63,AP63,AT63,AX63)</f>
        <v>84000</v>
      </c>
      <c r="BC63" s="172">
        <f t="shared" si="74"/>
        <v>66641.940884983895</v>
      </c>
      <c r="BD63" s="172">
        <f t="shared" si="74"/>
        <v>500</v>
      </c>
      <c r="BE63" s="172">
        <f t="shared" si="13"/>
        <v>16858.059115016105</v>
      </c>
      <c r="BF63" s="172">
        <f t="shared" si="14"/>
        <v>1445.6688118854945</v>
      </c>
      <c r="BG63" s="175">
        <v>-24777</v>
      </c>
    </row>
    <row r="64" spans="1:59" ht="15.75" customHeight="1">
      <c r="A64" s="169" t="s">
        <v>156</v>
      </c>
      <c r="B64" s="13"/>
      <c r="C64" s="13" t="s">
        <v>157</v>
      </c>
      <c r="D64" s="170">
        <v>-3401.65</v>
      </c>
      <c r="E64" s="175">
        <v>-6060.9900000000016</v>
      </c>
      <c r="F64" s="171">
        <f>'Apr2025-COLLECTION'!K63</f>
        <v>6065</v>
      </c>
      <c r="G64" s="172">
        <f>'Apr2025-EXPENSE'!R67</f>
        <v>6372.3337534446046</v>
      </c>
      <c r="H64" s="172"/>
      <c r="I64" s="172">
        <f t="shared" si="0"/>
        <v>-307.33375344460455</v>
      </c>
      <c r="J64" s="173">
        <f>'May2025-COLLECTION'!K63</f>
        <v>11709</v>
      </c>
      <c r="K64" s="174">
        <f>'May2025-EXPENSE'!R67</f>
        <v>4561.1556129590908</v>
      </c>
      <c r="L64" s="174"/>
      <c r="M64" s="174">
        <f t="shared" si="1"/>
        <v>7147.8443870409092</v>
      </c>
      <c r="N64" s="172">
        <f>'June2025-COLLECTION'!K63</f>
        <v>5262</v>
      </c>
      <c r="O64" s="172">
        <f>'June2025-EXPENSE'!R67</f>
        <v>4851.7716131016623</v>
      </c>
      <c r="P64" s="172"/>
      <c r="Q64" s="172">
        <f t="shared" si="2"/>
        <v>410.2283868983377</v>
      </c>
      <c r="R64" s="41">
        <f>'July2025-COLLECTION'!K63</f>
        <v>4875</v>
      </c>
      <c r="S64" s="174">
        <f>'July2025-EXPENSE'!R67</f>
        <v>5513.3927955934787</v>
      </c>
      <c r="T64" s="174"/>
      <c r="U64" s="174">
        <f t="shared" si="3"/>
        <v>-638.3927955934787</v>
      </c>
      <c r="V64" s="167">
        <f>'Aug2025-COLLECTION'!K63</f>
        <v>5514</v>
      </c>
      <c r="W64" s="172">
        <f>'Aug2025-EXPENSE'!R67</f>
        <v>6276.2993233108773</v>
      </c>
      <c r="X64" s="172"/>
      <c r="Y64" s="172">
        <f t="shared" si="4"/>
        <v>-762.2993233108773</v>
      </c>
      <c r="Z64" s="41">
        <f>'Sep2025-COLLECTION'!K63</f>
        <v>0</v>
      </c>
      <c r="AA64" s="174">
        <f>'Sep2025-EXPENSE'!R67</f>
        <v>5236.5867354142338</v>
      </c>
      <c r="AB64" s="174"/>
      <c r="AC64" s="174">
        <f t="shared" si="5"/>
        <v>-5236.5867354142338</v>
      </c>
      <c r="AD64" s="41">
        <f>'Oct2025-COLLECTION'!K63</f>
        <v>5237</v>
      </c>
      <c r="AE64" s="174">
        <f>'Oct2025-EXPENSE'!R67</f>
        <v>6525.621167227192</v>
      </c>
      <c r="AF64" s="174"/>
      <c r="AG64" s="174">
        <f t="shared" si="6"/>
        <v>-1288.621167227192</v>
      </c>
      <c r="AH64" s="41">
        <f>'Nov2025-COLLECTION'!K63</f>
        <v>6231</v>
      </c>
      <c r="AI64" s="174">
        <f>'Nov2025-EXPENSE'!R67</f>
        <v>6963.3510877629051</v>
      </c>
      <c r="AJ64" s="174"/>
      <c r="AK64" s="174">
        <f t="shared" si="7"/>
        <v>-732.35108776290508</v>
      </c>
      <c r="AL64" s="41">
        <f>'Dec2025-COLLECTION'!K63</f>
        <v>7045</v>
      </c>
      <c r="AM64" s="174">
        <f>'Dec2025-EXPENSE'!R67</f>
        <v>5511.1782009059107</v>
      </c>
      <c r="AN64" s="174"/>
      <c r="AO64" s="174">
        <f t="shared" si="8"/>
        <v>1533.8217990940893</v>
      </c>
      <c r="AP64" s="7">
        <f>'Jan2026-COLLECTION'!K63</f>
        <v>5556</v>
      </c>
      <c r="AQ64" s="10">
        <f>'Jan2026-EXPENSE'!R67</f>
        <v>5164.6130713116627</v>
      </c>
      <c r="AR64" s="10"/>
      <c r="AS64" s="174">
        <f t="shared" si="9"/>
        <v>391.38692868833732</v>
      </c>
      <c r="AT64" s="7">
        <f>'Feb2026-COLLECTION'!K63</f>
        <v>1489</v>
      </c>
      <c r="AU64" s="10">
        <f>'Feb2026-EXPENSE'!R67</f>
        <v>4936.4879714863027</v>
      </c>
      <c r="AV64" s="10"/>
      <c r="AW64" s="174">
        <f t="shared" si="10"/>
        <v>-3447.4879714863027</v>
      </c>
      <c r="AX64" s="7">
        <f>'Mar2026-COLLECTION'!K63</f>
        <v>3631</v>
      </c>
      <c r="AY64" s="10">
        <f>'Mar2026-EXPENSE'!R67</f>
        <v>5178.1105283045245</v>
      </c>
      <c r="AZ64" s="10"/>
      <c r="BA64" s="174">
        <f t="shared" si="11"/>
        <v>-1547.1105283045245</v>
      </c>
      <c r="BB64" s="172">
        <f t="shared" ref="BB64:BD64" si="75">SUM(F64,J64,N64,R64,V64,Z64,AD64,AH64,AL64,AP64,AT64,AX64)</f>
        <v>62614</v>
      </c>
      <c r="BC64" s="172">
        <f t="shared" si="75"/>
        <v>67090.901860822443</v>
      </c>
      <c r="BD64" s="172">
        <f t="shared" si="75"/>
        <v>0</v>
      </c>
      <c r="BE64" s="172">
        <f t="shared" si="13"/>
        <v>-4476.9018608224433</v>
      </c>
      <c r="BF64" s="172">
        <f t="shared" si="14"/>
        <v>-10537.891860822445</v>
      </c>
      <c r="BG64" s="175">
        <v>-12125.990000000002</v>
      </c>
    </row>
    <row r="65" spans="1:59" ht="15.75" customHeight="1">
      <c r="A65" s="169" t="s">
        <v>158</v>
      </c>
      <c r="B65" s="13"/>
      <c r="C65" s="13" t="s">
        <v>159</v>
      </c>
      <c r="D65" s="170">
        <v>4456.1400000000003</v>
      </c>
      <c r="E65" s="175">
        <v>34138.04</v>
      </c>
      <c r="F65" s="171">
        <f>'Apr2025-COLLECTION'!K64</f>
        <v>5359</v>
      </c>
      <c r="G65" s="172">
        <f>'Apr2025-EXPENSE'!R68</f>
        <v>6270.6371426595524</v>
      </c>
      <c r="H65" s="172"/>
      <c r="I65" s="172">
        <f t="shared" si="0"/>
        <v>-911.63714265955241</v>
      </c>
      <c r="J65" s="173">
        <f>'May2025-COLLECTION'!K64</f>
        <v>6247</v>
      </c>
      <c r="K65" s="174">
        <f>'May2025-EXPENSE'!R68</f>
        <v>5213.694407175054</v>
      </c>
      <c r="L65" s="174"/>
      <c r="M65" s="174">
        <f t="shared" si="1"/>
        <v>1033.305592824946</v>
      </c>
      <c r="N65" s="172">
        <f>'June2025-COLLECTION'!K64</f>
        <v>0</v>
      </c>
      <c r="O65" s="172">
        <f>'June2025-EXPENSE'!R68</f>
        <v>5151.5887213213418</v>
      </c>
      <c r="P65" s="172"/>
      <c r="Q65" s="172">
        <f t="shared" si="2"/>
        <v>-5151.5887213213418</v>
      </c>
      <c r="R65" s="41">
        <f>'July2025-COLLECTION'!K64</f>
        <v>5152</v>
      </c>
      <c r="S65" s="174">
        <f>'July2025-EXPENSE'!R68</f>
        <v>6160.9556307843577</v>
      </c>
      <c r="T65" s="174"/>
      <c r="U65" s="174">
        <f t="shared" si="3"/>
        <v>-1008.9556307843577</v>
      </c>
      <c r="V65" s="167">
        <f>'Aug2025-COLLECTION'!K64</f>
        <v>6161</v>
      </c>
      <c r="W65" s="172">
        <f>'Aug2025-EXPENSE'!R68</f>
        <v>7579.2858300781791</v>
      </c>
      <c r="X65" s="172"/>
      <c r="Y65" s="172">
        <f t="shared" si="4"/>
        <v>-1418.2858300781791</v>
      </c>
      <c r="Z65" s="41">
        <f>'Sep2025-COLLECTION'!K64</f>
        <v>0</v>
      </c>
      <c r="AA65" s="174">
        <f>'Sep2025-EXPENSE'!R68</f>
        <v>5511.480701078809</v>
      </c>
      <c r="AB65" s="174"/>
      <c r="AC65" s="174">
        <f t="shared" si="5"/>
        <v>-5511.480701078809</v>
      </c>
      <c r="AD65" s="41">
        <f>'Oct2025-COLLECTION'!K64</f>
        <v>5511</v>
      </c>
      <c r="AE65" s="174">
        <f>'Oct2025-EXPENSE'!R68</f>
        <v>7138.0465200838971</v>
      </c>
      <c r="AF65" s="174"/>
      <c r="AG65" s="174">
        <f t="shared" si="6"/>
        <v>-1627.0465200838971</v>
      </c>
      <c r="AH65" s="41">
        <f>'Nov2025-COLLECTION'!K64</f>
        <v>0</v>
      </c>
      <c r="AI65" s="174">
        <f>'Nov2025-EXPENSE'!R68</f>
        <v>7376.3693618634643</v>
      </c>
      <c r="AJ65" s="174"/>
      <c r="AK65" s="174">
        <f t="shared" si="7"/>
        <v>-7376.3693618634643</v>
      </c>
      <c r="AL65" s="41">
        <f>'Dec2025-COLLECTION'!K64</f>
        <v>6231</v>
      </c>
      <c r="AM65" s="174">
        <f>'Dec2025-EXPENSE'!R68</f>
        <v>5804.0953953693479</v>
      </c>
      <c r="AN65" s="174"/>
      <c r="AO65" s="174">
        <f t="shared" si="8"/>
        <v>426.9046046306521</v>
      </c>
      <c r="AP65" s="7">
        <f>'Jan2026-COLLECTION'!K64</f>
        <v>0</v>
      </c>
      <c r="AQ65" s="10">
        <f>'Jan2026-EXPENSE'!R68</f>
        <v>11613.994558006725</v>
      </c>
      <c r="AR65" s="10"/>
      <c r="AS65" s="174">
        <f t="shared" si="9"/>
        <v>-11613.994558006725</v>
      </c>
      <c r="AT65" s="7">
        <f>'Feb2026-COLLECTION'!K64</f>
        <v>5781</v>
      </c>
      <c r="AU65" s="10">
        <f>'Feb2026-EXPENSE'!R68</f>
        <v>5352.8967153875265</v>
      </c>
      <c r="AV65" s="10"/>
      <c r="AW65" s="174">
        <f t="shared" si="10"/>
        <v>428.10328461247354</v>
      </c>
      <c r="AX65" s="7">
        <f>'Mar2026-COLLECTION'!K64</f>
        <v>5832</v>
      </c>
      <c r="AY65" s="10">
        <f>'Mar2026-EXPENSE'!R68</f>
        <v>5419.781303106528</v>
      </c>
      <c r="AZ65" s="10"/>
      <c r="BA65" s="174">
        <f t="shared" si="11"/>
        <v>412.21869689347204</v>
      </c>
      <c r="BB65" s="172">
        <f t="shared" ref="BB65:BD65" si="76">SUM(F65,J65,N65,R65,V65,Z65,AD65,AH65,AL65,AP65,AT65,AX65)</f>
        <v>46274</v>
      </c>
      <c r="BC65" s="172">
        <f t="shared" si="76"/>
        <v>78592.826286914787</v>
      </c>
      <c r="BD65" s="172">
        <f t="shared" si="76"/>
        <v>0</v>
      </c>
      <c r="BE65" s="172">
        <f t="shared" si="13"/>
        <v>-32318.826286914787</v>
      </c>
      <c r="BF65" s="172">
        <f t="shared" si="14"/>
        <v>1819.2137130852134</v>
      </c>
      <c r="BG65" s="175">
        <v>28779.040000000001</v>
      </c>
    </row>
    <row r="66" spans="1:59" ht="15.75" customHeight="1">
      <c r="A66" s="169" t="s">
        <v>160</v>
      </c>
      <c r="B66" s="13"/>
      <c r="C66" s="13" t="s">
        <v>161</v>
      </c>
      <c r="D66" s="170">
        <v>20295.53</v>
      </c>
      <c r="E66" s="175">
        <v>9786</v>
      </c>
      <c r="F66" s="171">
        <f>'Apr2025-COLLECTION'!K65</f>
        <v>9775</v>
      </c>
      <c r="G66" s="172">
        <f>'Apr2025-EXPENSE'!R69</f>
        <v>5663.8842918312803</v>
      </c>
      <c r="H66" s="172"/>
      <c r="I66" s="172">
        <f t="shared" si="0"/>
        <v>4111.1157081687197</v>
      </c>
      <c r="J66" s="173">
        <f>'May2025-COLLECTION'!K65</f>
        <v>5625</v>
      </c>
      <c r="K66" s="174">
        <f>'May2025-EXPENSE'!R69</f>
        <v>4136.1982639728776</v>
      </c>
      <c r="L66" s="174"/>
      <c r="M66" s="174">
        <f t="shared" si="1"/>
        <v>1488.8017360271224</v>
      </c>
      <c r="N66" s="172">
        <f>'June2025-COLLECTION'!K65</f>
        <v>4119</v>
      </c>
      <c r="O66" s="172">
        <f>'June2025-EXPENSE'!R69</f>
        <v>4961.749053751555</v>
      </c>
      <c r="P66" s="172"/>
      <c r="Q66" s="172">
        <f t="shared" si="2"/>
        <v>-842.74905375155504</v>
      </c>
      <c r="R66" s="41">
        <f>'July2025-COLLECTION'!K65</f>
        <v>4962</v>
      </c>
      <c r="S66" s="174">
        <f>'July2025-EXPENSE'!R69</f>
        <v>5875.2339315218014</v>
      </c>
      <c r="T66" s="174"/>
      <c r="U66" s="174">
        <f t="shared" si="3"/>
        <v>-913.23393152180142</v>
      </c>
      <c r="V66" s="167">
        <f>'Aug2025-COLLECTION'!K65</f>
        <v>5875</v>
      </c>
      <c r="W66" s="172">
        <f>'Aug2025-EXPENSE'!R69</f>
        <v>6217.0125788721234</v>
      </c>
      <c r="X66" s="172"/>
      <c r="Y66" s="172">
        <f t="shared" si="4"/>
        <v>-342.01257887212341</v>
      </c>
      <c r="Z66" s="41">
        <f>'Sep2025-COLLECTION'!K65</f>
        <v>0</v>
      </c>
      <c r="AA66" s="174">
        <f>'Sep2025-EXPENSE'!R69</f>
        <v>5153.9592976179702</v>
      </c>
      <c r="AB66" s="174"/>
      <c r="AC66" s="174">
        <f t="shared" si="5"/>
        <v>-5153.9592976179702</v>
      </c>
      <c r="AD66" s="41">
        <f>'Oct2025-COLLECTION'!K65</f>
        <v>5154</v>
      </c>
      <c r="AE66" s="174">
        <f>'Oct2025-EXPENSE'!R69</f>
        <v>6593.1788199403036</v>
      </c>
      <c r="AF66" s="174"/>
      <c r="AG66" s="174">
        <f t="shared" si="6"/>
        <v>-1439.1788199403036</v>
      </c>
      <c r="AH66" s="41">
        <f>'Nov2025-COLLECTION'!K65</f>
        <v>0</v>
      </c>
      <c r="AI66" s="174">
        <f>'Nov2025-EXPENSE'!R69</f>
        <v>7142.980373405313</v>
      </c>
      <c r="AJ66" s="174"/>
      <c r="AK66" s="174">
        <f t="shared" si="7"/>
        <v>-7142.980373405313</v>
      </c>
      <c r="AL66" s="41">
        <f>'Dec2025-COLLECTION'!K65</f>
        <v>6114</v>
      </c>
      <c r="AM66" s="174">
        <f>'Dec2025-EXPENSE'!R69</f>
        <v>5476.3699652283467</v>
      </c>
      <c r="AN66" s="174"/>
      <c r="AO66" s="174">
        <f t="shared" si="8"/>
        <v>637.6300347716533</v>
      </c>
      <c r="AP66" s="7">
        <f>'Jan2026-COLLECTION'!K65</f>
        <v>5460</v>
      </c>
      <c r="AQ66" s="10">
        <f>'Jan2026-EXPENSE'!R69</f>
        <v>5369.9274278910461</v>
      </c>
      <c r="AR66" s="10"/>
      <c r="AS66" s="174">
        <f t="shared" si="9"/>
        <v>90.072572108953864</v>
      </c>
      <c r="AT66" s="7">
        <f>'Feb2026-COLLECTION'!K65</f>
        <v>5387</v>
      </c>
      <c r="AU66" s="10">
        <f>'Feb2026-EXPENSE'!R69</f>
        <v>5365.5977219380402</v>
      </c>
      <c r="AV66" s="10"/>
      <c r="AW66" s="174">
        <f t="shared" si="10"/>
        <v>21.402278061959805</v>
      </c>
      <c r="AX66" s="7">
        <f>'Mar2026-COLLECTION'!K65</f>
        <v>5366</v>
      </c>
      <c r="AY66" s="10">
        <f>'Mar2026-EXPENSE'!R69</f>
        <v>5231.1154134226317</v>
      </c>
      <c r="AZ66" s="10"/>
      <c r="BA66" s="174">
        <f t="shared" si="11"/>
        <v>134.88458657736828</v>
      </c>
      <c r="BB66" s="172">
        <f t="shared" ref="BB66:BD66" si="77">SUM(F66,J66,N66,R66,V66,Z66,AD66,AH66,AL66,AP66,AT66,AX66)</f>
        <v>57837</v>
      </c>
      <c r="BC66" s="172">
        <f t="shared" si="77"/>
        <v>67187.2071393933</v>
      </c>
      <c r="BD66" s="172">
        <f t="shared" si="77"/>
        <v>0</v>
      </c>
      <c r="BE66" s="172">
        <f t="shared" si="13"/>
        <v>-9350.2071393933002</v>
      </c>
      <c r="BF66" s="172">
        <f t="shared" si="14"/>
        <v>435.79286060669983</v>
      </c>
      <c r="BG66" s="175">
        <v>11</v>
      </c>
    </row>
    <row r="67" spans="1:59" ht="15.75" customHeight="1">
      <c r="A67" s="169"/>
      <c r="B67" s="156"/>
      <c r="C67" s="156" t="s">
        <v>162</v>
      </c>
      <c r="D67" s="177">
        <f t="shared" ref="D67:G67" si="78">SUM(D3:D66)</f>
        <v>316807.84999999986</v>
      </c>
      <c r="E67" s="143">
        <f t="shared" si="78"/>
        <v>711579.97202910786</v>
      </c>
      <c r="F67" s="178">
        <f t="shared" si="78"/>
        <v>327195</v>
      </c>
      <c r="G67" s="174">
        <f t="shared" si="78"/>
        <v>389100.83000000013</v>
      </c>
      <c r="H67" s="174">
        <f>SUM(H3:H66)</f>
        <v>0</v>
      </c>
      <c r="I67" s="174">
        <f t="shared" ref="I67:K67" si="79">SUM(I3:I66)</f>
        <v>-61905.82999999998</v>
      </c>
      <c r="J67" s="174">
        <f t="shared" si="79"/>
        <v>353995</v>
      </c>
      <c r="K67" s="174">
        <f t="shared" si="79"/>
        <v>308559.99995700002</v>
      </c>
      <c r="L67" s="174">
        <f>SUM(L3:L66)</f>
        <v>8500</v>
      </c>
      <c r="M67" s="174">
        <f t="shared" ref="M67:S67" si="80">SUM(M3:M66)</f>
        <v>36935.000043000007</v>
      </c>
      <c r="N67" s="174">
        <f t="shared" si="80"/>
        <v>587135.71</v>
      </c>
      <c r="O67" s="174">
        <f t="shared" si="80"/>
        <v>316511.99995700002</v>
      </c>
      <c r="P67" s="174">
        <f t="shared" si="80"/>
        <v>0</v>
      </c>
      <c r="Q67" s="174">
        <f t="shared" si="80"/>
        <v>270623.71004300006</v>
      </c>
      <c r="R67" s="174">
        <f t="shared" si="80"/>
        <v>263304.58999999997</v>
      </c>
      <c r="S67" s="174">
        <f t="shared" si="80"/>
        <v>372950.99995700008</v>
      </c>
      <c r="T67" s="174">
        <f>SUM(T3:T66)</f>
        <v>2500</v>
      </c>
      <c r="U67" s="174">
        <f t="shared" ref="U67:W67" si="81">SUM(U3:U66)</f>
        <v>-112146.40995700003</v>
      </c>
      <c r="V67" s="174">
        <f t="shared" si="81"/>
        <v>326216.61000000004</v>
      </c>
      <c r="W67" s="174">
        <f t="shared" si="81"/>
        <v>404240.99995700002</v>
      </c>
      <c r="X67" s="174">
        <f>SUM(X3:X66)</f>
        <v>0</v>
      </c>
      <c r="Y67" s="174">
        <f t="shared" ref="Y67:AA67" si="82">SUM(Y3:Y66)</f>
        <v>-78024.389957000007</v>
      </c>
      <c r="Z67" s="174">
        <f t="shared" si="82"/>
        <v>377525.13999999996</v>
      </c>
      <c r="AA67" s="174">
        <f t="shared" si="82"/>
        <v>339897.99995700002</v>
      </c>
      <c r="AB67" s="174">
        <f>SUM(AB3:AB66)</f>
        <v>0</v>
      </c>
      <c r="AC67" s="174">
        <f t="shared" ref="AC67:AE67" si="83">SUM(AC3:AC66)</f>
        <v>37627.140042999992</v>
      </c>
      <c r="AD67" s="174">
        <f t="shared" si="83"/>
        <v>276048.51</v>
      </c>
      <c r="AE67" s="174">
        <f t="shared" si="83"/>
        <v>433066.99995700002</v>
      </c>
      <c r="AF67" s="174">
        <f>SUM(AF3:AF66)</f>
        <v>0</v>
      </c>
      <c r="AG67" s="174">
        <f t="shared" ref="AG67:AI67" si="84">SUM(AG3:AG66)</f>
        <v>-157018.4899570001</v>
      </c>
      <c r="AH67" s="174">
        <f t="shared" si="84"/>
        <v>273730.38</v>
      </c>
      <c r="AI67" s="174">
        <f t="shared" si="84"/>
        <v>460167.99995699996</v>
      </c>
      <c r="AJ67" s="174">
        <f>SUM(AJ3:AJ66)</f>
        <v>0</v>
      </c>
      <c r="AK67" s="174">
        <f t="shared" ref="AK67:AM67" si="85">SUM(AK3:AK66)</f>
        <v>-186437.61995700002</v>
      </c>
      <c r="AL67" s="174">
        <f t="shared" si="85"/>
        <v>378644.99</v>
      </c>
      <c r="AM67" s="174">
        <f t="shared" si="85"/>
        <v>354395.99995700008</v>
      </c>
      <c r="AN67" s="174">
        <f>SUM(AN3:AN66)</f>
        <v>0</v>
      </c>
      <c r="AO67" s="174">
        <f t="shared" ref="AO67:BE67" si="86">SUM(AO3:AO66)</f>
        <v>24248.990042999998</v>
      </c>
      <c r="AP67" s="7">
        <f t="shared" si="86"/>
        <v>362273.94</v>
      </c>
      <c r="AQ67" s="10">
        <f t="shared" si="86"/>
        <v>350803.99995700002</v>
      </c>
      <c r="AR67" s="10">
        <f t="shared" si="86"/>
        <v>0</v>
      </c>
      <c r="AS67" s="10">
        <f t="shared" si="86"/>
        <v>11469.94004300001</v>
      </c>
      <c r="AT67" s="7">
        <f t="shared" si="86"/>
        <v>256044.66</v>
      </c>
      <c r="AU67" s="10">
        <f t="shared" si="86"/>
        <v>329671.63000000006</v>
      </c>
      <c r="AV67" s="10">
        <f t="shared" si="86"/>
        <v>0</v>
      </c>
      <c r="AW67" s="10">
        <f t="shared" si="86"/>
        <v>-73626.970000000016</v>
      </c>
      <c r="AX67" s="7">
        <f t="shared" si="86"/>
        <v>283757.58</v>
      </c>
      <c r="AY67" s="10">
        <f t="shared" si="86"/>
        <v>343422.62999999989</v>
      </c>
      <c r="AZ67" s="10">
        <f t="shared" si="86"/>
        <v>0</v>
      </c>
      <c r="BA67" s="10">
        <f t="shared" si="86"/>
        <v>-59665.050000000017</v>
      </c>
      <c r="BB67" s="174">
        <f t="shared" si="86"/>
        <v>4065872.1099999989</v>
      </c>
      <c r="BC67" s="174">
        <f t="shared" si="86"/>
        <v>4402792.089612999</v>
      </c>
      <c r="BD67" s="174">
        <f t="shared" si="86"/>
        <v>11000</v>
      </c>
      <c r="BE67" s="174">
        <f t="shared" si="86"/>
        <v>-347919.97961299983</v>
      </c>
      <c r="BF67" s="174">
        <f t="shared" si="14"/>
        <v>363659.99241610803</v>
      </c>
      <c r="BG67" s="147"/>
    </row>
  </sheetData>
  <customSheetViews>
    <customSheetView guid="{C4B61514-58E1-45A0-9AB3-765E539BE84D}" filter="1" showAutoFilter="1">
      <pageMargins left="0.7" right="0.7" top="0.75" bottom="0.75" header="0.3" footer="0.3"/>
      <autoFilter ref="A2:BF67" xr:uid="{6B5A7EC5-C801-A04B-9ABC-C4660466CA44}"/>
    </customSheetView>
  </customSheetViews>
  <mergeCells count="12">
    <mergeCell ref="AH1:AK1"/>
    <mergeCell ref="AL1:AO1"/>
    <mergeCell ref="AP1:AS1"/>
    <mergeCell ref="AT1:AW1"/>
    <mergeCell ref="AX1:BA1"/>
    <mergeCell ref="Z1:AC1"/>
    <mergeCell ref="AD1:AG1"/>
    <mergeCell ref="F1:I1"/>
    <mergeCell ref="J1:M1"/>
    <mergeCell ref="N1:Q1"/>
    <mergeCell ref="R1:U1"/>
    <mergeCell ref="V1:Y1"/>
  </mergeCells>
  <conditionalFormatting sqref="AP2:AR2 AT2:AV2 AX2:AZ2 H2:I66 L2:M66 P2:Q66 T2:U66 X2:Y66 AB2:AC66 AF2:AG66 AJ2:AK66 AN2:AO66 AS2:AS66 AW2:AW66 BA2:BA66">
    <cfRule type="cellIs" dxfId="7" priority="1" operator="lessThan">
      <formula>0</formula>
    </cfRule>
  </conditionalFormatting>
  <conditionalFormatting sqref="AP2:AR2 AT2:AV2 AX2:AZ2 AF2:AG66 AJ2:AK66 AN2:AO66 AS2:AS66 AW2:AW66 BA2:BA66 BD1:BG66 E3:E66">
    <cfRule type="cellIs" dxfId="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64"/>
  <sheetViews>
    <sheetView workbookViewId="0"/>
  </sheetViews>
  <sheetFormatPr baseColWidth="10" defaultColWidth="14.5" defaultRowHeight="15" customHeight="1"/>
  <cols>
    <col min="1" max="1" width="4.83203125" customWidth="1"/>
    <col min="2" max="2" width="57.1640625" customWidth="1"/>
  </cols>
  <sheetData>
    <row r="1" spans="1:4" ht="15" customHeight="1">
      <c r="A1" s="169" t="s">
        <v>24</v>
      </c>
      <c r="B1" s="13" t="s">
        <v>25</v>
      </c>
      <c r="C1" s="175">
        <v>18307</v>
      </c>
      <c r="D1" s="175">
        <v>7177.2854777217362</v>
      </c>
    </row>
    <row r="2" spans="1:4" ht="15" customHeight="1">
      <c r="A2" s="169" t="s">
        <v>26</v>
      </c>
      <c r="B2" s="13" t="s">
        <v>337</v>
      </c>
      <c r="C2" s="175">
        <v>-43932</v>
      </c>
      <c r="D2" s="175">
        <v>-12146.695099876306</v>
      </c>
    </row>
    <row r="3" spans="1:4" ht="15" customHeight="1">
      <c r="A3" s="169" t="s">
        <v>29</v>
      </c>
      <c r="B3" s="13" t="s">
        <v>30</v>
      </c>
      <c r="C3" s="175">
        <v>2305.7199999999975</v>
      </c>
      <c r="D3" s="175">
        <v>8227.3236141532507</v>
      </c>
    </row>
    <row r="4" spans="1:4" ht="15" customHeight="1">
      <c r="A4" s="169" t="s">
        <v>32</v>
      </c>
      <c r="B4" s="13" t="s">
        <v>33</v>
      </c>
      <c r="C4" s="175">
        <v>10818.2</v>
      </c>
      <c r="D4" s="175">
        <v>4365.7102225329545</v>
      </c>
    </row>
    <row r="5" spans="1:4" ht="15" customHeight="1">
      <c r="A5" s="169" t="s">
        <v>35</v>
      </c>
      <c r="B5" s="13" t="s">
        <v>36</v>
      </c>
      <c r="C5" s="175">
        <v>-9442.43</v>
      </c>
      <c r="D5" s="175">
        <v>-6112.7977411786123</v>
      </c>
    </row>
    <row r="6" spans="1:4" ht="15" customHeight="1">
      <c r="A6" s="169" t="s">
        <v>37</v>
      </c>
      <c r="B6" s="13" t="s">
        <v>38</v>
      </c>
      <c r="C6" s="175">
        <v>-5637.0399999999991</v>
      </c>
      <c r="D6" s="175">
        <v>-7068.3850572382707</v>
      </c>
    </row>
    <row r="7" spans="1:4" ht="15" customHeight="1">
      <c r="A7" s="169" t="s">
        <v>40</v>
      </c>
      <c r="B7" s="13" t="s">
        <v>41</v>
      </c>
      <c r="C7" s="175">
        <v>23875.61</v>
      </c>
      <c r="D7" s="175">
        <v>22023.204967821111</v>
      </c>
    </row>
    <row r="8" spans="1:4" ht="15" customHeight="1">
      <c r="A8" s="169" t="s">
        <v>43</v>
      </c>
      <c r="B8" s="13" t="s">
        <v>44</v>
      </c>
      <c r="C8" s="175">
        <v>25458.48</v>
      </c>
      <c r="D8" s="175">
        <v>23042.490524346951</v>
      </c>
    </row>
    <row r="9" spans="1:4" ht="15" customHeight="1">
      <c r="A9" s="169" t="s">
        <v>46</v>
      </c>
      <c r="B9" s="13" t="s">
        <v>47</v>
      </c>
      <c r="C9" s="175">
        <v>14757.41</v>
      </c>
      <c r="D9" s="175">
        <v>12489.314751592578</v>
      </c>
    </row>
    <row r="10" spans="1:4" ht="15" customHeight="1">
      <c r="A10" s="169" t="s">
        <v>49</v>
      </c>
      <c r="B10" s="13" t="s">
        <v>50</v>
      </c>
      <c r="C10" s="175">
        <v>84</v>
      </c>
      <c r="D10" s="175">
        <v>-5373.3479031781681</v>
      </c>
    </row>
    <row r="11" spans="1:4" ht="15" customHeight="1">
      <c r="A11" s="169" t="s">
        <v>52</v>
      </c>
      <c r="B11" s="13" t="s">
        <v>53</v>
      </c>
      <c r="C11" s="175">
        <v>8863.65</v>
      </c>
      <c r="D11" s="175">
        <v>6814.1878143443155</v>
      </c>
    </row>
    <row r="12" spans="1:4" ht="15" customHeight="1">
      <c r="A12" s="169" t="s">
        <v>55</v>
      </c>
      <c r="B12" s="13" t="s">
        <v>56</v>
      </c>
      <c r="C12" s="175">
        <v>10151</v>
      </c>
      <c r="D12" s="175">
        <v>8094.8972023082897</v>
      </c>
    </row>
    <row r="13" spans="1:4" ht="15" customHeight="1">
      <c r="A13" s="169" t="s">
        <v>58</v>
      </c>
      <c r="B13" s="13" t="s">
        <v>59</v>
      </c>
      <c r="C13" s="175">
        <v>-14476.16</v>
      </c>
      <c r="D13" s="175">
        <v>-16529.978330824761</v>
      </c>
    </row>
    <row r="14" spans="1:4" ht="15" customHeight="1">
      <c r="A14" s="169" t="s">
        <v>61</v>
      </c>
      <c r="B14" s="13" t="s">
        <v>62</v>
      </c>
      <c r="C14" s="175">
        <v>13511.970000000001</v>
      </c>
      <c r="D14" s="175">
        <v>12028.241960303239</v>
      </c>
    </row>
    <row r="15" spans="1:4" ht="15" customHeight="1">
      <c r="A15" s="169" t="s">
        <v>63</v>
      </c>
      <c r="B15" s="13" t="s">
        <v>64</v>
      </c>
      <c r="C15" s="175">
        <v>13024</v>
      </c>
      <c r="D15" s="175">
        <v>10728.34855496377</v>
      </c>
    </row>
    <row r="16" spans="1:4" ht="15" customHeight="1">
      <c r="A16" s="169" t="s">
        <v>65</v>
      </c>
      <c r="B16" s="13" t="s">
        <v>66</v>
      </c>
      <c r="C16" s="175">
        <v>52406.48</v>
      </c>
      <c r="D16" s="175">
        <v>9563.8519553257938</v>
      </c>
    </row>
    <row r="17" spans="1:4" ht="15" customHeight="1">
      <c r="A17" s="169" t="s">
        <v>67</v>
      </c>
      <c r="B17" s="13" t="s">
        <v>68</v>
      </c>
      <c r="C17" s="175">
        <v>-4630.41</v>
      </c>
      <c r="D17" s="175">
        <v>-7044.203510990792</v>
      </c>
    </row>
    <row r="18" spans="1:4" ht="15" customHeight="1">
      <c r="A18" s="169" t="s">
        <v>69</v>
      </c>
      <c r="B18" s="13" t="s">
        <v>70</v>
      </c>
      <c r="C18" s="175">
        <v>-2042.25</v>
      </c>
      <c r="D18" s="175">
        <v>-1027.7965406214207</v>
      </c>
    </row>
    <row r="19" spans="1:4" ht="15" customHeight="1">
      <c r="A19" s="169" t="s">
        <v>71</v>
      </c>
      <c r="B19" s="13" t="s">
        <v>72</v>
      </c>
      <c r="C19" s="175">
        <v>9887</v>
      </c>
      <c r="D19" s="175">
        <v>8274.7382519471576</v>
      </c>
    </row>
    <row r="20" spans="1:4" ht="16">
      <c r="A20" s="169" t="s">
        <v>73</v>
      </c>
      <c r="B20" s="13" t="s">
        <v>74</v>
      </c>
      <c r="C20" s="175">
        <v>26062</v>
      </c>
      <c r="D20" s="175">
        <v>17849.379269941659</v>
      </c>
    </row>
    <row r="21" spans="1:4" ht="16">
      <c r="A21" s="169" t="s">
        <v>75</v>
      </c>
      <c r="B21" s="13" t="s">
        <v>76</v>
      </c>
      <c r="C21" s="175">
        <v>8660.68</v>
      </c>
      <c r="D21" s="175">
        <v>-5192.1148569261968</v>
      </c>
    </row>
    <row r="22" spans="1:4" ht="16">
      <c r="A22" s="169" t="s">
        <v>77</v>
      </c>
      <c r="B22" s="13" t="s">
        <v>339</v>
      </c>
      <c r="C22" s="175">
        <v>-81707.03</v>
      </c>
      <c r="D22" s="175">
        <v>-11327.518533157505</v>
      </c>
    </row>
    <row r="23" spans="1:4" ht="16">
      <c r="A23" s="169" t="s">
        <v>79</v>
      </c>
      <c r="B23" s="13" t="s">
        <v>80</v>
      </c>
      <c r="C23" s="175">
        <v>34395.490000000005</v>
      </c>
      <c r="D23" s="175">
        <v>26765.884091607135</v>
      </c>
    </row>
    <row r="24" spans="1:4" ht="16">
      <c r="A24" s="169" t="s">
        <v>81</v>
      </c>
      <c r="B24" s="13" t="s">
        <v>82</v>
      </c>
      <c r="C24" s="175">
        <v>-10402</v>
      </c>
      <c r="D24" s="175">
        <v>-18302.482761177976</v>
      </c>
    </row>
    <row r="25" spans="1:4" ht="16">
      <c r="A25" s="169" t="s">
        <v>83</v>
      </c>
      <c r="B25" s="13" t="s">
        <v>84</v>
      </c>
      <c r="C25" s="175">
        <v>42515</v>
      </c>
      <c r="D25" s="175">
        <v>41010.562633020621</v>
      </c>
    </row>
    <row r="26" spans="1:4" ht="16">
      <c r="A26" s="169" t="s">
        <v>85</v>
      </c>
      <c r="B26" s="13" t="s">
        <v>86</v>
      </c>
      <c r="C26" s="175">
        <v>38372</v>
      </c>
      <c r="D26" s="175">
        <v>37574.197870858479</v>
      </c>
    </row>
    <row r="27" spans="1:4" ht="16">
      <c r="A27" s="169" t="s">
        <v>87</v>
      </c>
      <c r="B27" s="13" t="s">
        <v>88</v>
      </c>
      <c r="C27" s="175">
        <v>16680.73</v>
      </c>
      <c r="D27" s="175">
        <v>14377.176003677832</v>
      </c>
    </row>
    <row r="28" spans="1:4" ht="16">
      <c r="A28" s="169" t="s">
        <v>89</v>
      </c>
      <c r="B28" s="13" t="s">
        <v>90</v>
      </c>
      <c r="C28" s="175">
        <v>-18499</v>
      </c>
      <c r="D28" s="175">
        <v>-6112.4227196935826</v>
      </c>
    </row>
    <row r="29" spans="1:4" ht="16">
      <c r="A29" s="169" t="s">
        <v>91</v>
      </c>
      <c r="B29" s="13" t="s">
        <v>92</v>
      </c>
      <c r="C29" s="175">
        <v>-3389.09</v>
      </c>
      <c r="D29" s="175">
        <v>-11417.939935469421</v>
      </c>
    </row>
    <row r="30" spans="1:4" ht="16">
      <c r="A30" s="169" t="s">
        <v>93</v>
      </c>
      <c r="B30" s="13" t="s">
        <v>94</v>
      </c>
      <c r="C30" s="175">
        <v>17445</v>
      </c>
      <c r="D30" s="175">
        <v>14924.460515458668</v>
      </c>
    </row>
    <row r="31" spans="1:4" ht="16">
      <c r="A31" s="169" t="s">
        <v>95</v>
      </c>
      <c r="B31" s="13" t="s">
        <v>96</v>
      </c>
      <c r="C31" s="175">
        <v>22478</v>
      </c>
      <c r="D31" s="175">
        <v>9334.6248832655401</v>
      </c>
    </row>
    <row r="32" spans="1:4" ht="16">
      <c r="A32" s="169" t="s">
        <v>97</v>
      </c>
      <c r="B32" s="13" t="s">
        <v>98</v>
      </c>
      <c r="C32" s="175">
        <v>-9953.8100000000013</v>
      </c>
      <c r="D32" s="175">
        <v>-6113.8628924001496</v>
      </c>
    </row>
    <row r="33" spans="1:4" ht="16">
      <c r="A33" s="169" t="s">
        <v>99</v>
      </c>
      <c r="B33" s="13" t="s">
        <v>100</v>
      </c>
      <c r="C33" s="175">
        <v>-26972.800000000003</v>
      </c>
      <c r="D33" s="175">
        <v>-29061.549692495231</v>
      </c>
    </row>
    <row r="34" spans="1:4" ht="16">
      <c r="A34" s="169" t="s">
        <v>101</v>
      </c>
      <c r="B34" s="13" t="s">
        <v>340</v>
      </c>
      <c r="C34" s="175">
        <v>-96278.63</v>
      </c>
      <c r="D34" s="175">
        <v>-36920.129958125333</v>
      </c>
    </row>
    <row r="35" spans="1:4" ht="16">
      <c r="A35" s="169" t="s">
        <v>103</v>
      </c>
      <c r="B35" s="13" t="s">
        <v>342</v>
      </c>
      <c r="C35" s="175">
        <v>-35044.409999999996</v>
      </c>
      <c r="D35" s="175">
        <v>2915.5392878849307</v>
      </c>
    </row>
    <row r="36" spans="1:4" ht="16">
      <c r="A36" s="169" t="s">
        <v>105</v>
      </c>
      <c r="B36" s="13" t="s">
        <v>106</v>
      </c>
      <c r="C36" s="175">
        <v>14979.49</v>
      </c>
      <c r="D36" s="175">
        <v>7193.8245265230962</v>
      </c>
    </row>
    <row r="37" spans="1:4" ht="16">
      <c r="A37" s="169" t="s">
        <v>107</v>
      </c>
      <c r="B37" s="13" t="s">
        <v>108</v>
      </c>
      <c r="C37" s="175">
        <v>18968.16</v>
      </c>
      <c r="D37" s="175">
        <v>811.50845059554194</v>
      </c>
    </row>
    <row r="38" spans="1:4" ht="16">
      <c r="A38" s="169" t="s">
        <v>109</v>
      </c>
      <c r="B38" s="30" t="s">
        <v>110</v>
      </c>
      <c r="C38" s="175">
        <v>12756.36</v>
      </c>
      <c r="D38" s="175">
        <v>-17273.293316976989</v>
      </c>
    </row>
    <row r="39" spans="1:4" ht="16">
      <c r="A39" s="169" t="s">
        <v>111</v>
      </c>
      <c r="B39" s="13" t="s">
        <v>112</v>
      </c>
      <c r="C39" s="175">
        <v>24173.08</v>
      </c>
      <c r="D39" s="175">
        <v>21833.446339679082</v>
      </c>
    </row>
    <row r="40" spans="1:4" ht="16">
      <c r="A40" s="169" t="s">
        <v>113</v>
      </c>
      <c r="B40" s="13" t="s">
        <v>114</v>
      </c>
      <c r="C40" s="175">
        <v>30786.59</v>
      </c>
      <c r="D40" s="175">
        <v>28604.353461657422</v>
      </c>
    </row>
    <row r="41" spans="1:4" ht="16">
      <c r="A41" s="169" t="s">
        <v>115</v>
      </c>
      <c r="B41" s="13" t="s">
        <v>116</v>
      </c>
      <c r="C41" s="175">
        <v>-11302.42</v>
      </c>
      <c r="D41" s="175">
        <v>-6229.6865921236258</v>
      </c>
    </row>
    <row r="42" spans="1:4" ht="16">
      <c r="A42" s="169" t="s">
        <v>117</v>
      </c>
      <c r="B42" s="13" t="s">
        <v>344</v>
      </c>
      <c r="C42" s="175">
        <v>-11827.04</v>
      </c>
      <c r="D42" s="175">
        <v>-48362.935355458634</v>
      </c>
    </row>
    <row r="43" spans="1:4" ht="16">
      <c r="A43" s="169" t="s">
        <v>119</v>
      </c>
      <c r="B43" s="13" t="s">
        <v>120</v>
      </c>
      <c r="C43" s="175">
        <v>-34255.949999999997</v>
      </c>
      <c r="D43" s="175">
        <v>-38508.121072546564</v>
      </c>
    </row>
    <row r="44" spans="1:4" ht="16">
      <c r="A44" s="169" t="s">
        <v>121</v>
      </c>
      <c r="B44" s="13" t="s">
        <v>122</v>
      </c>
      <c r="C44" s="175">
        <v>101912.71</v>
      </c>
      <c r="D44" s="175">
        <v>93270.117428236204</v>
      </c>
    </row>
    <row r="45" spans="1:4" ht="16">
      <c r="A45" s="169" t="s">
        <v>123</v>
      </c>
      <c r="B45" s="13" t="s">
        <v>124</v>
      </c>
      <c r="C45" s="175">
        <v>-20542.34</v>
      </c>
      <c r="D45" s="175">
        <v>-22528.659636069136</v>
      </c>
    </row>
    <row r="46" spans="1:4" ht="16">
      <c r="A46" s="169" t="s">
        <v>125</v>
      </c>
      <c r="B46" s="13" t="s">
        <v>126</v>
      </c>
      <c r="C46" s="175">
        <v>-12257.180000000004</v>
      </c>
      <c r="D46" s="175">
        <v>-11170.57617905812</v>
      </c>
    </row>
    <row r="47" spans="1:4" ht="16">
      <c r="A47" s="169" t="s">
        <v>127</v>
      </c>
      <c r="B47" s="13" t="s">
        <v>128</v>
      </c>
      <c r="C47" s="175">
        <v>1318.26</v>
      </c>
      <c r="D47" s="175">
        <v>-6987.1251964306521</v>
      </c>
    </row>
    <row r="48" spans="1:4" ht="16">
      <c r="A48" s="169" t="s">
        <v>129</v>
      </c>
      <c r="B48" s="13" t="s">
        <v>130</v>
      </c>
      <c r="C48" s="175">
        <v>-10320.5</v>
      </c>
      <c r="D48" s="175">
        <v>-6113.8138107308405</v>
      </c>
    </row>
    <row r="49" spans="1:4" ht="16">
      <c r="A49" s="169" t="s">
        <v>131</v>
      </c>
      <c r="B49" s="13" t="s">
        <v>132</v>
      </c>
      <c r="C49" s="175">
        <v>2555.25</v>
      </c>
      <c r="D49" s="175">
        <v>1787.3727325157233</v>
      </c>
    </row>
    <row r="50" spans="1:4" ht="16">
      <c r="A50" s="169" t="s">
        <v>133</v>
      </c>
      <c r="B50" s="13" t="s">
        <v>134</v>
      </c>
      <c r="C50" s="175">
        <v>-67934.559999999998</v>
      </c>
      <c r="D50" s="175">
        <v>-7358.583360677374</v>
      </c>
    </row>
    <row r="51" spans="1:4" ht="16">
      <c r="A51" s="169" t="s">
        <v>135</v>
      </c>
      <c r="B51" s="13" t="s">
        <v>136</v>
      </c>
      <c r="C51" s="175">
        <v>-11927.690000000002</v>
      </c>
      <c r="D51" s="175">
        <v>-2721.4161032998454</v>
      </c>
    </row>
    <row r="52" spans="1:4" ht="16">
      <c r="A52" s="169" t="s">
        <v>137</v>
      </c>
      <c r="B52" s="13" t="s">
        <v>138</v>
      </c>
      <c r="C52" s="175">
        <v>14786.55</v>
      </c>
      <c r="D52" s="175">
        <v>2336.9027473467613</v>
      </c>
    </row>
    <row r="53" spans="1:4" ht="16">
      <c r="A53" s="169" t="s">
        <v>139</v>
      </c>
      <c r="B53" s="13" t="s">
        <v>140</v>
      </c>
      <c r="C53" s="175">
        <v>18031</v>
      </c>
      <c r="D53" s="175">
        <v>1429.3133970971321</v>
      </c>
    </row>
    <row r="54" spans="1:4" ht="16">
      <c r="A54" s="169" t="s">
        <v>141</v>
      </c>
      <c r="B54" s="13" t="s">
        <v>142</v>
      </c>
      <c r="C54" s="175">
        <v>10983.41</v>
      </c>
      <c r="D54" s="175">
        <v>15939.073716802475</v>
      </c>
    </row>
    <row r="55" spans="1:4" ht="32">
      <c r="A55" s="169" t="s">
        <v>143</v>
      </c>
      <c r="B55" s="13" t="s">
        <v>144</v>
      </c>
      <c r="C55" s="175">
        <v>8849.2100000000009</v>
      </c>
      <c r="D55" s="175">
        <v>-10916.430570170587</v>
      </c>
    </row>
    <row r="56" spans="1:4" ht="16">
      <c r="A56" s="169" t="s">
        <v>145</v>
      </c>
      <c r="B56" s="13" t="s">
        <v>146</v>
      </c>
      <c r="C56" s="175">
        <v>34937.31</v>
      </c>
      <c r="D56" s="175">
        <v>38519.506401125036</v>
      </c>
    </row>
    <row r="57" spans="1:4" ht="16">
      <c r="A57" s="169" t="s">
        <v>147</v>
      </c>
      <c r="B57" s="13" t="s">
        <v>148</v>
      </c>
      <c r="C57" s="175">
        <v>14639.25</v>
      </c>
      <c r="D57" s="175">
        <v>12559.286226299548</v>
      </c>
    </row>
    <row r="58" spans="1:4" ht="16">
      <c r="A58" s="169" t="s">
        <v>149</v>
      </c>
      <c r="B58" s="13" t="s">
        <v>36</v>
      </c>
      <c r="C58" s="175">
        <v>6347</v>
      </c>
      <c r="D58" s="175">
        <v>7554.9403235783393</v>
      </c>
    </row>
    <row r="59" spans="1:4" ht="16">
      <c r="A59" s="169" t="s">
        <v>150</v>
      </c>
      <c r="B59" s="13" t="s">
        <v>151</v>
      </c>
      <c r="C59" s="175">
        <v>-4001.340000000002</v>
      </c>
      <c r="D59" s="175">
        <v>-1189.5996114963109</v>
      </c>
    </row>
    <row r="60" spans="1:4" ht="16">
      <c r="A60" s="169" t="s">
        <v>152</v>
      </c>
      <c r="B60" s="13" t="s">
        <v>153</v>
      </c>
      <c r="C60" s="175">
        <v>-25681</v>
      </c>
      <c r="D60" s="175">
        <v>-27011.606706344275</v>
      </c>
    </row>
    <row r="61" spans="1:4" ht="16">
      <c r="A61" s="169" t="s">
        <v>154</v>
      </c>
      <c r="B61" s="13" t="s">
        <v>155</v>
      </c>
      <c r="C61" s="175">
        <v>-24777</v>
      </c>
      <c r="D61" s="175">
        <v>-3306.7489787598606</v>
      </c>
    </row>
    <row r="62" spans="1:4" ht="16">
      <c r="A62" s="169" t="s">
        <v>156</v>
      </c>
      <c r="B62" s="13" t="s">
        <v>157</v>
      </c>
      <c r="C62" s="175">
        <v>-12125.990000000002</v>
      </c>
      <c r="D62" s="175">
        <v>-12506.908266339571</v>
      </c>
    </row>
    <row r="63" spans="1:4" ht="16">
      <c r="A63" s="169" t="s">
        <v>158</v>
      </c>
      <c r="B63" s="13" t="s">
        <v>159</v>
      </c>
      <c r="C63" s="175">
        <v>28779.040000000001</v>
      </c>
      <c r="D63" s="175">
        <v>15090.019134387083</v>
      </c>
    </row>
    <row r="64" spans="1:4" ht="16">
      <c r="A64" s="169" t="s">
        <v>160</v>
      </c>
      <c r="B64" s="13" t="s">
        <v>161</v>
      </c>
      <c r="C64" s="175">
        <v>11</v>
      </c>
      <c r="D64" s="175">
        <v>-2600.6041910832355</v>
      </c>
    </row>
  </sheetData>
  <conditionalFormatting sqref="C1:D6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I1119"/>
  <sheetViews>
    <sheetView workbookViewId="0"/>
  </sheetViews>
  <sheetFormatPr baseColWidth="10" defaultColWidth="14.5" defaultRowHeight="15" customHeight="1"/>
  <sheetData>
    <row r="1" spans="1:9">
      <c r="A1" s="180" t="s">
        <v>24</v>
      </c>
      <c r="B1" s="181" t="s">
        <v>67</v>
      </c>
      <c r="C1" s="181" t="s">
        <v>99</v>
      </c>
      <c r="D1" s="181" t="s">
        <v>131</v>
      </c>
      <c r="E1" s="40"/>
      <c r="F1" s="182"/>
      <c r="G1" s="40"/>
      <c r="H1" s="40"/>
      <c r="I1" s="40"/>
    </row>
    <row r="2" spans="1:9">
      <c r="A2" s="182"/>
      <c r="B2" s="183"/>
      <c r="C2" s="40"/>
      <c r="D2" s="40"/>
      <c r="E2" s="40"/>
      <c r="F2" s="182"/>
      <c r="G2" s="40"/>
      <c r="H2" s="40"/>
      <c r="I2" s="40"/>
    </row>
    <row r="3" spans="1:9">
      <c r="A3" s="180" t="s">
        <v>26</v>
      </c>
      <c r="B3" s="181" t="s">
        <v>69</v>
      </c>
      <c r="C3" s="181" t="s">
        <v>101</v>
      </c>
      <c r="D3" s="181" t="s">
        <v>133</v>
      </c>
      <c r="E3" s="40"/>
      <c r="F3" s="182"/>
      <c r="G3" s="40"/>
      <c r="H3" s="40"/>
      <c r="I3" s="40"/>
    </row>
    <row r="4" spans="1:9">
      <c r="A4" s="182"/>
      <c r="B4" s="183"/>
      <c r="C4" s="40"/>
      <c r="D4" s="40"/>
      <c r="E4" s="40"/>
      <c r="F4" s="182"/>
      <c r="G4" s="40"/>
      <c r="H4" s="40"/>
      <c r="I4" s="40"/>
    </row>
    <row r="5" spans="1:9">
      <c r="A5" s="180" t="s">
        <v>29</v>
      </c>
      <c r="B5" s="181" t="s">
        <v>71</v>
      </c>
      <c r="C5" s="181" t="s">
        <v>103</v>
      </c>
      <c r="D5" s="181" t="s">
        <v>135</v>
      </c>
      <c r="E5" s="40"/>
      <c r="F5" s="182"/>
      <c r="G5" s="40"/>
      <c r="H5" s="40"/>
      <c r="I5" s="40"/>
    </row>
    <row r="6" spans="1:9">
      <c r="A6" s="182"/>
      <c r="B6" s="183"/>
      <c r="C6" s="40"/>
      <c r="D6" s="40"/>
      <c r="E6" s="40"/>
      <c r="F6" s="182"/>
      <c r="G6" s="40"/>
      <c r="H6" s="40"/>
      <c r="I6" s="40"/>
    </row>
    <row r="7" spans="1:9">
      <c r="A7" s="180" t="s">
        <v>32</v>
      </c>
      <c r="B7" s="181" t="s">
        <v>73</v>
      </c>
      <c r="C7" s="181" t="s">
        <v>105</v>
      </c>
      <c r="D7" s="181" t="s">
        <v>137</v>
      </c>
      <c r="E7" s="40"/>
      <c r="F7" s="182"/>
      <c r="G7" s="40"/>
      <c r="H7" s="40"/>
      <c r="I7" s="40"/>
    </row>
    <row r="8" spans="1:9">
      <c r="A8" s="182"/>
      <c r="B8" s="183"/>
      <c r="C8" s="40"/>
      <c r="D8" s="40"/>
      <c r="E8" s="40"/>
      <c r="F8" s="182"/>
      <c r="G8" s="40"/>
      <c r="H8" s="40"/>
      <c r="I8" s="40"/>
    </row>
    <row r="9" spans="1:9">
      <c r="A9" s="180" t="s">
        <v>35</v>
      </c>
      <c r="B9" s="181" t="s">
        <v>75</v>
      </c>
      <c r="C9" s="181" t="s">
        <v>107</v>
      </c>
      <c r="D9" s="181" t="s">
        <v>139</v>
      </c>
      <c r="E9" s="40"/>
      <c r="F9" s="182"/>
      <c r="G9" s="40"/>
      <c r="H9" s="40"/>
      <c r="I9" s="40"/>
    </row>
    <row r="10" spans="1:9">
      <c r="A10" s="182"/>
      <c r="B10" s="40"/>
      <c r="C10" s="40"/>
      <c r="D10" s="40"/>
      <c r="E10" s="40"/>
      <c r="F10" s="182"/>
      <c r="G10" s="40"/>
      <c r="H10" s="40"/>
      <c r="I10" s="40"/>
    </row>
    <row r="11" spans="1:9">
      <c r="A11" s="180" t="s">
        <v>37</v>
      </c>
      <c r="B11" s="181" t="s">
        <v>77</v>
      </c>
      <c r="C11" s="181" t="s">
        <v>109</v>
      </c>
      <c r="D11" s="181" t="s">
        <v>141</v>
      </c>
      <c r="E11" s="40"/>
      <c r="F11" s="182"/>
      <c r="G11" s="40"/>
      <c r="H11" s="40"/>
      <c r="I11" s="40"/>
    </row>
    <row r="12" spans="1:9">
      <c r="A12" s="182"/>
      <c r="B12" s="40"/>
      <c r="C12" s="40"/>
      <c r="D12" s="40"/>
      <c r="E12" s="40"/>
      <c r="F12" s="182"/>
      <c r="G12" s="40"/>
      <c r="H12" s="40"/>
      <c r="I12" s="40"/>
    </row>
    <row r="13" spans="1:9">
      <c r="A13" s="180" t="s">
        <v>40</v>
      </c>
      <c r="B13" s="181" t="s">
        <v>79</v>
      </c>
      <c r="C13" s="181" t="s">
        <v>111</v>
      </c>
      <c r="D13" s="181" t="s">
        <v>143</v>
      </c>
      <c r="E13" s="40"/>
      <c r="F13" s="182"/>
      <c r="G13" s="40"/>
      <c r="H13" s="40"/>
      <c r="I13" s="40"/>
    </row>
    <row r="14" spans="1:9">
      <c r="A14" s="40"/>
      <c r="B14" s="40"/>
      <c r="C14" s="40"/>
      <c r="D14" s="40"/>
      <c r="E14" s="40"/>
      <c r="F14" s="182"/>
      <c r="G14" s="40"/>
      <c r="H14" s="40"/>
      <c r="I14" s="40"/>
    </row>
    <row r="15" spans="1:9">
      <c r="A15" s="181" t="s">
        <v>43</v>
      </c>
      <c r="B15" s="181" t="s">
        <v>81</v>
      </c>
      <c r="C15" s="181" t="s">
        <v>113</v>
      </c>
      <c r="D15" s="181" t="s">
        <v>145</v>
      </c>
      <c r="E15" s="40"/>
      <c r="F15" s="182"/>
      <c r="G15" s="40"/>
      <c r="H15" s="40"/>
      <c r="I15" s="40"/>
    </row>
    <row r="16" spans="1:9">
      <c r="A16" s="40"/>
      <c r="B16" s="40"/>
      <c r="C16" s="40"/>
      <c r="D16" s="40"/>
      <c r="E16" s="40"/>
      <c r="F16" s="182"/>
      <c r="G16" s="40"/>
      <c r="H16" s="40"/>
      <c r="I16" s="40"/>
    </row>
    <row r="17" spans="1:9">
      <c r="A17" s="181" t="s">
        <v>46</v>
      </c>
      <c r="B17" s="181" t="s">
        <v>83</v>
      </c>
      <c r="C17" s="181" t="s">
        <v>115</v>
      </c>
      <c r="D17" s="181" t="s">
        <v>147</v>
      </c>
      <c r="E17" s="40"/>
      <c r="F17" s="182"/>
      <c r="G17" s="40"/>
      <c r="H17" s="40"/>
      <c r="I17" s="40"/>
    </row>
    <row r="18" spans="1:9">
      <c r="A18" s="40"/>
      <c r="B18" s="40"/>
      <c r="C18" s="40"/>
      <c r="D18" s="40"/>
      <c r="E18" s="40"/>
      <c r="F18" s="182"/>
      <c r="G18" s="40"/>
      <c r="H18" s="40"/>
      <c r="I18" s="40"/>
    </row>
    <row r="19" spans="1:9">
      <c r="A19" s="181" t="s">
        <v>49</v>
      </c>
      <c r="B19" s="181" t="s">
        <v>85</v>
      </c>
      <c r="C19" s="181" t="s">
        <v>117</v>
      </c>
      <c r="D19" s="181" t="s">
        <v>149</v>
      </c>
      <c r="E19" s="40"/>
      <c r="F19" s="182"/>
      <c r="G19" s="40"/>
      <c r="H19" s="40"/>
      <c r="I19" s="40"/>
    </row>
    <row r="20" spans="1:9">
      <c r="A20" s="40"/>
      <c r="B20" s="40"/>
      <c r="C20" s="40"/>
      <c r="D20" s="40"/>
      <c r="E20" s="40"/>
      <c r="F20" s="182"/>
      <c r="G20" s="40"/>
      <c r="H20" s="40"/>
      <c r="I20" s="40"/>
    </row>
    <row r="21" spans="1:9">
      <c r="A21" s="181" t="s">
        <v>52</v>
      </c>
      <c r="B21" s="181" t="s">
        <v>87</v>
      </c>
      <c r="C21" s="181" t="s">
        <v>119</v>
      </c>
      <c r="D21" s="181" t="s">
        <v>150</v>
      </c>
      <c r="E21" s="40"/>
      <c r="F21" s="182"/>
      <c r="G21" s="40"/>
      <c r="H21" s="40"/>
      <c r="I21" s="40"/>
    </row>
    <row r="22" spans="1:9">
      <c r="A22" s="40"/>
      <c r="B22" s="40"/>
      <c r="C22" s="40"/>
      <c r="D22" s="40"/>
      <c r="E22" s="40"/>
      <c r="F22" s="182"/>
      <c r="G22" s="40"/>
      <c r="H22" s="40"/>
      <c r="I22" s="40"/>
    </row>
    <row r="23" spans="1:9">
      <c r="A23" s="181" t="s">
        <v>55</v>
      </c>
      <c r="B23" s="181" t="s">
        <v>89</v>
      </c>
      <c r="C23" s="181" t="s">
        <v>121</v>
      </c>
      <c r="D23" s="181" t="s">
        <v>152</v>
      </c>
      <c r="E23" s="40"/>
      <c r="F23" s="182"/>
      <c r="G23" s="40"/>
      <c r="H23" s="40"/>
      <c r="I23" s="40"/>
    </row>
    <row r="24" spans="1:9">
      <c r="A24" s="40"/>
      <c r="B24" s="40"/>
      <c r="C24" s="40"/>
      <c r="D24" s="40"/>
      <c r="E24" s="40"/>
      <c r="F24" s="182"/>
      <c r="G24" s="40"/>
      <c r="H24" s="40"/>
      <c r="I24" s="40"/>
    </row>
    <row r="25" spans="1:9">
      <c r="A25" s="181" t="s">
        <v>58</v>
      </c>
      <c r="B25" s="181" t="s">
        <v>91</v>
      </c>
      <c r="C25" s="181" t="s">
        <v>123</v>
      </c>
      <c r="D25" s="181" t="s">
        <v>154</v>
      </c>
      <c r="E25" s="40"/>
      <c r="F25" s="182"/>
      <c r="G25" s="40"/>
      <c r="H25" s="40"/>
      <c r="I25" s="40"/>
    </row>
    <row r="26" spans="1:9">
      <c r="A26" s="40"/>
      <c r="B26" s="40"/>
      <c r="C26" s="40"/>
      <c r="D26" s="40"/>
      <c r="E26" s="40"/>
      <c r="F26" s="182"/>
      <c r="G26" s="40"/>
      <c r="H26" s="40"/>
      <c r="I26" s="40"/>
    </row>
    <row r="27" spans="1:9">
      <c r="A27" s="181" t="s">
        <v>61</v>
      </c>
      <c r="B27" s="181" t="s">
        <v>93</v>
      </c>
      <c r="C27" s="181" t="s">
        <v>125</v>
      </c>
      <c r="D27" s="181" t="s">
        <v>156</v>
      </c>
      <c r="E27" s="40"/>
      <c r="F27" s="182"/>
      <c r="G27" s="40"/>
      <c r="H27" s="40"/>
      <c r="I27" s="40"/>
    </row>
    <row r="28" spans="1:9">
      <c r="A28" s="40"/>
      <c r="B28" s="40"/>
      <c r="C28" s="40"/>
      <c r="D28" s="40"/>
      <c r="E28" s="40"/>
      <c r="F28" s="182"/>
      <c r="G28" s="40"/>
      <c r="H28" s="40"/>
      <c r="I28" s="40"/>
    </row>
    <row r="29" spans="1:9">
      <c r="A29" s="181" t="s">
        <v>63</v>
      </c>
      <c r="B29" s="181" t="s">
        <v>95</v>
      </c>
      <c r="C29" s="181" t="s">
        <v>127</v>
      </c>
      <c r="D29" s="181" t="s">
        <v>158</v>
      </c>
      <c r="E29" s="40"/>
      <c r="F29" s="182"/>
      <c r="G29" s="40"/>
      <c r="H29" s="40"/>
      <c r="I29" s="40"/>
    </row>
    <row r="30" spans="1:9">
      <c r="A30" s="40"/>
      <c r="B30" s="40"/>
      <c r="C30" s="40"/>
      <c r="D30" s="40"/>
      <c r="E30" s="40"/>
      <c r="F30" s="182"/>
      <c r="G30" s="40"/>
      <c r="H30" s="40"/>
      <c r="I30" s="40"/>
    </row>
    <row r="31" spans="1:9">
      <c r="A31" s="181" t="s">
        <v>65</v>
      </c>
      <c r="B31" s="181" t="s">
        <v>97</v>
      </c>
      <c r="C31" s="181" t="s">
        <v>129</v>
      </c>
      <c r="D31" s="181" t="s">
        <v>160</v>
      </c>
      <c r="E31" s="40"/>
      <c r="F31" s="182"/>
      <c r="G31" s="40"/>
      <c r="H31" s="40"/>
      <c r="I31" s="40"/>
    </row>
    <row r="32" spans="1:9">
      <c r="E32" s="40"/>
    </row>
    <row r="33" spans="1:5">
      <c r="E33" s="40"/>
    </row>
    <row r="34" spans="1:5">
      <c r="B34" s="40" t="str">
        <f ca="1">Expense!A1</f>
        <v>F1</v>
      </c>
      <c r="C34" s="40" t="str">
        <f ca="1">Income!A1</f>
        <v/>
      </c>
      <c r="E34" s="40"/>
    </row>
    <row r="35" spans="1:5">
      <c r="A35" s="40" t="s">
        <v>347</v>
      </c>
      <c r="B35" s="46">
        <f ca="1">Expense!A2</f>
        <v>5554.83178051903</v>
      </c>
      <c r="C35" s="40">
        <f>Income!A2</f>
        <v>0</v>
      </c>
    </row>
    <row r="36" spans="1:5">
      <c r="A36" s="40" t="s">
        <v>348</v>
      </c>
      <c r="B36" s="46">
        <f ca="1">Expense!A3</f>
        <v>4390.7598342494202</v>
      </c>
      <c r="C36" s="40">
        <f ca="1">Income!A3</f>
        <v>5513</v>
      </c>
    </row>
    <row r="37" spans="1:5">
      <c r="A37" s="40" t="s">
        <v>349</v>
      </c>
      <c r="B37" s="46">
        <f ca="1">Expense!A4</f>
        <v>4546.3443403690999</v>
      </c>
      <c r="C37" s="40">
        <f ca="1">Income!A4</f>
        <v>4374</v>
      </c>
    </row>
    <row r="38" spans="1:5">
      <c r="A38" s="40" t="s">
        <v>350</v>
      </c>
      <c r="B38" s="46">
        <f ca="1">Expense!A5</f>
        <v>5496.7149229277702</v>
      </c>
      <c r="C38" s="40">
        <f ca="1">Income!A5</f>
        <v>0</v>
      </c>
    </row>
    <row r="39" spans="1:5">
      <c r="A39" s="40" t="s">
        <v>351</v>
      </c>
      <c r="B39" s="46">
        <f ca="1">Expense!A6</f>
        <v>5912.5585020588296</v>
      </c>
      <c r="C39" s="40">
        <f ca="1">Income!A6</f>
        <v>5497</v>
      </c>
    </row>
    <row r="40" spans="1:5">
      <c r="A40" s="40" t="s">
        <v>352</v>
      </c>
      <c r="B40" s="46">
        <f ca="1">Expense!A7</f>
        <v>4939.9383686384699</v>
      </c>
      <c r="C40" s="40">
        <f ca="1">Income!A7</f>
        <v>5497</v>
      </c>
    </row>
    <row r="41" spans="1:5">
      <c r="A41" s="40" t="s">
        <v>353</v>
      </c>
      <c r="B41" s="46">
        <f ca="1">Expense!A8</f>
        <v>6395.8022097327303</v>
      </c>
      <c r="C41" s="40">
        <f ca="1">Income!A8</f>
        <v>0</v>
      </c>
    </row>
    <row r="42" spans="1:5">
      <c r="A42" s="40" t="s">
        <v>354</v>
      </c>
      <c r="B42" s="46">
        <f ca="1">Expense!A9</f>
        <v>6623.2939565329398</v>
      </c>
      <c r="C42" s="40">
        <f ca="1">Income!A9</f>
        <v>0</v>
      </c>
    </row>
    <row r="43" spans="1:5">
      <c r="A43" s="40" t="s">
        <v>355</v>
      </c>
      <c r="B43" s="46">
        <f ca="1">Expense!A10</f>
        <v>5110.5418091418996</v>
      </c>
      <c r="C43" s="40">
        <f ca="1">Income!A10</f>
        <v>13099</v>
      </c>
    </row>
    <row r="44" spans="1:5">
      <c r="A44" s="40" t="s">
        <v>356</v>
      </c>
      <c r="B44" s="46">
        <f ca="1">Expense!A11</f>
        <v>5091.3398017781501</v>
      </c>
      <c r="C44" s="40">
        <f ca="1">Income!A11</f>
        <v>5555</v>
      </c>
    </row>
    <row r="45" spans="1:5">
      <c r="A45" s="40" t="s">
        <v>357</v>
      </c>
      <c r="B45" s="46">
        <f ca="1">Expense!A12</f>
        <v>4755.0297466168404</v>
      </c>
      <c r="C45" s="40">
        <f ca="1">Income!A12</f>
        <v>5108</v>
      </c>
    </row>
    <row r="46" spans="1:5">
      <c r="A46" s="40" t="s">
        <v>358</v>
      </c>
      <c r="B46" s="46">
        <f ca="1">Expense!A13</f>
        <v>4967.5509648418902</v>
      </c>
      <c r="C46" s="40">
        <f ca="1">Income!A13</f>
        <v>4755</v>
      </c>
    </row>
    <row r="47" spans="1:5">
      <c r="B47" s="46">
        <f ca="1">Expense!A14</f>
        <v>63784.706237407103</v>
      </c>
      <c r="C47" s="40">
        <f ca="1">Income!A14</f>
        <v>49398</v>
      </c>
    </row>
    <row r="48" spans="1:5">
      <c r="B48" s="40">
        <f>Expense!A15</f>
        <v>0</v>
      </c>
      <c r="C48" s="46">
        <f ca="1">Income!A15</f>
        <v>-14386.706237407099</v>
      </c>
    </row>
    <row r="49" spans="1:3">
      <c r="B49" s="40">
        <f>Expense!A16</f>
        <v>0</v>
      </c>
      <c r="C49" s="40">
        <f>Income!A16</f>
        <v>0</v>
      </c>
    </row>
    <row r="50" spans="1:3">
      <c r="B50" s="40">
        <f>Expense!A17</f>
        <v>0</v>
      </c>
      <c r="C50" s="40">
        <f>Income!A17</f>
        <v>0</v>
      </c>
    </row>
    <row r="51" spans="1:3">
      <c r="B51" s="40" t="str">
        <f ca="1">Expense!A18</f>
        <v>F2</v>
      </c>
      <c r="C51" s="40">
        <f>Income!A18</f>
        <v>0</v>
      </c>
    </row>
    <row r="52" spans="1:3">
      <c r="A52" s="40" t="s">
        <v>347</v>
      </c>
      <c r="B52" s="46">
        <f ca="1">Expense!A19</f>
        <v>6880.6624877783797</v>
      </c>
      <c r="C52" s="40">
        <f>Income!A19</f>
        <v>0</v>
      </c>
    </row>
    <row r="53" spans="1:3">
      <c r="A53" s="40" t="s">
        <v>348</v>
      </c>
      <c r="B53" s="46">
        <f ca="1">Expense!A20</f>
        <v>5570.84846978718</v>
      </c>
      <c r="C53" s="40">
        <f ca="1">Income!A20</f>
        <v>9182</v>
      </c>
    </row>
    <row r="54" spans="1:3">
      <c r="A54" s="40" t="s">
        <v>349</v>
      </c>
      <c r="B54" s="46">
        <f ca="1">Expense!A21</f>
        <v>5614.1063573144402</v>
      </c>
      <c r="C54" s="40">
        <f ca="1">Income!A21</f>
        <v>41625</v>
      </c>
    </row>
    <row r="55" spans="1:3">
      <c r="A55" s="40" t="s">
        <v>350</v>
      </c>
      <c r="B55" s="46">
        <f ca="1">Expense!A22</f>
        <v>6759.7325735036702</v>
      </c>
      <c r="C55" s="40">
        <f ca="1">Income!A22</f>
        <v>0</v>
      </c>
    </row>
    <row r="56" spans="1:3">
      <c r="A56" s="40" t="s">
        <v>351</v>
      </c>
      <c r="B56" s="46">
        <f ca="1">Expense!A23</f>
        <v>7197.2662348981403</v>
      </c>
      <c r="C56" s="40">
        <f ca="1">Income!A23</f>
        <v>0</v>
      </c>
    </row>
    <row r="57" spans="1:3">
      <c r="A57" s="40" t="s">
        <v>352</v>
      </c>
      <c r="B57" s="46">
        <f ca="1">Expense!A24</f>
        <v>5914.7005440788398</v>
      </c>
      <c r="C57" s="40">
        <f ca="1">Income!A24</f>
        <v>26147</v>
      </c>
    </row>
    <row r="58" spans="1:3">
      <c r="A58" s="40" t="s">
        <v>353</v>
      </c>
      <c r="B58" s="46">
        <f ca="1">Expense!A25</f>
        <v>7049.7450594742104</v>
      </c>
      <c r="C58" s="40">
        <f ca="1">Income!A25</f>
        <v>0</v>
      </c>
    </row>
    <row r="59" spans="1:3">
      <c r="A59" s="40" t="s">
        <v>354</v>
      </c>
      <c r="B59" s="46">
        <f ca="1">Expense!A26</f>
        <v>7177.8978606280298</v>
      </c>
      <c r="C59" s="40">
        <f ca="1">Income!A26</f>
        <v>0</v>
      </c>
    </row>
    <row r="60" spans="1:3">
      <c r="A60" s="40" t="s">
        <v>355</v>
      </c>
      <c r="B60" s="46">
        <f ca="1">Expense!A27</f>
        <v>5885.3538603605703</v>
      </c>
      <c r="C60" s="40">
        <f ca="1">Income!A27</f>
        <v>0</v>
      </c>
    </row>
    <row r="61" spans="1:3">
      <c r="A61" s="40" t="s">
        <v>356</v>
      </c>
      <c r="B61" s="46">
        <f ca="1">Expense!A28</f>
        <v>5677.1014727727297</v>
      </c>
      <c r="C61" s="40">
        <f ca="1">Income!A28</f>
        <v>26087</v>
      </c>
    </row>
    <row r="62" spans="1:3">
      <c r="A62" s="40" t="s">
        <v>357</v>
      </c>
      <c r="B62" s="46">
        <f ca="1">Expense!A29</f>
        <v>5234.6504794412203</v>
      </c>
      <c r="C62" s="40">
        <f ca="1">Income!A29</f>
        <v>0</v>
      </c>
    </row>
    <row r="63" spans="1:3">
      <c r="A63" s="40" t="s">
        <v>358</v>
      </c>
      <c r="B63" s="46">
        <f ca="1">Expense!A30</f>
        <v>5467.4166296917601</v>
      </c>
      <c r="C63" s="40">
        <f ca="1">Income!A30</f>
        <v>0</v>
      </c>
    </row>
    <row r="64" spans="1:3">
      <c r="B64" s="46">
        <f ca="1">Expense!A31</f>
        <v>74429.482029729203</v>
      </c>
      <c r="C64" s="40">
        <f ca="1">Income!A31</f>
        <v>103041</v>
      </c>
    </row>
    <row r="65" spans="1:3">
      <c r="B65" s="40">
        <f>Expense!A32</f>
        <v>0</v>
      </c>
      <c r="C65" s="46">
        <f ca="1">Income!A32</f>
        <v>28611.517970270699</v>
      </c>
    </row>
    <row r="66" spans="1:3">
      <c r="B66" s="40">
        <f>Expense!A33</f>
        <v>0</v>
      </c>
      <c r="C66" s="40">
        <f>Income!A33</f>
        <v>0</v>
      </c>
    </row>
    <row r="67" spans="1:3">
      <c r="B67" s="40">
        <f>Expense!A34</f>
        <v>0</v>
      </c>
      <c r="C67" s="40">
        <f>Income!A34</f>
        <v>0</v>
      </c>
    </row>
    <row r="68" spans="1:3">
      <c r="B68" s="40" t="str">
        <f ca="1">Expense!A35</f>
        <v>F3</v>
      </c>
      <c r="C68" s="40">
        <f>Income!A35</f>
        <v>0</v>
      </c>
    </row>
    <row r="69" spans="1:3">
      <c r="A69" s="40" t="s">
        <v>347</v>
      </c>
      <c r="B69" s="46">
        <f ca="1">Expense!A36</f>
        <v>7497.9990789697604</v>
      </c>
      <c r="C69" s="40">
        <f>Income!A36</f>
        <v>0</v>
      </c>
    </row>
    <row r="70" spans="1:3">
      <c r="A70" s="40" t="s">
        <v>348</v>
      </c>
      <c r="B70" s="46">
        <f ca="1">Expense!A37</f>
        <v>5970.6440644009999</v>
      </c>
      <c r="C70" s="40">
        <f ca="1">Income!A37</f>
        <v>6000</v>
      </c>
    </row>
    <row r="71" spans="1:3">
      <c r="A71" s="40" t="s">
        <v>349</v>
      </c>
      <c r="B71" s="46">
        <f ca="1">Expense!A38</f>
        <v>6093.3847186040903</v>
      </c>
      <c r="C71" s="40">
        <f ca="1">Income!A38</f>
        <v>6000</v>
      </c>
    </row>
    <row r="72" spans="1:3">
      <c r="A72" s="40" t="s">
        <v>350</v>
      </c>
      <c r="B72" s="46">
        <f ca="1">Expense!A39</f>
        <v>7529.5715685937703</v>
      </c>
      <c r="C72" s="40">
        <f ca="1">Income!A39</f>
        <v>6000</v>
      </c>
    </row>
    <row r="73" spans="1:3">
      <c r="A73" s="40" t="s">
        <v>351</v>
      </c>
      <c r="B73" s="46">
        <f ca="1">Expense!A40</f>
        <v>7722.7280178618703</v>
      </c>
      <c r="C73" s="40">
        <f ca="1">Income!A40</f>
        <v>6000</v>
      </c>
    </row>
    <row r="74" spans="1:3">
      <c r="A74" s="40" t="s">
        <v>352</v>
      </c>
      <c r="B74" s="46">
        <f ca="1">Expense!A41</f>
        <v>6599.69050490061</v>
      </c>
      <c r="C74" s="40">
        <f ca="1">Income!A41</f>
        <v>6000</v>
      </c>
    </row>
    <row r="75" spans="1:3">
      <c r="A75" s="40" t="s">
        <v>353</v>
      </c>
      <c r="B75" s="46">
        <f ca="1">Expense!A42</f>
        <v>8217.5034137304992</v>
      </c>
      <c r="C75" s="40">
        <f ca="1">Income!A42</f>
        <v>6000</v>
      </c>
    </row>
    <row r="76" spans="1:3">
      <c r="A76" s="40" t="s">
        <v>354</v>
      </c>
      <c r="B76" s="46">
        <f ca="1">Expense!A43</f>
        <v>8585.2408957029693</v>
      </c>
      <c r="C76" s="46">
        <f ca="1">Income!A43</f>
        <v>6000</v>
      </c>
    </row>
    <row r="77" spans="1:3">
      <c r="A77" s="40" t="s">
        <v>355</v>
      </c>
      <c r="B77" s="46">
        <f ca="1">Expense!A44</f>
        <v>6916.4336347933604</v>
      </c>
      <c r="C77" s="40">
        <f ca="1">Income!A44</f>
        <v>6000</v>
      </c>
    </row>
    <row r="78" spans="1:3">
      <c r="A78" s="40" t="s">
        <v>356</v>
      </c>
      <c r="B78" s="46">
        <f ca="1">Expense!A45</f>
        <v>6594.2688945702903</v>
      </c>
      <c r="C78" s="40">
        <f ca="1">Income!A45</f>
        <v>6000</v>
      </c>
    </row>
    <row r="79" spans="1:3">
      <c r="A79" s="40" t="s">
        <v>357</v>
      </c>
      <c r="B79" s="46">
        <f ca="1">Expense!A46</f>
        <v>6667.5707103832701</v>
      </c>
      <c r="C79" s="40">
        <f ca="1">Income!A46</f>
        <v>6000</v>
      </c>
    </row>
    <row r="80" spans="1:3">
      <c r="A80" s="40" t="s">
        <v>358</v>
      </c>
      <c r="B80" s="46">
        <f ca="1">Expense!A47</f>
        <v>6559.2233185039704</v>
      </c>
      <c r="C80" s="46">
        <f ca="1">Income!A47</f>
        <v>6000</v>
      </c>
    </row>
    <row r="81" spans="1:3">
      <c r="B81" s="46">
        <f ca="1">Expense!A48</f>
        <v>84954.258821015494</v>
      </c>
      <c r="C81" s="40">
        <f ca="1">Income!A48</f>
        <v>66000</v>
      </c>
    </row>
    <row r="82" spans="1:3">
      <c r="B82" s="40">
        <f>Expense!A49</f>
        <v>0</v>
      </c>
      <c r="C82" s="46">
        <f ca="1">Income!A49</f>
        <v>-18954.258821015501</v>
      </c>
    </row>
    <row r="83" spans="1:3">
      <c r="B83" s="40">
        <f>Expense!A50</f>
        <v>0</v>
      </c>
      <c r="C83" s="40">
        <f>Income!A50</f>
        <v>0</v>
      </c>
    </row>
    <row r="84" spans="1:3">
      <c r="B84" s="40">
        <f>Expense!A51</f>
        <v>0</v>
      </c>
      <c r="C84" s="40">
        <f>Income!A51</f>
        <v>0</v>
      </c>
    </row>
    <row r="85" spans="1:3">
      <c r="B85" s="40" t="str">
        <f ca="1">Expense!A52</f>
        <v>F4</v>
      </c>
      <c r="C85" s="40">
        <f>Income!A52</f>
        <v>0</v>
      </c>
    </row>
    <row r="86" spans="1:3">
      <c r="A86" s="40" t="s">
        <v>347</v>
      </c>
      <c r="B86" s="46">
        <f ca="1">Expense!A53</f>
        <v>5749.6027619606102</v>
      </c>
      <c r="C86" s="40">
        <f>Income!A53</f>
        <v>0</v>
      </c>
    </row>
    <row r="87" spans="1:3">
      <c r="A87" s="40" t="s">
        <v>348</v>
      </c>
      <c r="B87" s="46">
        <f ca="1">Expense!A54</f>
        <v>4456.7649575650403</v>
      </c>
      <c r="C87" s="46">
        <f ca="1">Income!A54</f>
        <v>5710</v>
      </c>
    </row>
    <row r="88" spans="1:3">
      <c r="A88" s="40" t="s">
        <v>349</v>
      </c>
      <c r="B88" s="46">
        <f ca="1">Expense!A55</f>
        <v>4663.6125495075703</v>
      </c>
      <c r="C88" s="46">
        <f ca="1">Income!A55</f>
        <v>4434</v>
      </c>
    </row>
    <row r="89" spans="1:3">
      <c r="A89" s="40" t="s">
        <v>350</v>
      </c>
      <c r="B89" s="46">
        <f ca="1">Expense!A56</f>
        <v>5553.5667606509196</v>
      </c>
      <c r="C89" s="46">
        <f ca="1">Income!A56</f>
        <v>0</v>
      </c>
    </row>
    <row r="90" spans="1:3">
      <c r="A90" s="40" t="s">
        <v>351</v>
      </c>
      <c r="B90" s="46">
        <f ca="1">Expense!A57</f>
        <v>6049.9822334915898</v>
      </c>
      <c r="C90" s="46">
        <f ca="1">Income!A57</f>
        <v>5554</v>
      </c>
    </row>
    <row r="91" spans="1:3">
      <c r="A91" s="40" t="s">
        <v>352</v>
      </c>
      <c r="B91" s="46">
        <f ca="1">Expense!A58</f>
        <v>5147.5820817756603</v>
      </c>
      <c r="C91" s="46">
        <f ca="1">Income!A58</f>
        <v>5554</v>
      </c>
    </row>
    <row r="92" spans="1:3">
      <c r="A92" s="40" t="s">
        <v>353</v>
      </c>
      <c r="B92" s="46">
        <f ca="1">Expense!A59</f>
        <v>6692.7138830018303</v>
      </c>
      <c r="C92" s="46">
        <f ca="1">Income!A59</f>
        <v>5148</v>
      </c>
    </row>
    <row r="93" spans="1:3">
      <c r="A93" s="40" t="s">
        <v>354</v>
      </c>
      <c r="B93" s="46">
        <f ca="1">Expense!A60</f>
        <v>6982.2831094713802</v>
      </c>
      <c r="C93" s="46">
        <f ca="1">Income!A60</f>
        <v>6231</v>
      </c>
    </row>
    <row r="94" spans="1:3">
      <c r="A94" s="40" t="s">
        <v>355</v>
      </c>
      <c r="B94" s="46">
        <f ca="1">Expense!A61</f>
        <v>5286.8803137914201</v>
      </c>
      <c r="C94" s="46">
        <f ca="1">Income!A61</f>
        <v>7064</v>
      </c>
    </row>
    <row r="95" spans="1:3">
      <c r="A95" s="40" t="s">
        <v>356</v>
      </c>
      <c r="B95" s="46">
        <f ca="1">Expense!A62</f>
        <v>5176.1559372483898</v>
      </c>
      <c r="C95" s="46">
        <f ca="1">Income!A62</f>
        <v>5264</v>
      </c>
    </row>
    <row r="96" spans="1:3">
      <c r="A96" s="40" t="s">
        <v>357</v>
      </c>
      <c r="B96" s="46">
        <f ca="1">Expense!A63</f>
        <v>4924.6682933636903</v>
      </c>
      <c r="C96" s="46">
        <f ca="1">Income!A63</f>
        <v>5176</v>
      </c>
    </row>
    <row r="97" spans="1:3">
      <c r="A97" s="40" t="s">
        <v>358</v>
      </c>
      <c r="B97" s="46">
        <f ca="1">Expense!A64</f>
        <v>5011.4090000781798</v>
      </c>
      <c r="C97" s="40">
        <f ca="1">Income!A64</f>
        <v>4925</v>
      </c>
    </row>
    <row r="98" spans="1:3">
      <c r="B98" s="46">
        <f ca="1">Expense!A65</f>
        <v>65695.221881906298</v>
      </c>
      <c r="C98" s="40">
        <f ca="1">Income!A65</f>
        <v>55060</v>
      </c>
    </row>
    <row r="99" spans="1:3">
      <c r="B99" s="40">
        <f>Expense!A66</f>
        <v>0</v>
      </c>
      <c r="C99" s="46">
        <f ca="1">Income!A66</f>
        <v>-10635.2218819063</v>
      </c>
    </row>
    <row r="100" spans="1:3">
      <c r="B100" s="40">
        <f>Expense!A67</f>
        <v>0</v>
      </c>
      <c r="C100" s="40">
        <f>Income!A67</f>
        <v>0</v>
      </c>
    </row>
    <row r="101" spans="1:3">
      <c r="B101" s="40">
        <f>Expense!A68</f>
        <v>0</v>
      </c>
      <c r="C101" s="40">
        <f>Income!A68</f>
        <v>0</v>
      </c>
    </row>
    <row r="102" spans="1:3">
      <c r="B102" s="40" t="str">
        <f ca="1">Expense!A69</f>
        <v>F5</v>
      </c>
      <c r="C102" s="40">
        <f>Income!A69</f>
        <v>0</v>
      </c>
    </row>
    <row r="103" spans="1:3">
      <c r="A103" s="40" t="s">
        <v>347</v>
      </c>
      <c r="B103" s="46">
        <f ca="1">Expense!A70</f>
        <v>5400.9237079500499</v>
      </c>
      <c r="C103" s="40">
        <f>Income!A70</f>
        <v>0</v>
      </c>
    </row>
    <row r="104" spans="1:3">
      <c r="A104" s="40" t="s">
        <v>348</v>
      </c>
      <c r="B104" s="46">
        <f ca="1">Expense!A71</f>
        <v>4039.0488598142601</v>
      </c>
      <c r="C104" s="40">
        <f ca="1">Income!A71</f>
        <v>5354</v>
      </c>
    </row>
    <row r="105" spans="1:3">
      <c r="A105" s="40" t="s">
        <v>349</v>
      </c>
      <c r="B105" s="46">
        <f ca="1">Expense!A72</f>
        <v>4272.8636485156203</v>
      </c>
      <c r="C105" s="40">
        <f ca="1">Income!A72</f>
        <v>8022</v>
      </c>
    </row>
    <row r="106" spans="1:3">
      <c r="A106" s="40" t="s">
        <v>350</v>
      </c>
      <c r="B106" s="46">
        <f ca="1">Expense!A73</f>
        <v>5172.3924418298702</v>
      </c>
      <c r="C106" s="40">
        <f ca="1">Income!A73</f>
        <v>323</v>
      </c>
    </row>
    <row r="107" spans="1:3">
      <c r="A107" s="40" t="s">
        <v>351</v>
      </c>
      <c r="B107" s="46">
        <f ca="1">Expense!A74</f>
        <v>7049.5761781706797</v>
      </c>
      <c r="C107" s="40">
        <f ca="1">Income!A74</f>
        <v>5172</v>
      </c>
    </row>
    <row r="108" spans="1:3">
      <c r="A108" s="40" t="s">
        <v>352</v>
      </c>
      <c r="B108" s="46">
        <f ca="1">Expense!A75</f>
        <v>5209.9861313824804</v>
      </c>
      <c r="C108" s="40">
        <f ca="1">Income!A75</f>
        <v>7050</v>
      </c>
    </row>
    <row r="109" spans="1:3">
      <c r="A109" s="40" t="s">
        <v>353</v>
      </c>
      <c r="B109" s="46">
        <f ca="1">Expense!A76</f>
        <v>6530.4327158608503</v>
      </c>
      <c r="C109" s="46">
        <f ca="1">Income!A76</f>
        <v>5209.99</v>
      </c>
    </row>
    <row r="110" spans="1:3">
      <c r="A110" s="40" t="s">
        <v>354</v>
      </c>
      <c r="B110" s="46">
        <f ca="1">Expense!A77</f>
        <v>6987.9895767586604</v>
      </c>
      <c r="C110" s="40">
        <f ca="1">Income!A77</f>
        <v>6114</v>
      </c>
    </row>
    <row r="111" spans="1:3">
      <c r="A111" s="40" t="s">
        <v>355</v>
      </c>
      <c r="B111" s="46">
        <f ca="1">Expense!A78</f>
        <v>5357.4769935261502</v>
      </c>
      <c r="C111" s="40">
        <f ca="1">Income!A78</f>
        <v>7069</v>
      </c>
    </row>
    <row r="112" spans="1:3">
      <c r="A112" s="40" t="s">
        <v>356</v>
      </c>
      <c r="B112" s="46">
        <f ca="1">Expense!A79</f>
        <v>5143.8208706995001</v>
      </c>
      <c r="C112" s="40">
        <f ca="1">Income!A79</f>
        <v>5340.41</v>
      </c>
    </row>
    <row r="113" spans="1:3">
      <c r="A113" s="40" t="s">
        <v>357</v>
      </c>
      <c r="B113" s="46">
        <f ca="1">Expense!A80</f>
        <v>4698.8491844943001</v>
      </c>
      <c r="C113" s="40">
        <f ca="1">Income!A80</f>
        <v>5161</v>
      </c>
    </row>
    <row r="114" spans="1:3">
      <c r="A114" s="40" t="s">
        <v>358</v>
      </c>
      <c r="B114" s="46">
        <f ca="1">Expense!A81</f>
        <v>5020.4938487068302</v>
      </c>
      <c r="C114" s="40">
        <f ca="1">Income!A81</f>
        <v>4699</v>
      </c>
    </row>
    <row r="115" spans="1:3">
      <c r="B115" s="46">
        <f ca="1">Expense!A82</f>
        <v>64883.854157709196</v>
      </c>
      <c r="C115" s="40">
        <f ca="1">Income!A82</f>
        <v>59514.3999999999</v>
      </c>
    </row>
    <row r="116" spans="1:3">
      <c r="B116" s="40">
        <f>Expense!A83</f>
        <v>0</v>
      </c>
      <c r="C116" s="46">
        <f ca="1">Income!A83</f>
        <v>-5369.4541577092896</v>
      </c>
    </row>
    <row r="117" spans="1:3">
      <c r="B117" s="40">
        <f>Expense!A84</f>
        <v>0</v>
      </c>
      <c r="C117" s="40">
        <f>Income!A84</f>
        <v>0</v>
      </c>
    </row>
    <row r="118" spans="1:3">
      <c r="B118" s="40">
        <f>Expense!A85</f>
        <v>0</v>
      </c>
      <c r="C118" s="40">
        <f>Income!A85</f>
        <v>0</v>
      </c>
    </row>
    <row r="119" spans="1:3">
      <c r="B119" s="40" t="str">
        <f ca="1">Expense!A86</f>
        <v>F6</v>
      </c>
      <c r="C119" s="40">
        <f>Income!A86</f>
        <v>0</v>
      </c>
    </row>
    <row r="120" spans="1:3">
      <c r="A120" s="40" t="s">
        <v>347</v>
      </c>
      <c r="B120" s="46">
        <f ca="1">Expense!A87</f>
        <v>5895.4151189144904</v>
      </c>
      <c r="C120" s="40">
        <f>Income!A87</f>
        <v>0</v>
      </c>
    </row>
    <row r="121" spans="1:3">
      <c r="A121" s="40" t="s">
        <v>348</v>
      </c>
      <c r="B121" s="46">
        <f ca="1">Expense!A88</f>
        <v>4348.4787028747396</v>
      </c>
      <c r="C121" s="40">
        <f ca="1">Income!A88</f>
        <v>5864</v>
      </c>
    </row>
    <row r="122" spans="1:3">
      <c r="A122" s="40" t="s">
        <v>349</v>
      </c>
      <c r="B122" s="46">
        <f ca="1">Expense!A89</f>
        <v>4628.2798579528398</v>
      </c>
      <c r="C122" s="40">
        <f ca="1">Income!A89</f>
        <v>4331</v>
      </c>
    </row>
    <row r="123" spans="1:3">
      <c r="A123" s="40" t="s">
        <v>350</v>
      </c>
      <c r="B123" s="46">
        <f ca="1">Expense!A90</f>
        <v>5465.1979739096396</v>
      </c>
      <c r="C123" s="40">
        <f ca="1">Income!A90</f>
        <v>1288</v>
      </c>
    </row>
    <row r="124" spans="1:3">
      <c r="A124" s="40" t="s">
        <v>351</v>
      </c>
      <c r="B124" s="46">
        <f ca="1">Expense!A91</f>
        <v>6089.5563439689804</v>
      </c>
      <c r="C124" s="40">
        <f ca="1">Income!A91</f>
        <v>5465</v>
      </c>
    </row>
    <row r="125" spans="1:3">
      <c r="A125" s="40" t="s">
        <v>352</v>
      </c>
      <c r="B125" s="46">
        <f ca="1">Expense!A92</f>
        <v>5134.8502861019397</v>
      </c>
      <c r="C125" s="40">
        <f ca="1">Income!A92</f>
        <v>0</v>
      </c>
    </row>
    <row r="126" spans="1:3">
      <c r="A126" s="40" t="s">
        <v>353</v>
      </c>
      <c r="B126" s="46">
        <f ca="1">Expense!A93</f>
        <v>6606.8862668941501</v>
      </c>
      <c r="C126" s="46">
        <f ca="1">Income!A93</f>
        <v>5135</v>
      </c>
    </row>
    <row r="127" spans="1:3">
      <c r="A127" s="40" t="s">
        <v>354</v>
      </c>
      <c r="B127" s="46">
        <f ca="1">Expense!A94</f>
        <v>6993.2188819876001</v>
      </c>
      <c r="C127" s="40">
        <f ca="1">Income!A94</f>
        <v>0</v>
      </c>
    </row>
    <row r="128" spans="1:3">
      <c r="A128" s="40" t="s">
        <v>355</v>
      </c>
      <c r="B128" s="46">
        <f ca="1">Expense!A95</f>
        <v>5157.9386503004498</v>
      </c>
      <c r="C128" s="40">
        <f ca="1">Income!A95</f>
        <v>6114</v>
      </c>
    </row>
    <row r="129" spans="1:3">
      <c r="A129" s="40" t="s">
        <v>356</v>
      </c>
      <c r="B129" s="46">
        <f ca="1">Expense!A96</f>
        <v>5083.5826989460702</v>
      </c>
      <c r="C129" s="40">
        <f ca="1">Income!A96</f>
        <v>12215.81</v>
      </c>
    </row>
    <row r="130" spans="1:3">
      <c r="A130" s="40" t="s">
        <v>357</v>
      </c>
      <c r="B130" s="46">
        <f ca="1">Expense!A97</f>
        <v>4867.3414161417404</v>
      </c>
      <c r="C130" s="40">
        <f ca="1">Income!A97</f>
        <v>5101</v>
      </c>
    </row>
    <row r="131" spans="1:3">
      <c r="A131" s="40" t="s">
        <v>358</v>
      </c>
      <c r="B131" s="46">
        <f ca="1">Expense!A98</f>
        <v>4863.0805457199403</v>
      </c>
      <c r="C131" s="40">
        <f ca="1">Income!A98</f>
        <v>0</v>
      </c>
    </row>
    <row r="132" spans="1:3">
      <c r="B132" s="46">
        <f ca="1">Expense!A99</f>
        <v>65133.826743712598</v>
      </c>
      <c r="C132" s="40">
        <f ca="1">Income!A99</f>
        <v>45513.81</v>
      </c>
    </row>
    <row r="133" spans="1:3">
      <c r="B133" s="40">
        <f>Expense!A100</f>
        <v>0</v>
      </c>
      <c r="C133" s="46">
        <f ca="1">Income!A100</f>
        <v>-19620.0167437126</v>
      </c>
    </row>
    <row r="134" spans="1:3">
      <c r="B134" s="40">
        <f>Expense!A101</f>
        <v>0</v>
      </c>
      <c r="C134" s="40">
        <f>Income!A101</f>
        <v>0</v>
      </c>
    </row>
    <row r="135" spans="1:3">
      <c r="B135" s="40">
        <f>Expense!A102</f>
        <v>0</v>
      </c>
      <c r="C135" s="40">
        <f>Income!A102</f>
        <v>0</v>
      </c>
    </row>
    <row r="136" spans="1:3">
      <c r="B136" s="40" t="str">
        <f ca="1">Expense!A103</f>
        <v>F7</v>
      </c>
      <c r="C136" s="40">
        <f>Income!A103</f>
        <v>0</v>
      </c>
    </row>
    <row r="137" spans="1:3">
      <c r="A137" s="40" t="s">
        <v>347</v>
      </c>
      <c r="B137" s="46">
        <f ca="1">Expense!A104</f>
        <v>6181.0160282885699</v>
      </c>
      <c r="C137" s="40">
        <f>Income!A104</f>
        <v>0</v>
      </c>
    </row>
    <row r="138" spans="1:3">
      <c r="A138" s="40" t="s">
        <v>348</v>
      </c>
      <c r="B138" s="46">
        <f ca="1">Expense!A105</f>
        <v>4817.23628073072</v>
      </c>
      <c r="C138" s="40">
        <f ca="1">Income!A105</f>
        <v>11602</v>
      </c>
    </row>
    <row r="139" spans="1:3">
      <c r="A139" s="40" t="s">
        <v>349</v>
      </c>
      <c r="B139" s="46">
        <f ca="1">Expense!A106</f>
        <v>5050.9140221374</v>
      </c>
      <c r="C139" s="40">
        <f ca="1">Income!A106</f>
        <v>4800.17</v>
      </c>
    </row>
    <row r="140" spans="1:3">
      <c r="A140" s="40" t="s">
        <v>350</v>
      </c>
      <c r="B140" s="46">
        <f ca="1">Expense!A107</f>
        <v>5938.6243469035899</v>
      </c>
      <c r="C140" s="40">
        <f ca="1">Income!A107</f>
        <v>5050.91</v>
      </c>
    </row>
    <row r="141" spans="1:3">
      <c r="A141" s="40" t="s">
        <v>351</v>
      </c>
      <c r="B141" s="46">
        <f ca="1">Expense!A108</f>
        <v>6331.9105235156203</v>
      </c>
      <c r="C141" s="40">
        <f ca="1">Income!A108</f>
        <v>5938.62</v>
      </c>
    </row>
    <row r="142" spans="1:3">
      <c r="A142" s="40" t="s">
        <v>352</v>
      </c>
      <c r="B142" s="46">
        <f ca="1">Expense!A109</f>
        <v>5504.8370570873403</v>
      </c>
      <c r="C142" s="40">
        <f ca="1">Income!A109</f>
        <v>5939</v>
      </c>
    </row>
    <row r="143" spans="1:3">
      <c r="A143" s="40" t="s">
        <v>353</v>
      </c>
      <c r="B143" s="46">
        <f ca="1">Expense!A110</f>
        <v>6883.1824023959798</v>
      </c>
      <c r="C143" s="40">
        <f ca="1">Income!A110</f>
        <v>0</v>
      </c>
    </row>
    <row r="144" spans="1:3">
      <c r="A144" s="40" t="s">
        <v>354</v>
      </c>
      <c r="B144" s="46">
        <f ca="1">Expense!A111</f>
        <v>7220.6757150364601</v>
      </c>
      <c r="C144" s="46">
        <f ca="1">Income!A111</f>
        <v>5505</v>
      </c>
    </row>
    <row r="145" spans="1:3">
      <c r="A145" s="40" t="s">
        <v>355</v>
      </c>
      <c r="B145" s="46">
        <f ca="1">Expense!A112</f>
        <v>5568.9922847218504</v>
      </c>
      <c r="C145" s="40">
        <f ca="1">Income!A112</f>
        <v>7303</v>
      </c>
    </row>
    <row r="146" spans="1:3">
      <c r="A146" s="40" t="s">
        <v>356</v>
      </c>
      <c r="B146" s="46">
        <f ca="1">Expense!A113</f>
        <v>5486.7399909757796</v>
      </c>
      <c r="C146" s="40">
        <f ca="1">Income!A113</f>
        <v>5551.92</v>
      </c>
    </row>
    <row r="147" spans="1:3">
      <c r="A147" s="40" t="s">
        <v>357</v>
      </c>
      <c r="B147" s="46">
        <f ca="1">Expense!A114</f>
        <v>5213.0985334043698</v>
      </c>
      <c r="C147" s="40">
        <f ca="1">Income!A114</f>
        <v>0</v>
      </c>
    </row>
    <row r="148" spans="1:3">
      <c r="A148" s="40" t="s">
        <v>358</v>
      </c>
      <c r="B148" s="46">
        <f ca="1">Expense!A115</f>
        <v>5384.1479083892</v>
      </c>
      <c r="C148" s="40">
        <f ca="1">Income!A115</f>
        <v>10717</v>
      </c>
    </row>
    <row r="149" spans="1:3">
      <c r="B149" s="46">
        <f ca="1">Expense!A116</f>
        <v>69581.375093586903</v>
      </c>
      <c r="C149" s="40">
        <f ca="1">Income!A116</f>
        <v>62407.619999999901</v>
      </c>
    </row>
    <row r="150" spans="1:3">
      <c r="B150" s="40">
        <f>Expense!A117</f>
        <v>0</v>
      </c>
      <c r="C150" s="46">
        <f ca="1">Income!A117</f>
        <v>-7173.7550935869303</v>
      </c>
    </row>
    <row r="151" spans="1:3">
      <c r="B151" s="40">
        <f>Expense!A118</f>
        <v>0</v>
      </c>
      <c r="C151" s="40">
        <f>Income!A118</f>
        <v>0</v>
      </c>
    </row>
    <row r="152" spans="1:3">
      <c r="B152" s="40">
        <f>Expense!A119</f>
        <v>0</v>
      </c>
      <c r="C152" s="40">
        <f>Income!A119</f>
        <v>0</v>
      </c>
    </row>
    <row r="153" spans="1:3">
      <c r="B153" s="40" t="str">
        <f ca="1">Expense!A120</f>
        <v>F8</v>
      </c>
      <c r="C153" s="40">
        <f>Income!A120</f>
        <v>0</v>
      </c>
    </row>
    <row r="154" spans="1:3">
      <c r="A154" s="40" t="s">
        <v>347</v>
      </c>
      <c r="B154" s="46">
        <f ca="1">Expense!A121</f>
        <v>5360.1318959356104</v>
      </c>
      <c r="C154" s="40">
        <f>Income!A121</f>
        <v>0</v>
      </c>
    </row>
    <row r="155" spans="1:3">
      <c r="A155" s="40" t="s">
        <v>348</v>
      </c>
      <c r="B155" s="46">
        <f ca="1">Expense!A122</f>
        <v>4061.2586035363602</v>
      </c>
      <c r="C155" s="46">
        <f ca="1">Income!A122</f>
        <v>5312</v>
      </c>
    </row>
    <row r="156" spans="1:3">
      <c r="A156" s="40" t="s">
        <v>349</v>
      </c>
      <c r="B156" s="46">
        <f ca="1">Expense!A123</f>
        <v>4291.2991399719604</v>
      </c>
      <c r="C156" s="46">
        <f ca="1">Income!A123</f>
        <v>4044</v>
      </c>
    </row>
    <row r="157" spans="1:3">
      <c r="A157" s="40" t="s">
        <v>350</v>
      </c>
      <c r="B157" s="46">
        <f ca="1">Expense!A124</f>
        <v>5121.2619408476603</v>
      </c>
      <c r="C157" s="46">
        <f ca="1">Income!A124</f>
        <v>4291</v>
      </c>
    </row>
    <row r="158" spans="1:3">
      <c r="A158" s="40" t="s">
        <v>351</v>
      </c>
      <c r="B158" s="46">
        <f ca="1">Expense!A125</f>
        <v>5608.37125616299</v>
      </c>
      <c r="C158" s="46">
        <f ca="1">Income!A125</f>
        <v>5121</v>
      </c>
    </row>
    <row r="159" spans="1:3">
      <c r="A159" s="40" t="s">
        <v>352</v>
      </c>
      <c r="B159" s="46">
        <f ca="1">Expense!A126</f>
        <v>4769.0998656828097</v>
      </c>
      <c r="C159" s="46">
        <f ca="1">Income!A126</f>
        <v>5121</v>
      </c>
    </row>
    <row r="160" spans="1:3">
      <c r="A160" s="40" t="s">
        <v>353</v>
      </c>
      <c r="B160" s="46">
        <f ca="1">Expense!A127</f>
        <v>6140.6205519058203</v>
      </c>
      <c r="C160" s="46">
        <f ca="1">Income!A127</f>
        <v>4769</v>
      </c>
    </row>
    <row r="161" spans="1:3">
      <c r="A161" s="40" t="s">
        <v>354</v>
      </c>
      <c r="B161" s="46">
        <f ca="1">Expense!A128</f>
        <v>7447.3937250196404</v>
      </c>
      <c r="C161" s="40">
        <f ca="1">Income!A128</f>
        <v>6114</v>
      </c>
    </row>
    <row r="162" spans="1:3">
      <c r="A162" s="40" t="s">
        <v>355</v>
      </c>
      <c r="B162" s="46">
        <f ca="1">Expense!A129</f>
        <v>6953.6894172597604</v>
      </c>
      <c r="C162" s="46">
        <f ca="1">Income!A129</f>
        <v>7529</v>
      </c>
    </row>
    <row r="163" spans="1:3">
      <c r="A163" s="40" t="s">
        <v>356</v>
      </c>
      <c r="B163" s="46">
        <f ca="1">Expense!A130</f>
        <v>6136.3588799602203</v>
      </c>
      <c r="C163" s="46">
        <f ca="1">Income!A130</f>
        <v>6937</v>
      </c>
    </row>
    <row r="164" spans="1:3">
      <c r="A164" s="40" t="s">
        <v>357</v>
      </c>
      <c r="B164" s="46">
        <f ca="1">Expense!A131</f>
        <v>6094.9064804073196</v>
      </c>
      <c r="C164" s="46">
        <f ca="1">Income!A131</f>
        <v>6153</v>
      </c>
    </row>
    <row r="165" spans="1:3">
      <c r="A165" s="40" t="s">
        <v>358</v>
      </c>
      <c r="B165" s="46">
        <f ca="1">Expense!A132</f>
        <v>6070.1075304100304</v>
      </c>
      <c r="C165" s="40">
        <f ca="1">Income!A132</f>
        <v>6095</v>
      </c>
    </row>
    <row r="166" spans="1:3">
      <c r="B166" s="46">
        <f ca="1">Expense!A133</f>
        <v>68054.499287100203</v>
      </c>
      <c r="C166" s="40">
        <f ca="1">Income!A133</f>
        <v>61486</v>
      </c>
    </row>
    <row r="167" spans="1:3">
      <c r="B167" s="40">
        <f>Expense!A134</f>
        <v>0</v>
      </c>
      <c r="C167" s="46">
        <f ca="1">Income!A134</f>
        <v>-6568.4992871002396</v>
      </c>
    </row>
    <row r="168" spans="1:3">
      <c r="B168" s="40">
        <f>Expense!A135</f>
        <v>0</v>
      </c>
      <c r="C168" s="40">
        <f>Income!A135</f>
        <v>0</v>
      </c>
    </row>
    <row r="169" spans="1:3">
      <c r="B169" s="40">
        <f>Expense!A136</f>
        <v>0</v>
      </c>
      <c r="C169" s="40">
        <f>Income!A136</f>
        <v>0</v>
      </c>
    </row>
    <row r="170" spans="1:3">
      <c r="B170" s="40" t="str">
        <f ca="1">Expense!A137</f>
        <v>F9</v>
      </c>
      <c r="C170" s="40">
        <f>Income!A137</f>
        <v>0</v>
      </c>
    </row>
    <row r="171" spans="1:3">
      <c r="A171" s="40" t="s">
        <v>347</v>
      </c>
      <c r="B171" s="46">
        <f ca="1">Expense!A138</f>
        <v>5560.8699015810698</v>
      </c>
      <c r="C171" s="40">
        <f>Income!A138</f>
        <v>0</v>
      </c>
    </row>
    <row r="172" spans="1:3">
      <c r="A172" s="40" t="s">
        <v>348</v>
      </c>
      <c r="B172" s="46">
        <f ca="1">Expense!A139</f>
        <v>4332.2057165152501</v>
      </c>
      <c r="C172" s="46">
        <f ca="1">Income!A139</f>
        <v>5516</v>
      </c>
    </row>
    <row r="173" spans="1:3">
      <c r="A173" s="40" t="s">
        <v>349</v>
      </c>
      <c r="B173" s="46">
        <f ca="1">Expense!A140</f>
        <v>4566.8366703206602</v>
      </c>
      <c r="C173" s="46">
        <f ca="1">Income!A140</f>
        <v>4310</v>
      </c>
    </row>
    <row r="174" spans="1:3">
      <c r="A174" s="40" t="s">
        <v>350</v>
      </c>
      <c r="B174" s="46">
        <f ca="1">Expense!A141</f>
        <v>5433.8113721070604</v>
      </c>
      <c r="C174" s="46">
        <f ca="1">Income!A141</f>
        <v>4567</v>
      </c>
    </row>
    <row r="175" spans="1:3">
      <c r="A175" s="40" t="s">
        <v>351</v>
      </c>
      <c r="B175" s="46">
        <f ca="1">Expense!A142</f>
        <v>5943.91694380422</v>
      </c>
      <c r="C175" s="46">
        <f ca="1">Income!A142</f>
        <v>5434</v>
      </c>
    </row>
    <row r="176" spans="1:3">
      <c r="A176" s="40" t="s">
        <v>352</v>
      </c>
      <c r="B176" s="46">
        <f ca="1">Expense!A143</f>
        <v>5031.0762115635198</v>
      </c>
      <c r="C176" s="46">
        <f ca="1">Income!A143</f>
        <v>5434</v>
      </c>
    </row>
    <row r="177" spans="1:3">
      <c r="A177" s="40" t="s">
        <v>353</v>
      </c>
      <c r="B177" s="46">
        <f ca="1">Expense!A144</f>
        <v>6457.3495806547198</v>
      </c>
      <c r="C177" s="46">
        <f ca="1">Income!A144</f>
        <v>5031</v>
      </c>
    </row>
    <row r="178" spans="1:3">
      <c r="A178" s="40" t="s">
        <v>354</v>
      </c>
      <c r="B178" s="46">
        <f ca="1">Expense!A145</f>
        <v>6751.7579039622597</v>
      </c>
      <c r="C178" s="40">
        <f ca="1">Income!A145</f>
        <v>6231</v>
      </c>
    </row>
    <row r="179" spans="1:3">
      <c r="A179" s="40" t="s">
        <v>355</v>
      </c>
      <c r="B179" s="46">
        <f ca="1">Expense!A146</f>
        <v>5113.0447351740904</v>
      </c>
      <c r="C179" s="46">
        <f ca="1">Income!A146</f>
        <v>6883</v>
      </c>
    </row>
    <row r="180" spans="1:3">
      <c r="A180" s="40" t="s">
        <v>356</v>
      </c>
      <c r="B180" s="46">
        <f ca="1">Expense!A147</f>
        <v>5018.7498458089003</v>
      </c>
      <c r="C180" s="46">
        <f ca="1">Income!A147</f>
        <v>5090</v>
      </c>
    </row>
    <row r="181" spans="1:3">
      <c r="A181" s="40" t="s">
        <v>357</v>
      </c>
      <c r="B181" s="46">
        <f ca="1">Expense!A148</f>
        <v>4824.3741208421097</v>
      </c>
      <c r="C181" s="46">
        <f ca="1">Income!A148</f>
        <v>5041</v>
      </c>
    </row>
    <row r="182" spans="1:3">
      <c r="A182" s="40" t="s">
        <v>358</v>
      </c>
      <c r="B182" s="46">
        <f ca="1">Expense!A149</f>
        <v>4867.2645902905197</v>
      </c>
      <c r="C182" s="40">
        <f ca="1">Income!A149</f>
        <v>4824</v>
      </c>
    </row>
    <row r="183" spans="1:3">
      <c r="B183" s="46">
        <f ca="1">Expense!A150</f>
        <v>63901.257592624403</v>
      </c>
      <c r="C183" s="40">
        <f ca="1">Income!A150</f>
        <v>58361</v>
      </c>
    </row>
    <row r="184" spans="1:3">
      <c r="B184" s="40">
        <f>Expense!A151</f>
        <v>0</v>
      </c>
      <c r="C184" s="46">
        <f ca="1">Income!A151</f>
        <v>-5540.2575926244199</v>
      </c>
    </row>
    <row r="185" spans="1:3">
      <c r="B185" s="40">
        <f>Expense!A152</f>
        <v>0</v>
      </c>
      <c r="C185" s="40">
        <f>Income!A152</f>
        <v>0</v>
      </c>
    </row>
    <row r="186" spans="1:3">
      <c r="B186" s="40">
        <f>Expense!A153</f>
        <v>0</v>
      </c>
      <c r="C186" s="40">
        <f>Income!A153</f>
        <v>0</v>
      </c>
    </row>
    <row r="187" spans="1:3">
      <c r="B187" s="40" t="str">
        <f ca="1">Expense!A154</f>
        <v>F10</v>
      </c>
      <c r="C187" s="40">
        <f>Income!A154</f>
        <v>0</v>
      </c>
    </row>
    <row r="188" spans="1:3">
      <c r="A188" s="40" t="s">
        <v>347</v>
      </c>
      <c r="B188" s="46">
        <f ca="1">Expense!A155</f>
        <v>6639.14171733071</v>
      </c>
      <c r="C188" s="40">
        <f>Income!A155</f>
        <v>0</v>
      </c>
    </row>
    <row r="189" spans="1:3">
      <c r="A189" s="40" t="s">
        <v>348</v>
      </c>
      <c r="B189" s="46">
        <f ca="1">Expense!A156</f>
        <v>4263.0902570985099</v>
      </c>
      <c r="C189" s="46">
        <f ca="1">Income!A156</f>
        <v>5600</v>
      </c>
    </row>
    <row r="190" spans="1:3">
      <c r="A190" s="40" t="s">
        <v>349</v>
      </c>
      <c r="B190" s="46">
        <f ca="1">Expense!A157</f>
        <v>4536.4368313551504</v>
      </c>
      <c r="C190" s="46">
        <f ca="1">Income!A157</f>
        <v>4246</v>
      </c>
    </row>
    <row r="191" spans="1:3">
      <c r="A191" s="40" t="s">
        <v>350</v>
      </c>
      <c r="B191" s="46">
        <f ca="1">Expense!A158</f>
        <v>5398.3315427309699</v>
      </c>
      <c r="C191" s="46">
        <f ca="1">Income!A158</f>
        <v>4536</v>
      </c>
    </row>
    <row r="192" spans="1:3">
      <c r="A192" s="40" t="s">
        <v>351</v>
      </c>
      <c r="B192" s="46">
        <f ca="1">Expense!A159</f>
        <v>5793.8187437924698</v>
      </c>
      <c r="C192" s="46">
        <f ca="1">Income!A159</f>
        <v>1057</v>
      </c>
    </row>
    <row r="193" spans="1:3">
      <c r="A193" s="40" t="s">
        <v>352</v>
      </c>
      <c r="B193" s="46">
        <f ca="1">Expense!A160</f>
        <v>5053.9620373547205</v>
      </c>
      <c r="C193" s="46">
        <f ca="1">Income!A160</f>
        <v>0</v>
      </c>
    </row>
    <row r="194" spans="1:3">
      <c r="A194" s="40" t="s">
        <v>353</v>
      </c>
      <c r="B194" s="46">
        <f ca="1">Expense!A161</f>
        <v>6328.3275677505999</v>
      </c>
      <c r="C194" s="46">
        <f ca="1">Income!A161</f>
        <v>5794</v>
      </c>
    </row>
    <row r="195" spans="1:3">
      <c r="A195" s="40" t="s">
        <v>354</v>
      </c>
      <c r="B195" s="46">
        <f ca="1">Expense!A162</f>
        <v>6735.5787604765701</v>
      </c>
      <c r="C195" s="40">
        <f ca="1">Income!A162</f>
        <v>0</v>
      </c>
    </row>
    <row r="196" spans="1:3">
      <c r="A196" s="40" t="s">
        <v>355</v>
      </c>
      <c r="B196" s="46">
        <f ca="1">Expense!A163</f>
        <v>5048.5722078659501</v>
      </c>
      <c r="C196" s="46">
        <f ca="1">Income!A163</f>
        <v>0</v>
      </c>
    </row>
    <row r="197" spans="1:3">
      <c r="A197" s="40" t="s">
        <v>356</v>
      </c>
      <c r="B197" s="46">
        <f ca="1">Expense!A164</f>
        <v>5596.4422536526999</v>
      </c>
      <c r="C197" s="46">
        <f ca="1">Income!A164</f>
        <v>6114</v>
      </c>
    </row>
    <row r="198" spans="1:3">
      <c r="A198" s="40" t="s">
        <v>357</v>
      </c>
      <c r="B198" s="46">
        <f ca="1">Expense!A165</f>
        <v>5596.5512651706604</v>
      </c>
      <c r="C198" s="40">
        <f ca="1">Income!A165</f>
        <v>0</v>
      </c>
    </row>
    <row r="199" spans="1:3">
      <c r="A199" s="40" t="s">
        <v>358</v>
      </c>
      <c r="B199" s="46">
        <f ca="1">Expense!A166</f>
        <v>5107.2724102297998</v>
      </c>
      <c r="C199" s="46">
        <f ca="1">Income!A166</f>
        <v>5614</v>
      </c>
    </row>
    <row r="200" spans="1:3">
      <c r="B200" s="46">
        <f ca="1">Expense!A167</f>
        <v>66097.525594808802</v>
      </c>
      <c r="C200" s="40">
        <f ca="1">Income!A167</f>
        <v>32961</v>
      </c>
    </row>
    <row r="201" spans="1:3">
      <c r="B201" s="40">
        <f>Expense!A168</f>
        <v>0</v>
      </c>
      <c r="C201" s="46">
        <f ca="1">Income!A168</f>
        <v>-33136.525594808802</v>
      </c>
    </row>
    <row r="202" spans="1:3">
      <c r="B202" s="40">
        <f>Expense!A169</f>
        <v>0</v>
      </c>
      <c r="C202" s="40">
        <f>Income!A169</f>
        <v>0</v>
      </c>
    </row>
    <row r="203" spans="1:3">
      <c r="B203" s="40">
        <f>Expense!A170</f>
        <v>0</v>
      </c>
      <c r="C203" s="40">
        <f>Income!A170</f>
        <v>0</v>
      </c>
    </row>
    <row r="204" spans="1:3">
      <c r="B204" s="40" t="str">
        <f ca="1">Expense!A171</f>
        <v>F11</v>
      </c>
      <c r="C204" s="40">
        <f>Income!A171</f>
        <v>0</v>
      </c>
    </row>
    <row r="205" spans="1:3">
      <c r="A205" s="40" t="s">
        <v>347</v>
      </c>
      <c r="B205" s="46">
        <f ca="1">Expense!A172</f>
        <v>5386.8806251254</v>
      </c>
      <c r="C205" s="40">
        <f>Income!A172</f>
        <v>0</v>
      </c>
    </row>
    <row r="206" spans="1:3">
      <c r="A206" s="40" t="s">
        <v>348</v>
      </c>
      <c r="B206" s="46">
        <f ca="1">Expense!A173</f>
        <v>4288.7505299328004</v>
      </c>
      <c r="C206" s="46">
        <f ca="1">Income!A173</f>
        <v>5340</v>
      </c>
    </row>
    <row r="207" spans="1:3">
      <c r="A207" s="40" t="s">
        <v>349</v>
      </c>
      <c r="B207" s="46">
        <f ca="1">Expense!A174</f>
        <v>4584.2604191693299</v>
      </c>
      <c r="C207" s="46">
        <f ca="1">Income!A174</f>
        <v>4272</v>
      </c>
    </row>
    <row r="208" spans="1:3">
      <c r="A208" s="40" t="s">
        <v>350</v>
      </c>
      <c r="B208" s="46">
        <f ca="1">Expense!A175</f>
        <v>5217.9319532866903</v>
      </c>
      <c r="C208" s="46">
        <f ca="1">Income!A175</f>
        <v>4584</v>
      </c>
    </row>
    <row r="209" spans="1:3">
      <c r="A209" s="40" t="s">
        <v>351</v>
      </c>
      <c r="B209" s="46">
        <f ca="1">Expense!A176</f>
        <v>5706.2982028680599</v>
      </c>
      <c r="C209" s="46">
        <f ca="1">Income!A176</f>
        <v>5218</v>
      </c>
    </row>
    <row r="210" spans="1:3">
      <c r="A210" s="40" t="s">
        <v>352</v>
      </c>
      <c r="B210" s="46">
        <f ca="1">Expense!A177</f>
        <v>4795.7736817577597</v>
      </c>
      <c r="C210" s="46">
        <f ca="1">Income!A177</f>
        <v>5218</v>
      </c>
    </row>
    <row r="211" spans="1:3">
      <c r="A211" s="40" t="s">
        <v>353</v>
      </c>
      <c r="B211" s="46">
        <f ca="1">Expense!A178</f>
        <v>6113.6838247523301</v>
      </c>
      <c r="C211" s="46">
        <f ca="1">Income!A178</f>
        <v>4780</v>
      </c>
    </row>
    <row r="212" spans="1:3">
      <c r="A212" s="40" t="s">
        <v>354</v>
      </c>
      <c r="B212" s="46">
        <f ca="1">Expense!A179</f>
        <v>6521.85511899007</v>
      </c>
      <c r="C212" s="46">
        <f ca="1">Income!A179</f>
        <v>6114</v>
      </c>
    </row>
    <row r="213" spans="1:3">
      <c r="A213" s="40" t="s">
        <v>355</v>
      </c>
      <c r="B213" s="46">
        <f ca="1">Expense!A180</f>
        <v>4910.8619828082701</v>
      </c>
      <c r="C213" s="46">
        <f ca="1">Income!A180</f>
        <v>6604</v>
      </c>
    </row>
    <row r="214" spans="1:3">
      <c r="A214" s="40" t="s">
        <v>356</v>
      </c>
      <c r="B214" s="46">
        <f ca="1">Expense!A181</f>
        <v>4777.6410786358401</v>
      </c>
      <c r="C214" s="46">
        <f ca="1">Income!A181</f>
        <v>4894</v>
      </c>
    </row>
    <row r="215" spans="1:3">
      <c r="A215" s="40" t="s">
        <v>357</v>
      </c>
      <c r="B215" s="46">
        <f ca="1">Expense!A182</f>
        <v>4568.9316345859197</v>
      </c>
      <c r="C215" s="46">
        <f ca="1">Income!A182</f>
        <v>4778</v>
      </c>
    </row>
    <row r="216" spans="1:3">
      <c r="A216" s="40" t="s">
        <v>358</v>
      </c>
      <c r="B216" s="46">
        <f ca="1">Expense!A183</f>
        <v>4690.0984080459602</v>
      </c>
      <c r="C216" s="40">
        <f ca="1">Income!A183</f>
        <v>4569</v>
      </c>
    </row>
    <row r="217" spans="1:3">
      <c r="B217" s="46">
        <f ca="1">Expense!A184</f>
        <v>61562.967459958403</v>
      </c>
      <c r="C217" s="40">
        <f ca="1">Income!A184</f>
        <v>56371</v>
      </c>
    </row>
    <row r="218" spans="1:3">
      <c r="B218" s="40">
        <f>Expense!A185</f>
        <v>0</v>
      </c>
      <c r="C218" s="46">
        <f ca="1">Income!A185</f>
        <v>-5191.9674599584696</v>
      </c>
    </row>
    <row r="219" spans="1:3">
      <c r="B219" s="40">
        <f>Expense!A186</f>
        <v>0</v>
      </c>
      <c r="C219" s="40">
        <f>Income!A186</f>
        <v>0</v>
      </c>
    </row>
    <row r="220" spans="1:3">
      <c r="B220" s="40">
        <f>Expense!A187</f>
        <v>0</v>
      </c>
      <c r="C220" s="40">
        <f>Income!A187</f>
        <v>0</v>
      </c>
    </row>
    <row r="221" spans="1:3">
      <c r="B221" s="40" t="str">
        <f ca="1">Expense!A188</f>
        <v>F12</v>
      </c>
      <c r="C221" s="40">
        <f>Income!A188</f>
        <v>0</v>
      </c>
    </row>
    <row r="222" spans="1:3">
      <c r="A222" s="40" t="s">
        <v>347</v>
      </c>
      <c r="B222" s="46">
        <f ca="1">Expense!A189</f>
        <v>5334.5148437500002</v>
      </c>
      <c r="C222" s="40">
        <f>Income!A189</f>
        <v>0</v>
      </c>
    </row>
    <row r="223" spans="1:3">
      <c r="A223" s="40" t="s">
        <v>348</v>
      </c>
      <c r="B223" s="46">
        <f ca="1">Expense!A190</f>
        <v>4030.4954355361601</v>
      </c>
      <c r="C223" s="46">
        <f ca="1">Income!A190</f>
        <v>5286</v>
      </c>
    </row>
    <row r="224" spans="1:3">
      <c r="A224" s="40" t="s">
        <v>349</v>
      </c>
      <c r="B224" s="46">
        <f ca="1">Expense!A191</f>
        <v>4272.8636485156203</v>
      </c>
      <c r="C224" s="46">
        <f ca="1">Income!A191</f>
        <v>4013</v>
      </c>
    </row>
    <row r="225" spans="1:3">
      <c r="A225" s="40" t="s">
        <v>350</v>
      </c>
      <c r="B225" s="46">
        <f ca="1">Expense!A192</f>
        <v>5108.0058850374598</v>
      </c>
      <c r="C225" s="46">
        <f ca="1">Income!A192</f>
        <v>4273</v>
      </c>
    </row>
    <row r="226" spans="1:3">
      <c r="A226" s="40" t="s">
        <v>351</v>
      </c>
      <c r="B226" s="46">
        <f ca="1">Expense!A193</f>
        <v>5588.0031627974504</v>
      </c>
      <c r="C226" s="46">
        <f ca="1">Income!A193</f>
        <v>5108</v>
      </c>
    </row>
    <row r="227" spans="1:3">
      <c r="A227" s="40" t="s">
        <v>352</v>
      </c>
      <c r="B227" s="46">
        <f ca="1">Expense!A194</f>
        <v>4740.6530485393696</v>
      </c>
      <c r="C227" s="46">
        <f ca="1">Income!A194</f>
        <v>5108</v>
      </c>
    </row>
    <row r="228" spans="1:3">
      <c r="A228" s="40" t="s">
        <v>353</v>
      </c>
      <c r="B228" s="46">
        <f ca="1">Expense!A195</f>
        <v>6113.6838247523301</v>
      </c>
      <c r="C228" s="46">
        <f ca="1">Income!A195</f>
        <v>4741</v>
      </c>
    </row>
    <row r="229" spans="1:3">
      <c r="A229" s="40" t="s">
        <v>354</v>
      </c>
      <c r="B229" s="46">
        <f ca="1">Expense!A196</f>
        <v>7232.8469521545003</v>
      </c>
      <c r="C229" s="46">
        <f ca="1">Income!A196</f>
        <v>6114</v>
      </c>
    </row>
    <row r="230" spans="1:3">
      <c r="A230" s="40" t="s">
        <v>355</v>
      </c>
      <c r="B230" s="46">
        <f ca="1">Expense!A197</f>
        <v>4867.9926011036696</v>
      </c>
      <c r="C230" s="46">
        <f ca="1">Income!A197</f>
        <v>7315</v>
      </c>
    </row>
    <row r="231" spans="1:3">
      <c r="A231" s="40" t="s">
        <v>356</v>
      </c>
      <c r="B231" s="46">
        <f ca="1">Expense!A198</f>
        <v>4735.2182626690101</v>
      </c>
      <c r="C231" s="46">
        <f ca="1">Income!A198</f>
        <v>4851</v>
      </c>
    </row>
    <row r="232" spans="1:3">
      <c r="A232" s="40" t="s">
        <v>357</v>
      </c>
      <c r="B232" s="46">
        <f ca="1">Expense!A199</f>
        <v>4448.9544834333801</v>
      </c>
      <c r="C232" s="46">
        <f ca="1">Income!A199</f>
        <v>5215</v>
      </c>
    </row>
    <row r="233" spans="1:3">
      <c r="A233" s="40" t="s">
        <v>358</v>
      </c>
      <c r="B233" s="46">
        <f ca="1">Expense!A200</f>
        <v>5959.1596246376102</v>
      </c>
      <c r="C233" s="40">
        <f ca="1">Income!A200</f>
        <v>4449</v>
      </c>
    </row>
    <row r="234" spans="1:3">
      <c r="B234" s="46">
        <f ca="1">Expense!A201</f>
        <v>62432.391772926603</v>
      </c>
      <c r="C234" s="40">
        <f ca="1">Income!A201</f>
        <v>56473</v>
      </c>
    </row>
    <row r="235" spans="1:3">
      <c r="B235" s="40">
        <f>Expense!A202</f>
        <v>0</v>
      </c>
      <c r="C235" s="46">
        <f ca="1">Income!A202</f>
        <v>-5959.3917729266104</v>
      </c>
    </row>
    <row r="236" spans="1:3">
      <c r="B236" s="40">
        <f>Expense!A203</f>
        <v>0</v>
      </c>
      <c r="C236" s="40">
        <f>Income!A203</f>
        <v>0</v>
      </c>
    </row>
    <row r="237" spans="1:3">
      <c r="B237" s="40">
        <f>Expense!A204</f>
        <v>0</v>
      </c>
      <c r="C237" s="40">
        <f>Income!A204</f>
        <v>0</v>
      </c>
    </row>
    <row r="238" spans="1:3">
      <c r="B238" s="40" t="str">
        <f ca="1">Expense!A205</f>
        <v>F13</v>
      </c>
      <c r="C238" s="40">
        <f>Income!A205</f>
        <v>0</v>
      </c>
    </row>
    <row r="239" spans="1:3">
      <c r="A239" s="40" t="s">
        <v>347</v>
      </c>
      <c r="B239" s="46">
        <f ca="1">Expense!A206</f>
        <v>5473.6278925312699</v>
      </c>
      <c r="C239" s="40">
        <f>Income!A206</f>
        <v>0</v>
      </c>
    </row>
    <row r="240" spans="1:3">
      <c r="A240" s="40" t="s">
        <v>348</v>
      </c>
      <c r="B240" s="46">
        <f ca="1">Expense!A207</f>
        <v>6298.0136749165204</v>
      </c>
      <c r="C240" s="40">
        <f ca="1">Income!A207</f>
        <v>5426</v>
      </c>
    </row>
    <row r="241" spans="1:3">
      <c r="A241" s="40" t="s">
        <v>349</v>
      </c>
      <c r="B241" s="46">
        <f ca="1">Expense!A208</f>
        <v>5598.2208998237102</v>
      </c>
      <c r="C241" s="40">
        <f ca="1">Income!A208</f>
        <v>6275</v>
      </c>
    </row>
    <row r="242" spans="1:3">
      <c r="A242" s="40" t="s">
        <v>350</v>
      </c>
      <c r="B242" s="46">
        <f ca="1">Expense!A209</f>
        <v>6235.7125713738596</v>
      </c>
      <c r="C242" s="40">
        <f ca="1">Income!A209</f>
        <v>5598.22</v>
      </c>
    </row>
    <row r="243" spans="1:3">
      <c r="A243" s="40" t="s">
        <v>351</v>
      </c>
      <c r="B243" s="46">
        <f ca="1">Expense!A210</f>
        <v>6252.7737307554798</v>
      </c>
      <c r="C243" s="40">
        <f ca="1">Income!A210</f>
        <v>0</v>
      </c>
    </row>
    <row r="244" spans="1:3">
      <c r="A244" s="40" t="s">
        <v>352</v>
      </c>
      <c r="B244" s="46">
        <f ca="1">Expense!A211</f>
        <v>5225.7911289082704</v>
      </c>
      <c r="C244" s="40">
        <f ca="1">Income!A211</f>
        <v>12506.48</v>
      </c>
    </row>
    <row r="245" spans="1:3">
      <c r="A245" s="40" t="s">
        <v>353</v>
      </c>
      <c r="B245" s="46">
        <f ca="1">Expense!A212</f>
        <v>6402.94482995416</v>
      </c>
      <c r="C245" s="46">
        <f ca="1">Income!A212</f>
        <v>5226</v>
      </c>
    </row>
    <row r="246" spans="1:3">
      <c r="A246" s="40" t="s">
        <v>354</v>
      </c>
      <c r="B246" s="46">
        <f ca="1">Expense!A213</f>
        <v>7071.9560102491296</v>
      </c>
      <c r="C246" s="40">
        <f ca="1">Income!A213</f>
        <v>0</v>
      </c>
    </row>
    <row r="247" spans="1:3">
      <c r="A247" s="40" t="s">
        <v>355</v>
      </c>
      <c r="B247" s="46">
        <f ca="1">Expense!A214</f>
        <v>5145.8688162152303</v>
      </c>
      <c r="C247" s="40">
        <f ca="1">Income!A214</f>
        <v>13384.67</v>
      </c>
    </row>
    <row r="248" spans="1:3">
      <c r="A248" s="40" t="s">
        <v>356</v>
      </c>
      <c r="B248" s="46">
        <f ca="1">Expense!A215</f>
        <v>4968.0131971416604</v>
      </c>
      <c r="C248" s="40">
        <f ca="1">Income!A215</f>
        <v>0</v>
      </c>
    </row>
    <row r="249" spans="1:3">
      <c r="A249" s="40" t="s">
        <v>357</v>
      </c>
      <c r="B249" s="46">
        <f ca="1">Expense!A216</f>
        <v>4751.2305896984099</v>
      </c>
      <c r="C249" s="40">
        <f ca="1">Income!A216</f>
        <v>5123.2</v>
      </c>
    </row>
    <row r="250" spans="1:3">
      <c r="A250" s="40" t="s">
        <v>358</v>
      </c>
      <c r="B250" s="46">
        <f ca="1">Expense!A217</f>
        <v>4933.6975155746804</v>
      </c>
      <c r="C250" s="40">
        <f ca="1">Income!A217</f>
        <v>9742</v>
      </c>
    </row>
    <row r="251" spans="1:3">
      <c r="B251" s="46">
        <f ca="1">Expense!A218</f>
        <v>68357.850857142403</v>
      </c>
      <c r="C251" s="40">
        <f ca="1">Income!A218</f>
        <v>63281.569999999898</v>
      </c>
    </row>
    <row r="252" spans="1:3">
      <c r="B252" s="40">
        <f>Expense!A219</f>
        <v>0</v>
      </c>
      <c r="C252" s="46">
        <f ca="1">Income!A219</f>
        <v>-5076.2808571424503</v>
      </c>
    </row>
    <row r="253" spans="1:3">
      <c r="B253" s="40">
        <f>Expense!A220</f>
        <v>0</v>
      </c>
      <c r="C253" s="40">
        <f>Income!A220</f>
        <v>0</v>
      </c>
    </row>
    <row r="254" spans="1:3">
      <c r="B254" s="40">
        <f>Expense!A221</f>
        <v>0</v>
      </c>
      <c r="C254" s="40">
        <f>Income!A221</f>
        <v>0</v>
      </c>
    </row>
    <row r="255" spans="1:3">
      <c r="B255" s="40" t="str">
        <f ca="1">Expense!A222</f>
        <v>F14</v>
      </c>
      <c r="C255" s="40">
        <f>Income!A222</f>
        <v>0</v>
      </c>
    </row>
    <row r="256" spans="1:3">
      <c r="A256" s="40" t="s">
        <v>347</v>
      </c>
      <c r="B256" s="46">
        <f ca="1">Expense!A223</f>
        <v>6196.8277234776497</v>
      </c>
      <c r="C256" s="40">
        <f>Income!A223</f>
        <v>0</v>
      </c>
    </row>
    <row r="257" spans="1:3">
      <c r="A257" s="40" t="s">
        <v>348</v>
      </c>
      <c r="B257" s="46">
        <f ca="1">Expense!A224</f>
        <v>4914.1017700496895</v>
      </c>
      <c r="C257" s="46">
        <f ca="1">Income!A224</f>
        <v>6148</v>
      </c>
    </row>
    <row r="258" spans="1:3">
      <c r="A258" s="40" t="s">
        <v>349</v>
      </c>
      <c r="B258" s="46">
        <f ca="1">Expense!A225</f>
        <v>5391.2056936785502</v>
      </c>
      <c r="C258" s="46">
        <f ca="1">Income!A225</f>
        <v>4891</v>
      </c>
    </row>
    <row r="259" spans="1:3">
      <c r="A259" s="40" t="s">
        <v>350</v>
      </c>
      <c r="B259" s="46">
        <f ca="1">Expense!A226</f>
        <v>5438.8162095047901</v>
      </c>
      <c r="C259" s="46">
        <f ca="1">Income!A226</f>
        <v>5391</v>
      </c>
    </row>
    <row r="260" spans="1:3">
      <c r="A260" s="40" t="s">
        <v>351</v>
      </c>
      <c r="B260" s="46">
        <f ca="1">Expense!A227</f>
        <v>5882.5458327901497</v>
      </c>
      <c r="C260" s="46">
        <f ca="1">Income!A227</f>
        <v>5439</v>
      </c>
    </row>
    <row r="261" spans="1:3">
      <c r="A261" s="40" t="s">
        <v>352</v>
      </c>
      <c r="B261" s="46">
        <f ca="1">Expense!A228</f>
        <v>4974.8523776802804</v>
      </c>
      <c r="C261" s="46">
        <f ca="1">Income!A228</f>
        <v>5439</v>
      </c>
    </row>
    <row r="262" spans="1:3">
      <c r="A262" s="40" t="s">
        <v>353</v>
      </c>
      <c r="B262" s="46">
        <f ca="1">Expense!A229</f>
        <v>6442.6326705531001</v>
      </c>
      <c r="C262" s="46">
        <f ca="1">Income!A229</f>
        <v>4975</v>
      </c>
    </row>
    <row r="263" spans="1:3">
      <c r="A263" s="40" t="s">
        <v>354</v>
      </c>
      <c r="B263" s="46">
        <f ca="1">Expense!A230</f>
        <v>7102.4602907512799</v>
      </c>
      <c r="C263" s="40">
        <f ca="1">Income!A230</f>
        <v>6231</v>
      </c>
    </row>
    <row r="264" spans="1:3">
      <c r="A264" s="40" t="s">
        <v>355</v>
      </c>
      <c r="B264" s="46">
        <f ca="1">Expense!A231</f>
        <v>5657.0944462238704</v>
      </c>
      <c r="C264" s="46">
        <f ca="1">Income!A231</f>
        <v>0</v>
      </c>
    </row>
    <row r="265" spans="1:3">
      <c r="A265" s="40" t="s">
        <v>356</v>
      </c>
      <c r="B265" s="46">
        <f ca="1">Expense!A232</f>
        <v>5455.2631779050598</v>
      </c>
      <c r="C265" s="46">
        <f ca="1">Income!A232</f>
        <v>5438</v>
      </c>
    </row>
    <row r="266" spans="1:3">
      <c r="A266" s="40" t="s">
        <v>357</v>
      </c>
      <c r="B266" s="46">
        <f ca="1">Expense!A233</f>
        <v>5270.0106043687001</v>
      </c>
      <c r="C266" s="46">
        <f ca="1">Income!A233</f>
        <v>5478</v>
      </c>
    </row>
    <row r="267" spans="1:3">
      <c r="A267" s="40" t="s">
        <v>358</v>
      </c>
      <c r="B267" s="46">
        <f ca="1">Expense!A234</f>
        <v>5305.4476733731499</v>
      </c>
      <c r="C267" s="40">
        <f ca="1">Income!A234</f>
        <v>0</v>
      </c>
    </row>
    <row r="268" spans="1:3">
      <c r="B268" s="46">
        <f ca="1">Expense!A235</f>
        <v>68031.258470356304</v>
      </c>
      <c r="C268" s="40">
        <f ca="1">Income!A235</f>
        <v>49430</v>
      </c>
    </row>
    <row r="269" spans="1:3">
      <c r="B269" s="40">
        <f>Expense!A236</f>
        <v>0</v>
      </c>
      <c r="C269" s="46">
        <f ca="1">Income!A236</f>
        <v>-18601.258470356301</v>
      </c>
    </row>
    <row r="270" spans="1:3">
      <c r="B270" s="40">
        <f>Expense!A237</f>
        <v>0</v>
      </c>
      <c r="C270" s="40">
        <f>Income!A237</f>
        <v>0</v>
      </c>
    </row>
    <row r="271" spans="1:3">
      <c r="B271" s="40">
        <f>Expense!A238</f>
        <v>0</v>
      </c>
      <c r="C271" s="40">
        <f>Income!A238</f>
        <v>0</v>
      </c>
    </row>
    <row r="272" spans="1:3">
      <c r="B272" s="40" t="str">
        <f ca="1">Expense!A239</f>
        <v>F15</v>
      </c>
      <c r="C272" s="40">
        <f>Income!A239</f>
        <v>0</v>
      </c>
    </row>
    <row r="273" spans="1:3">
      <c r="A273" s="40" t="s">
        <v>347</v>
      </c>
      <c r="B273" s="46">
        <f ca="1">Expense!A240</f>
        <v>6504.5924287517901</v>
      </c>
      <c r="C273" s="40">
        <f>Income!A240</f>
        <v>0</v>
      </c>
    </row>
    <row r="274" spans="1:3">
      <c r="A274" s="40" t="s">
        <v>348</v>
      </c>
      <c r="B274" s="46">
        <f ca="1">Expense!A241</f>
        <v>5488.3475727201203</v>
      </c>
      <c r="C274" s="40">
        <f ca="1">Income!A241</f>
        <v>6465</v>
      </c>
    </row>
    <row r="275" spans="1:3">
      <c r="A275" s="40" t="s">
        <v>349</v>
      </c>
      <c r="B275" s="46">
        <f ca="1">Expense!A242</f>
        <v>5711.67389663617</v>
      </c>
      <c r="C275" s="40">
        <f ca="1">Income!A242</f>
        <v>5466</v>
      </c>
    </row>
    <row r="276" spans="1:3">
      <c r="A276" s="40" t="s">
        <v>350</v>
      </c>
      <c r="B276" s="46">
        <f ca="1">Expense!A243</f>
        <v>6486.5364017318698</v>
      </c>
      <c r="C276" s="40">
        <f ca="1">Income!A243</f>
        <v>5712</v>
      </c>
    </row>
    <row r="277" spans="1:3">
      <c r="A277" s="40" t="s">
        <v>351</v>
      </c>
      <c r="B277" s="46">
        <f ca="1">Expense!A244</f>
        <v>6873.5386230693202</v>
      </c>
      <c r="C277" s="40">
        <f ca="1">Income!A244</f>
        <v>6487</v>
      </c>
    </row>
    <row r="278" spans="1:3">
      <c r="A278" s="40" t="s">
        <v>352</v>
      </c>
      <c r="B278" s="46">
        <f ca="1">Expense!A245</f>
        <v>5910.5840896113104</v>
      </c>
      <c r="C278" s="40">
        <f ca="1">Income!A245</f>
        <v>6487</v>
      </c>
    </row>
    <row r="279" spans="1:3">
      <c r="A279" s="40" t="s">
        <v>353</v>
      </c>
      <c r="B279" s="46">
        <f ca="1">Expense!A246</f>
        <v>6982.3986876213803</v>
      </c>
      <c r="C279" s="46">
        <f ca="1">Income!A246</f>
        <v>5911</v>
      </c>
    </row>
    <row r="280" spans="1:3">
      <c r="A280" s="40" t="s">
        <v>354</v>
      </c>
      <c r="B280" s="46">
        <f ca="1">Expense!A247</f>
        <v>7556.7140283589997</v>
      </c>
      <c r="C280" s="40">
        <f ca="1">Income!A247</f>
        <v>6981</v>
      </c>
    </row>
    <row r="281" spans="1:3">
      <c r="A281" s="40" t="s">
        <v>355</v>
      </c>
      <c r="B281" s="46">
        <f ca="1">Expense!A248</f>
        <v>6043.3413757204899</v>
      </c>
      <c r="C281" s="40">
        <f ca="1">Income!A248</f>
        <v>7638.43</v>
      </c>
    </row>
    <row r="282" spans="1:3">
      <c r="A282" s="40" t="s">
        <v>356</v>
      </c>
      <c r="B282" s="46">
        <f ca="1">Expense!A249</f>
        <v>5888.9292667193204</v>
      </c>
      <c r="C282" s="40">
        <f ca="1">Income!A249</f>
        <v>6020</v>
      </c>
    </row>
    <row r="283" spans="1:3">
      <c r="A283" s="40" t="s">
        <v>357</v>
      </c>
      <c r="B283" s="46">
        <f ca="1">Expense!A250</f>
        <v>5520.0233833661696</v>
      </c>
      <c r="C283" s="40">
        <f ca="1">Income!A250</f>
        <v>5912</v>
      </c>
    </row>
    <row r="284" spans="1:3">
      <c r="A284" s="40" t="s">
        <v>358</v>
      </c>
      <c r="B284" s="46">
        <f ca="1">Expense!A251</f>
        <v>5764.1512380060203</v>
      </c>
      <c r="C284" s="40">
        <f ca="1">Income!A251</f>
        <v>5520</v>
      </c>
    </row>
    <row r="285" spans="1:3">
      <c r="B285" s="46">
        <f ca="1">Expense!A252</f>
        <v>74730.830992312898</v>
      </c>
      <c r="C285" s="40">
        <f ca="1">Income!A252</f>
        <v>68599.429999999993</v>
      </c>
    </row>
    <row r="286" spans="1:3">
      <c r="B286" s="40">
        <f>Expense!A253</f>
        <v>0</v>
      </c>
      <c r="C286" s="46">
        <f ca="1">Income!A253</f>
        <v>-6131.4009923129897</v>
      </c>
    </row>
    <row r="287" spans="1:3">
      <c r="B287" s="40">
        <f>Expense!A254</f>
        <v>0</v>
      </c>
      <c r="C287" s="40">
        <f>Income!A254</f>
        <v>0</v>
      </c>
    </row>
    <row r="288" spans="1:3">
      <c r="B288" s="40">
        <f>Expense!A255</f>
        <v>0</v>
      </c>
      <c r="C288" s="40">
        <f>Income!A255</f>
        <v>0</v>
      </c>
    </row>
    <row r="289" spans="1:3">
      <c r="B289" s="40" t="str">
        <f ca="1">Expense!A256</f>
        <v>F16</v>
      </c>
      <c r="C289" s="40">
        <f>Income!A256</f>
        <v>0</v>
      </c>
    </row>
    <row r="290" spans="1:3">
      <c r="A290" s="40" t="s">
        <v>347</v>
      </c>
      <c r="B290" s="46">
        <f ca="1">Expense!A257</f>
        <v>6525.03905215124</v>
      </c>
      <c r="C290" s="40">
        <f>Income!A257</f>
        <v>0</v>
      </c>
    </row>
    <row r="291" spans="1:3">
      <c r="A291" s="40" t="s">
        <v>348</v>
      </c>
      <c r="B291" s="46">
        <f ca="1">Expense!A258</f>
        <v>5395.8357859274101</v>
      </c>
      <c r="C291" s="40">
        <f ca="1">Income!A258</f>
        <v>0</v>
      </c>
    </row>
    <row r="292" spans="1:3">
      <c r="A292" s="40" t="s">
        <v>349</v>
      </c>
      <c r="B292" s="46">
        <f ca="1">Expense!A259</f>
        <v>5474.6821153599503</v>
      </c>
      <c r="C292" s="40">
        <f ca="1">Income!A259</f>
        <v>0</v>
      </c>
    </row>
    <row r="293" spans="1:3">
      <c r="A293" s="40" t="s">
        <v>350</v>
      </c>
      <c r="B293" s="46">
        <f ca="1">Expense!A260</f>
        <v>6265.0701850422201</v>
      </c>
      <c r="C293" s="40">
        <f ca="1">Income!A260</f>
        <v>0</v>
      </c>
    </row>
    <row r="294" spans="1:3">
      <c r="A294" s="40" t="s">
        <v>351</v>
      </c>
      <c r="B294" s="46">
        <f ca="1">Expense!A261</f>
        <v>7143.84977064334</v>
      </c>
      <c r="C294" s="40">
        <f ca="1">Income!A261</f>
        <v>0</v>
      </c>
    </row>
    <row r="295" spans="1:3">
      <c r="A295" s="40" t="s">
        <v>352</v>
      </c>
      <c r="B295" s="46">
        <f ca="1">Expense!A262</f>
        <v>5924.5843620343903</v>
      </c>
      <c r="C295" s="40">
        <f ca="1">Income!A262</f>
        <v>0</v>
      </c>
    </row>
    <row r="296" spans="1:3">
      <c r="A296" s="40" t="s">
        <v>353</v>
      </c>
      <c r="B296" s="46">
        <f ca="1">Expense!A263</f>
        <v>7483.5784459076403</v>
      </c>
      <c r="C296" s="40">
        <f ca="1">Income!A263</f>
        <v>0</v>
      </c>
    </row>
    <row r="297" spans="1:3">
      <c r="A297" s="40" t="s">
        <v>354</v>
      </c>
      <c r="B297" s="46">
        <f ca="1">Expense!A264</f>
        <v>7797.6119168800496</v>
      </c>
      <c r="C297" s="40">
        <f ca="1">Income!A264</f>
        <v>0</v>
      </c>
    </row>
    <row r="298" spans="1:3">
      <c r="A298" s="40" t="s">
        <v>355</v>
      </c>
      <c r="B298" s="46">
        <f ca="1">Expense!A265</f>
        <v>6641.7663252969296</v>
      </c>
      <c r="C298" s="40">
        <f ca="1">Income!A265</f>
        <v>7879.33</v>
      </c>
    </row>
    <row r="299" spans="1:3">
      <c r="A299" s="40" t="s">
        <v>356</v>
      </c>
      <c r="B299" s="46">
        <f ca="1">Expense!A266</f>
        <v>6039.7476901424898</v>
      </c>
      <c r="C299" s="40">
        <f ca="1">Income!A266</f>
        <v>6624.7</v>
      </c>
    </row>
    <row r="300" spans="1:3">
      <c r="A300" s="40" t="s">
        <v>357</v>
      </c>
      <c r="B300" s="46">
        <f ca="1">Expense!A267</f>
        <v>5903.1210755558996</v>
      </c>
      <c r="C300" s="40">
        <f ca="1">Income!A267</f>
        <v>0</v>
      </c>
    </row>
    <row r="301" spans="1:3">
      <c r="A301" s="40" t="s">
        <v>358</v>
      </c>
      <c r="B301" s="46">
        <f ca="1">Expense!A268</f>
        <v>6071.9209458139303</v>
      </c>
      <c r="C301" s="40">
        <f ca="1">Income!A268</f>
        <v>6057</v>
      </c>
    </row>
    <row r="302" spans="1:3">
      <c r="B302" s="46">
        <f ca="1">Expense!A269</f>
        <v>76666.807670755501</v>
      </c>
      <c r="C302" s="40">
        <f ca="1">Income!A269</f>
        <v>20561.03</v>
      </c>
    </row>
    <row r="303" spans="1:3">
      <c r="B303" s="40">
        <f>Expense!A270</f>
        <v>0</v>
      </c>
      <c r="C303" s="46">
        <f ca="1">Income!A270</f>
        <v>-56105.777670755502</v>
      </c>
    </row>
    <row r="304" spans="1:3">
      <c r="B304" s="40">
        <f>Expense!A271</f>
        <v>0</v>
      </c>
      <c r="C304" s="40">
        <f>Income!A271</f>
        <v>0</v>
      </c>
    </row>
    <row r="305" spans="1:3">
      <c r="B305" s="40">
        <f>Expense!A272</f>
        <v>0</v>
      </c>
      <c r="C305" s="40">
        <f>Income!A272</f>
        <v>0</v>
      </c>
    </row>
    <row r="306" spans="1:3">
      <c r="B306" s="40" t="str">
        <f ca="1">Expense!A273</f>
        <v>G1</v>
      </c>
      <c r="C306" s="40">
        <f>Income!A273</f>
        <v>0</v>
      </c>
    </row>
    <row r="307" spans="1:3">
      <c r="A307" s="40" t="s">
        <v>347</v>
      </c>
      <c r="B307" s="46">
        <f ca="1">Expense!A274</f>
        <v>6324.8865420022003</v>
      </c>
      <c r="C307" s="40">
        <f>Income!A274</f>
        <v>0</v>
      </c>
    </row>
    <row r="308" spans="1:3">
      <c r="A308" s="40" t="s">
        <v>348</v>
      </c>
      <c r="B308" s="46">
        <f ca="1">Expense!A275</f>
        <v>5006.41198626609</v>
      </c>
      <c r="C308" s="46">
        <f ca="1">Income!A275</f>
        <v>0</v>
      </c>
    </row>
    <row r="309" spans="1:3">
      <c r="A309" s="40" t="s">
        <v>349</v>
      </c>
      <c r="B309" s="46">
        <f ca="1">Expense!A276</f>
        <v>5172.2731693391597</v>
      </c>
      <c r="C309" s="46">
        <f ca="1">Income!A276</f>
        <v>11295</v>
      </c>
    </row>
    <row r="310" spans="1:3">
      <c r="A310" s="40" t="s">
        <v>350</v>
      </c>
      <c r="B310" s="46">
        <f ca="1">Expense!A277</f>
        <v>6041.7462244030103</v>
      </c>
      <c r="C310" s="46">
        <f ca="1">Income!A277</f>
        <v>4700</v>
      </c>
    </row>
    <row r="311" spans="1:3">
      <c r="A311" s="40" t="s">
        <v>351</v>
      </c>
      <c r="B311" s="46">
        <f ca="1">Expense!A278</f>
        <v>6533.4740469707704</v>
      </c>
      <c r="C311" s="46">
        <f ca="1">Income!A278</f>
        <v>6042</v>
      </c>
    </row>
    <row r="312" spans="1:3">
      <c r="A312" s="40" t="s">
        <v>352</v>
      </c>
      <c r="B312" s="46">
        <f ca="1">Expense!A279</f>
        <v>5603.4347684939103</v>
      </c>
      <c r="C312" s="46">
        <f ca="1">Income!A279</f>
        <v>6533</v>
      </c>
    </row>
    <row r="313" spans="1:3">
      <c r="A313" s="40" t="s">
        <v>353</v>
      </c>
      <c r="B313" s="46">
        <f ca="1">Expense!A280</f>
        <v>7205.1260060428003</v>
      </c>
      <c r="C313" s="46">
        <f ca="1">Income!A280</f>
        <v>5603</v>
      </c>
    </row>
    <row r="314" spans="1:3">
      <c r="A314" s="40" t="s">
        <v>354</v>
      </c>
      <c r="B314" s="46">
        <f ca="1">Expense!A281</f>
        <v>7153.9231787917897</v>
      </c>
      <c r="C314" s="40">
        <f ca="1">Income!A281</f>
        <v>0</v>
      </c>
    </row>
    <row r="315" spans="1:3">
      <c r="A315" s="40" t="s">
        <v>355</v>
      </c>
      <c r="B315" s="46">
        <f ca="1">Expense!A282</f>
        <v>5557.72275229152</v>
      </c>
      <c r="C315" s="46">
        <f ca="1">Income!A282</f>
        <v>6114</v>
      </c>
    </row>
    <row r="316" spans="1:3">
      <c r="A316" s="40" t="s">
        <v>356</v>
      </c>
      <c r="B316" s="46">
        <f ca="1">Expense!A283</f>
        <v>5447.7211481591803</v>
      </c>
      <c r="C316" s="46">
        <f ca="1">Income!A283</f>
        <v>7235</v>
      </c>
    </row>
    <row r="317" spans="1:3">
      <c r="A317" s="40" t="s">
        <v>357</v>
      </c>
      <c r="B317" s="46">
        <f ca="1">Expense!A284</f>
        <v>5468.3151757483502</v>
      </c>
      <c r="C317" s="40">
        <f ca="1">Income!A284</f>
        <v>5541</v>
      </c>
    </row>
    <row r="318" spans="1:3">
      <c r="A318" s="40" t="s">
        <v>358</v>
      </c>
      <c r="B318" s="46">
        <f ca="1">Expense!A285</f>
        <v>7334.1912902983604</v>
      </c>
      <c r="C318" s="46">
        <f ca="1">Income!A285</f>
        <v>12874</v>
      </c>
    </row>
    <row r="319" spans="1:3">
      <c r="B319" s="46">
        <f ca="1">Expense!A286</f>
        <v>72849.226288807098</v>
      </c>
      <c r="C319" s="40">
        <f ca="1">Income!A286</f>
        <v>65937</v>
      </c>
    </row>
    <row r="320" spans="1:3">
      <c r="B320" s="40">
        <f>Expense!A287</f>
        <v>0</v>
      </c>
      <c r="C320" s="46">
        <f ca="1">Income!A287</f>
        <v>-6912.22628880718</v>
      </c>
    </row>
    <row r="321" spans="1:3">
      <c r="B321" s="40">
        <f>Expense!A288</f>
        <v>0</v>
      </c>
      <c r="C321" s="40">
        <f>Income!A288</f>
        <v>0</v>
      </c>
    </row>
    <row r="322" spans="1:3">
      <c r="B322" s="40">
        <f>Expense!A289</f>
        <v>0</v>
      </c>
      <c r="C322" s="40">
        <f>Income!A289</f>
        <v>0</v>
      </c>
    </row>
    <row r="323" spans="1:3">
      <c r="B323" s="40" t="str">
        <f ca="1">Expense!A290</f>
        <v>G2</v>
      </c>
      <c r="C323" s="40">
        <f>Income!A290</f>
        <v>0</v>
      </c>
    </row>
    <row r="324" spans="1:3">
      <c r="A324" s="40" t="s">
        <v>347</v>
      </c>
      <c r="B324" s="46">
        <f ca="1">Expense!A291</f>
        <v>7311.2141480064502</v>
      </c>
      <c r="C324" s="40">
        <f>Income!A291</f>
        <v>0</v>
      </c>
    </row>
    <row r="325" spans="1:3">
      <c r="A325" s="40" t="s">
        <v>348</v>
      </c>
      <c r="B325" s="46">
        <f ca="1">Expense!A292</f>
        <v>5182.0564571464101</v>
      </c>
      <c r="C325" s="46">
        <f ca="1">Income!A292</f>
        <v>0</v>
      </c>
    </row>
    <row r="326" spans="1:3">
      <c r="A326" s="40" t="s">
        <v>349</v>
      </c>
      <c r="B326" s="46">
        <f ca="1">Expense!A293</f>
        <v>6087.9528327285598</v>
      </c>
      <c r="C326" s="46">
        <f ca="1">Income!A293</f>
        <v>12477</v>
      </c>
    </row>
    <row r="327" spans="1:3">
      <c r="A327" s="40" t="s">
        <v>350</v>
      </c>
      <c r="B327" s="46">
        <f ca="1">Expense!A294</f>
        <v>6478.8755271031696</v>
      </c>
      <c r="C327" s="46">
        <f ca="1">Income!A294</f>
        <v>6087.95</v>
      </c>
    </row>
    <row r="328" spans="1:3">
      <c r="A328" s="40" t="s">
        <v>351</v>
      </c>
      <c r="B328" s="46">
        <f ca="1">Expense!A295</f>
        <v>6772.9161325095301</v>
      </c>
      <c r="C328" s="46">
        <f ca="1">Income!A295</f>
        <v>6478</v>
      </c>
    </row>
    <row r="329" spans="1:3">
      <c r="A329" s="40" t="s">
        <v>352</v>
      </c>
      <c r="B329" s="46">
        <f ca="1">Expense!A296</f>
        <v>5693.2330106116497</v>
      </c>
      <c r="C329" s="46">
        <f ca="1">Income!A296</f>
        <v>6772.92</v>
      </c>
    </row>
    <row r="330" spans="1:3">
      <c r="A330" s="40" t="s">
        <v>353</v>
      </c>
      <c r="B330" s="46">
        <f ca="1">Expense!A297</f>
        <v>7449.9706327430104</v>
      </c>
      <c r="C330" s="46">
        <f ca="1">Income!A297</f>
        <v>7311.21</v>
      </c>
    </row>
    <row r="331" spans="1:3">
      <c r="A331" s="40" t="s">
        <v>354</v>
      </c>
      <c r="B331" s="46">
        <f ca="1">Expense!A298</f>
        <v>8138.6858574600801</v>
      </c>
      <c r="C331" s="46">
        <f ca="1">Income!A298</f>
        <v>6231.38</v>
      </c>
    </row>
    <row r="332" spans="1:3">
      <c r="A332" s="40" t="s">
        <v>355</v>
      </c>
      <c r="B332" s="46">
        <f ca="1">Expense!A299</f>
        <v>5650.3504180789196</v>
      </c>
      <c r="C332" s="46">
        <f ca="1">Income!A299</f>
        <v>8220</v>
      </c>
    </row>
    <row r="333" spans="1:3">
      <c r="A333" s="40" t="s">
        <v>356</v>
      </c>
      <c r="B333" s="46">
        <f ca="1">Expense!A300</f>
        <v>5794.0889757713803</v>
      </c>
      <c r="C333" s="46">
        <f ca="1">Income!A300</f>
        <v>5627.68</v>
      </c>
    </row>
    <row r="334" spans="1:3">
      <c r="A334" s="40" t="s">
        <v>357</v>
      </c>
      <c r="B334" s="46">
        <f ca="1">Expense!A301</f>
        <v>5984.5818562248496</v>
      </c>
      <c r="C334" s="46">
        <f ca="1">Income!A301</f>
        <v>5817</v>
      </c>
    </row>
    <row r="335" spans="1:3">
      <c r="A335" s="40" t="s">
        <v>358</v>
      </c>
      <c r="B335" s="46">
        <f ca="1">Expense!A302</f>
        <v>6120.5115529579398</v>
      </c>
      <c r="C335" s="40">
        <f ca="1">Income!A302</f>
        <v>5984.58</v>
      </c>
    </row>
    <row r="336" spans="1:3">
      <c r="B336" s="46">
        <f ca="1">Expense!A303</f>
        <v>76664.437401342002</v>
      </c>
      <c r="C336" s="40">
        <f ca="1">Income!A303</f>
        <v>71007.72</v>
      </c>
    </row>
    <row r="337" spans="1:3">
      <c r="B337" s="40">
        <f>Expense!A304</f>
        <v>0</v>
      </c>
      <c r="C337" s="46">
        <f ca="1">Income!A304</f>
        <v>-5656.7174013420099</v>
      </c>
    </row>
    <row r="338" spans="1:3">
      <c r="B338" s="40">
        <f>Expense!A305</f>
        <v>0</v>
      </c>
      <c r="C338" s="40">
        <f>Income!A305</f>
        <v>0</v>
      </c>
    </row>
    <row r="339" spans="1:3">
      <c r="B339" s="40">
        <f>Expense!A306</f>
        <v>0</v>
      </c>
      <c r="C339" s="40">
        <f>Income!A306</f>
        <v>0</v>
      </c>
    </row>
    <row r="340" spans="1:3">
      <c r="B340" s="40" t="str">
        <f ca="1">Expense!A307</f>
        <v>G3</v>
      </c>
      <c r="C340" s="40">
        <f>Income!A307</f>
        <v>0</v>
      </c>
    </row>
    <row r="341" spans="1:3">
      <c r="A341" s="40" t="s">
        <v>347</v>
      </c>
      <c r="B341" s="46">
        <f ca="1">Expense!A308</f>
        <v>6559.26621859022</v>
      </c>
      <c r="C341" s="40">
        <f>Income!A308</f>
        <v>0</v>
      </c>
    </row>
    <row r="342" spans="1:3">
      <c r="A342" s="40" t="s">
        <v>348</v>
      </c>
      <c r="B342" s="46">
        <f ca="1">Expense!A309</f>
        <v>5171.8020678130097</v>
      </c>
      <c r="C342" s="46">
        <f ca="1">Income!A309</f>
        <v>6545</v>
      </c>
    </row>
    <row r="343" spans="1:3">
      <c r="A343" s="40" t="s">
        <v>349</v>
      </c>
      <c r="B343" s="46">
        <f ca="1">Expense!A310</f>
        <v>5119.1907488073603</v>
      </c>
      <c r="C343" s="46">
        <f ca="1">Income!A310</f>
        <v>5150</v>
      </c>
    </row>
    <row r="344" spans="1:3">
      <c r="A344" s="40" t="s">
        <v>350</v>
      </c>
      <c r="B344" s="46">
        <f ca="1">Expense!A311</f>
        <v>6557.6904439611098</v>
      </c>
      <c r="C344" s="46">
        <f ca="1">Income!A311</f>
        <v>5120</v>
      </c>
    </row>
    <row r="345" spans="1:3">
      <c r="A345" s="40" t="s">
        <v>351</v>
      </c>
      <c r="B345" s="46">
        <f ca="1">Expense!A312</f>
        <v>6768.8691969281699</v>
      </c>
      <c r="C345" s="46">
        <f ca="1">Income!A312</f>
        <v>6558</v>
      </c>
    </row>
    <row r="346" spans="1:3">
      <c r="A346" s="40" t="s">
        <v>352</v>
      </c>
      <c r="B346" s="46">
        <f ca="1">Expense!A313</f>
        <v>5741.0646394373398</v>
      </c>
      <c r="C346" s="46">
        <f ca="1">Income!A313</f>
        <v>6558</v>
      </c>
    </row>
    <row r="347" spans="1:3">
      <c r="A347" s="40" t="s">
        <v>353</v>
      </c>
      <c r="B347" s="46">
        <f ca="1">Expense!A314</f>
        <v>7976.4291931423104</v>
      </c>
      <c r="C347" s="46">
        <f ca="1">Income!A314</f>
        <v>5742</v>
      </c>
    </row>
    <row r="348" spans="1:3">
      <c r="A348" s="40" t="s">
        <v>354</v>
      </c>
      <c r="B348" s="46">
        <f ca="1">Expense!A315</f>
        <v>7286.5996220999896</v>
      </c>
      <c r="C348" s="46">
        <f ca="1">Income!A315</f>
        <v>6731</v>
      </c>
    </row>
    <row r="349" spans="1:3">
      <c r="A349" s="40" t="s">
        <v>355</v>
      </c>
      <c r="B349" s="46">
        <f ca="1">Expense!A316</f>
        <v>5820.7432410698102</v>
      </c>
      <c r="C349" s="46">
        <f ca="1">Income!A316</f>
        <v>7369</v>
      </c>
    </row>
    <row r="350" spans="1:3">
      <c r="A350" s="40" t="s">
        <v>356</v>
      </c>
      <c r="B350" s="46">
        <f ca="1">Expense!A317</f>
        <v>5764.3224854779401</v>
      </c>
      <c r="C350" s="46">
        <f ca="1">Income!A317</f>
        <v>5799</v>
      </c>
    </row>
    <row r="351" spans="1:3">
      <c r="A351" s="40" t="s">
        <v>357</v>
      </c>
      <c r="B351" s="46">
        <f ca="1">Expense!A318</f>
        <v>5355.0232683551903</v>
      </c>
      <c r="C351" s="46">
        <f ca="1">Income!A318</f>
        <v>5787</v>
      </c>
    </row>
    <row r="352" spans="1:3">
      <c r="A352" s="40" t="s">
        <v>358</v>
      </c>
      <c r="B352" s="46">
        <f ca="1">Expense!A319</f>
        <v>5796.4409513887103</v>
      </c>
      <c r="C352" s="40">
        <f ca="1">Income!A319</f>
        <v>5355</v>
      </c>
    </row>
    <row r="353" spans="1:3">
      <c r="B353" s="46">
        <f ca="1">Expense!A320</f>
        <v>73917.4420770711</v>
      </c>
      <c r="C353" s="40">
        <f ca="1">Income!A320</f>
        <v>66714</v>
      </c>
    </row>
    <row r="354" spans="1:3">
      <c r="B354" s="40">
        <f>Expense!A321</f>
        <v>0</v>
      </c>
      <c r="C354" s="46">
        <f ca="1">Income!A321</f>
        <v>-7203.4420770711804</v>
      </c>
    </row>
    <row r="355" spans="1:3">
      <c r="B355" s="40">
        <f>Expense!A322</f>
        <v>0</v>
      </c>
      <c r="C355" s="40">
        <f>Income!A322</f>
        <v>0</v>
      </c>
    </row>
    <row r="356" spans="1:3">
      <c r="B356" s="40">
        <f>Expense!A323</f>
        <v>0</v>
      </c>
      <c r="C356" s="40">
        <f>Income!A323</f>
        <v>0</v>
      </c>
    </row>
    <row r="357" spans="1:3">
      <c r="B357" s="40" t="str">
        <f ca="1">Expense!A324</f>
        <v>G4</v>
      </c>
      <c r="C357" s="40">
        <f>Income!A324</f>
        <v>0</v>
      </c>
    </row>
    <row r="358" spans="1:3">
      <c r="A358" s="40" t="s">
        <v>347</v>
      </c>
      <c r="B358" s="46">
        <f ca="1">Expense!A325</f>
        <v>6911.9379249849098</v>
      </c>
      <c r="C358" s="40">
        <f>Income!A325</f>
        <v>0</v>
      </c>
    </row>
    <row r="359" spans="1:3">
      <c r="A359" s="40" t="s">
        <v>348</v>
      </c>
      <c r="B359" s="46">
        <f ca="1">Expense!A326</f>
        <v>5128.9863474209396</v>
      </c>
      <c r="C359" s="46">
        <f ca="1">Income!A326</f>
        <v>6908</v>
      </c>
    </row>
    <row r="360" spans="1:3">
      <c r="A360" s="40" t="s">
        <v>349</v>
      </c>
      <c r="B360" s="46">
        <f ca="1">Expense!A327</f>
        <v>5139.9254512163097</v>
      </c>
      <c r="C360" s="46">
        <f ca="1">Income!A327</f>
        <v>5107</v>
      </c>
    </row>
    <row r="361" spans="1:3">
      <c r="A361" s="40" t="s">
        <v>350</v>
      </c>
      <c r="B361" s="46">
        <f ca="1">Expense!A328</f>
        <v>7081.1693825884604</v>
      </c>
      <c r="C361" s="46">
        <f ca="1">Income!A328</f>
        <v>5140</v>
      </c>
    </row>
    <row r="362" spans="1:3">
      <c r="A362" s="40" t="s">
        <v>351</v>
      </c>
      <c r="B362" s="46">
        <f ca="1">Expense!A329</f>
        <v>7397.3894229875004</v>
      </c>
      <c r="C362" s="46">
        <f ca="1">Income!A329</f>
        <v>7082</v>
      </c>
    </row>
    <row r="363" spans="1:3">
      <c r="A363" s="40" t="s">
        <v>352</v>
      </c>
      <c r="B363" s="46">
        <f ca="1">Expense!A330</f>
        <v>6286.8337683445598</v>
      </c>
      <c r="C363" s="46">
        <f ca="1">Income!A330</f>
        <v>0</v>
      </c>
    </row>
    <row r="364" spans="1:3">
      <c r="A364" s="40" t="s">
        <v>353</v>
      </c>
      <c r="B364" s="46">
        <f ca="1">Expense!A331</f>
        <v>8237.0331101629199</v>
      </c>
      <c r="C364" s="46">
        <f ca="1">Income!A331</f>
        <v>6287</v>
      </c>
    </row>
    <row r="365" spans="1:3">
      <c r="A365" s="40" t="s">
        <v>354</v>
      </c>
      <c r="B365" s="46">
        <f ca="1">Expense!A332</f>
        <v>7944.0879156535002</v>
      </c>
      <c r="C365" s="46">
        <f ca="1">Income!A332</f>
        <v>0</v>
      </c>
    </row>
    <row r="366" spans="1:3">
      <c r="A366" s="40" t="s">
        <v>355</v>
      </c>
      <c r="B366" s="46">
        <f ca="1">Expense!A333</f>
        <v>6521.7920408925402</v>
      </c>
      <c r="C366" s="46">
        <f ca="1">Income!A333</f>
        <v>14257</v>
      </c>
    </row>
    <row r="367" spans="1:3">
      <c r="A367" s="40" t="s">
        <v>356</v>
      </c>
      <c r="B367" s="46">
        <f ca="1">Expense!A334</f>
        <v>6265.3422516514001</v>
      </c>
      <c r="C367" s="46">
        <f ca="1">Income!A334</f>
        <v>6500</v>
      </c>
    </row>
    <row r="368" spans="1:3">
      <c r="A368" s="40" t="s">
        <v>357</v>
      </c>
      <c r="B368" s="46">
        <f ca="1">Expense!A335</f>
        <v>5479.0062518421701</v>
      </c>
      <c r="C368" s="46">
        <f ca="1">Income!A335</f>
        <v>6288</v>
      </c>
    </row>
    <row r="369" spans="1:3">
      <c r="A369" s="40" t="s">
        <v>358</v>
      </c>
      <c r="B369" s="46">
        <f ca="1">Expense!A336</f>
        <v>5603.6881628478704</v>
      </c>
      <c r="C369" s="40">
        <f ca="1">Income!A336</f>
        <v>5479</v>
      </c>
    </row>
    <row r="370" spans="1:3">
      <c r="B370" s="46">
        <f ca="1">Expense!A337</f>
        <v>77997.192030593098</v>
      </c>
      <c r="C370" s="40">
        <f ca="1">Income!A337</f>
        <v>63048</v>
      </c>
    </row>
    <row r="371" spans="1:3">
      <c r="B371" s="40">
        <f>Expense!A338</f>
        <v>0</v>
      </c>
      <c r="C371" s="46">
        <f ca="1">Income!A338</f>
        <v>-14949.1920305931</v>
      </c>
    </row>
    <row r="372" spans="1:3">
      <c r="B372" s="40">
        <f>Expense!A339</f>
        <v>0</v>
      </c>
      <c r="C372" s="40">
        <f>Income!A339</f>
        <v>0</v>
      </c>
    </row>
    <row r="373" spans="1:3">
      <c r="B373" s="40">
        <f>Expense!A340</f>
        <v>0</v>
      </c>
      <c r="C373" s="40">
        <f>Income!A340</f>
        <v>0</v>
      </c>
    </row>
    <row r="374" spans="1:3">
      <c r="B374" s="40" t="str">
        <f ca="1">Expense!A341</f>
        <v>G5</v>
      </c>
      <c r="C374" s="40">
        <f>Income!A341</f>
        <v>0</v>
      </c>
    </row>
    <row r="375" spans="1:3">
      <c r="A375" s="40" t="s">
        <v>347</v>
      </c>
      <c r="B375" s="46">
        <f ca="1">Expense!A342</f>
        <v>5526.7456148697402</v>
      </c>
      <c r="C375" s="40">
        <f>Income!A342</f>
        <v>0</v>
      </c>
    </row>
    <row r="376" spans="1:3">
      <c r="A376" s="40" t="s">
        <v>348</v>
      </c>
      <c r="B376" s="46">
        <f ca="1">Expense!A343</f>
        <v>4343.0356146977701</v>
      </c>
      <c r="C376" s="46">
        <f ca="1">Income!A343</f>
        <v>6000</v>
      </c>
    </row>
    <row r="377" spans="1:3">
      <c r="A377" s="40" t="s">
        <v>349</v>
      </c>
      <c r="B377" s="46">
        <f ca="1">Expense!A344</f>
        <v>4523.9374845400798</v>
      </c>
      <c r="C377" s="46">
        <f ca="1">Income!A344</f>
        <v>0</v>
      </c>
    </row>
    <row r="378" spans="1:3">
      <c r="A378" s="40" t="s">
        <v>350</v>
      </c>
      <c r="B378" s="46">
        <f ca="1">Expense!A345</f>
        <v>5495.9484162992903</v>
      </c>
      <c r="C378" s="46">
        <f ca="1">Income!A345</f>
        <v>0</v>
      </c>
    </row>
    <row r="379" spans="1:3">
      <c r="A379" s="40" t="s">
        <v>351</v>
      </c>
      <c r="B379" s="46">
        <f ca="1">Expense!A346</f>
        <v>5873.42330083246</v>
      </c>
      <c r="C379" s="46">
        <f ca="1">Income!A346</f>
        <v>0</v>
      </c>
    </row>
    <row r="380" spans="1:3">
      <c r="A380" s="40" t="s">
        <v>352</v>
      </c>
      <c r="B380" s="46">
        <f ca="1">Expense!A347</f>
        <v>5078.5476521712098</v>
      </c>
      <c r="C380" s="46">
        <f ca="1">Income!A347</f>
        <v>11102.41</v>
      </c>
    </row>
    <row r="381" spans="1:3">
      <c r="A381" s="40" t="s">
        <v>353</v>
      </c>
      <c r="B381" s="46">
        <f ca="1">Expense!A348</f>
        <v>6417.4259729506202</v>
      </c>
      <c r="C381" s="46">
        <f ca="1">Income!A348</f>
        <v>6000</v>
      </c>
    </row>
    <row r="382" spans="1:3">
      <c r="A382" s="40" t="s">
        <v>354</v>
      </c>
      <c r="B382" s="46">
        <f ca="1">Expense!A349</f>
        <v>6927.3199522043797</v>
      </c>
      <c r="C382" s="46">
        <f ca="1">Income!A349</f>
        <v>6114</v>
      </c>
    </row>
    <row r="383" spans="1:3">
      <c r="A383" s="40" t="s">
        <v>355</v>
      </c>
      <c r="B383" s="46">
        <f ca="1">Expense!A350</f>
        <v>6053.6682066430803</v>
      </c>
      <c r="C383" s="46">
        <f ca="1">Income!A350</f>
        <v>0</v>
      </c>
    </row>
    <row r="384" spans="1:3">
      <c r="A384" s="40" t="s">
        <v>356</v>
      </c>
      <c r="B384" s="46">
        <f ca="1">Expense!A351</f>
        <v>5518.2402648144498</v>
      </c>
      <c r="C384" s="46">
        <f ca="1">Income!A351</f>
        <v>0</v>
      </c>
    </row>
    <row r="385" spans="1:3">
      <c r="A385" s="40" t="s">
        <v>357</v>
      </c>
      <c r="B385" s="46">
        <f ca="1">Expense!A352</f>
        <v>5353.9264079759596</v>
      </c>
      <c r="C385" s="46">
        <f ca="1">Income!A352</f>
        <v>27000</v>
      </c>
    </row>
    <row r="386" spans="1:3">
      <c r="A386" s="40" t="s">
        <v>358</v>
      </c>
      <c r="B386" s="46">
        <f ca="1">Expense!A353</f>
        <v>5740.0659269011503</v>
      </c>
      <c r="C386" s="40">
        <f ca="1">Income!A353</f>
        <v>0</v>
      </c>
    </row>
    <row r="387" spans="1:3">
      <c r="B387" s="46">
        <f ca="1">Expense!A354</f>
        <v>66852.284814900195</v>
      </c>
      <c r="C387" s="40">
        <f ca="1">Income!A354</f>
        <v>56216.41</v>
      </c>
    </row>
    <row r="388" spans="1:3">
      <c r="B388" s="40">
        <f>Expense!A355</f>
        <v>0</v>
      </c>
      <c r="C388" s="46">
        <f ca="1">Income!A355</f>
        <v>-10635.8748149002</v>
      </c>
    </row>
    <row r="389" spans="1:3">
      <c r="B389" s="40">
        <f>Expense!A356</f>
        <v>0</v>
      </c>
      <c r="C389" s="40">
        <f>Income!A356</f>
        <v>0</v>
      </c>
    </row>
    <row r="390" spans="1:3">
      <c r="B390" s="40">
        <f>Expense!A357</f>
        <v>0</v>
      </c>
      <c r="C390" s="40">
        <f>Income!A357</f>
        <v>0</v>
      </c>
    </row>
    <row r="391" spans="1:3">
      <c r="B391" s="40" t="str">
        <f ca="1">Expense!A358</f>
        <v>G6</v>
      </c>
      <c r="C391" s="40">
        <f>Income!A358</f>
        <v>0</v>
      </c>
    </row>
    <row r="392" spans="1:3">
      <c r="A392" s="40" t="s">
        <v>347</v>
      </c>
      <c r="B392" s="46">
        <f ca="1">Expense!A359</f>
        <v>6489.0825873364902</v>
      </c>
      <c r="C392" s="40">
        <f>Income!A359</f>
        <v>0</v>
      </c>
    </row>
    <row r="393" spans="1:3">
      <c r="A393" s="40" t="s">
        <v>348</v>
      </c>
      <c r="B393" s="46">
        <f ca="1">Expense!A360</f>
        <v>4470.4135978391996</v>
      </c>
      <c r="C393" s="40">
        <f ca="1">Income!A360</f>
        <v>0</v>
      </c>
    </row>
    <row r="394" spans="1:3">
      <c r="A394" s="40" t="s">
        <v>349</v>
      </c>
      <c r="B394" s="46">
        <f ca="1">Expense!A361</f>
        <v>5155.6352428093996</v>
      </c>
      <c r="C394" s="40">
        <f ca="1">Income!A361</f>
        <v>85000</v>
      </c>
    </row>
    <row r="395" spans="1:3">
      <c r="A395" s="40" t="s">
        <v>350</v>
      </c>
      <c r="B395" s="46">
        <f ca="1">Expense!A362</f>
        <v>5781.8103000975198</v>
      </c>
      <c r="C395" s="40">
        <f ca="1">Income!A362</f>
        <v>20000</v>
      </c>
    </row>
    <row r="396" spans="1:3">
      <c r="A396" s="40" t="s">
        <v>351</v>
      </c>
      <c r="B396" s="46">
        <f ca="1">Expense!A363</f>
        <v>6108.7236982059803</v>
      </c>
      <c r="C396" s="40">
        <f ca="1">Income!A363</f>
        <v>0</v>
      </c>
    </row>
    <row r="397" spans="1:3">
      <c r="A397" s="40" t="s">
        <v>352</v>
      </c>
      <c r="B397" s="46">
        <f ca="1">Expense!A364</f>
        <v>5213.2563333532698</v>
      </c>
      <c r="C397" s="40">
        <f ca="1">Income!A364</f>
        <v>5212</v>
      </c>
    </row>
    <row r="398" spans="1:3">
      <c r="A398" s="40" t="s">
        <v>353</v>
      </c>
      <c r="B398" s="46">
        <f ca="1">Expense!A365</f>
        <v>6615.1213609943297</v>
      </c>
      <c r="C398" s="40">
        <f ca="1">Income!A365</f>
        <v>0</v>
      </c>
    </row>
    <row r="399" spans="1:3">
      <c r="A399" s="40" t="s">
        <v>354</v>
      </c>
      <c r="B399" s="46">
        <f ca="1">Expense!A366</f>
        <v>6806.6101565030103</v>
      </c>
      <c r="C399" s="40">
        <f ca="1">Income!A366</f>
        <v>0</v>
      </c>
    </row>
    <row r="400" spans="1:3">
      <c r="A400" s="40" t="s">
        <v>355</v>
      </c>
      <c r="B400" s="46">
        <f ca="1">Expense!A367</f>
        <v>5801.7339524450899</v>
      </c>
      <c r="C400" s="40">
        <f ca="1">Income!A367</f>
        <v>18215</v>
      </c>
    </row>
    <row r="401" spans="1:3">
      <c r="A401" s="40" t="s">
        <v>356</v>
      </c>
      <c r="B401" s="46">
        <f ca="1">Expense!A368</f>
        <v>5377.0535702056804</v>
      </c>
      <c r="C401" s="40">
        <f ca="1">Income!A368</f>
        <v>5785</v>
      </c>
    </row>
    <row r="402" spans="1:3">
      <c r="A402" s="40" t="s">
        <v>357</v>
      </c>
      <c r="B402" s="46">
        <f ca="1">Expense!A369</f>
        <v>5260.0613490775604</v>
      </c>
      <c r="C402" s="40">
        <f ca="1">Income!A369</f>
        <v>0</v>
      </c>
    </row>
    <row r="403" spans="1:3">
      <c r="A403" s="40" t="s">
        <v>358</v>
      </c>
      <c r="B403" s="46">
        <f ca="1">Expense!A370</f>
        <v>5487.4262003877802</v>
      </c>
      <c r="C403" s="40">
        <f ca="1">Income!A370</f>
        <v>5394</v>
      </c>
    </row>
    <row r="404" spans="1:3">
      <c r="B404" s="46">
        <f ca="1">Expense!A371</f>
        <v>68566.928349255293</v>
      </c>
      <c r="C404" s="40">
        <f ca="1">Income!A371</f>
        <v>139606</v>
      </c>
    </row>
    <row r="405" spans="1:3">
      <c r="B405" s="40">
        <f>Expense!A372</f>
        <v>0</v>
      </c>
      <c r="C405" s="46">
        <f ca="1">Income!A372</f>
        <v>71039.071650744605</v>
      </c>
    </row>
    <row r="406" spans="1:3">
      <c r="B406" s="40">
        <f>Expense!A373</f>
        <v>0</v>
      </c>
      <c r="C406" s="40">
        <f>Income!A373</f>
        <v>0</v>
      </c>
    </row>
    <row r="407" spans="1:3">
      <c r="B407" s="40">
        <f>Expense!A374</f>
        <v>0</v>
      </c>
      <c r="C407" s="40">
        <f>Income!A374</f>
        <v>0</v>
      </c>
    </row>
    <row r="408" spans="1:3">
      <c r="B408" s="40" t="str">
        <f ca="1">Expense!A375</f>
        <v>G7</v>
      </c>
      <c r="C408" s="40">
        <f>Income!A375</f>
        <v>0</v>
      </c>
    </row>
    <row r="409" spans="1:3">
      <c r="A409" s="40" t="s">
        <v>347</v>
      </c>
      <c r="B409" s="46">
        <f ca="1">Expense!A376</f>
        <v>5787.4428447425998</v>
      </c>
      <c r="C409" s="40">
        <f>Income!A376</f>
        <v>0</v>
      </c>
    </row>
    <row r="410" spans="1:3">
      <c r="A410" s="40" t="s">
        <v>348</v>
      </c>
      <c r="B410" s="46">
        <f ca="1">Expense!A377</f>
        <v>4099.84621079096</v>
      </c>
      <c r="C410" s="46">
        <f ca="1">Income!A377</f>
        <v>5752</v>
      </c>
    </row>
    <row r="411" spans="1:3">
      <c r="A411" s="40" t="s">
        <v>349</v>
      </c>
      <c r="B411" s="46">
        <f ca="1">Expense!A378</f>
        <v>4603.8246141842201</v>
      </c>
      <c r="C411" s="46">
        <f ca="1">Income!A378</f>
        <v>0</v>
      </c>
    </row>
    <row r="412" spans="1:3">
      <c r="A412" s="40" t="s">
        <v>350</v>
      </c>
      <c r="B412" s="46">
        <f ca="1">Expense!A379</f>
        <v>5634.7762933047698</v>
      </c>
      <c r="C412" s="46">
        <f ca="1">Income!A379</f>
        <v>4083</v>
      </c>
    </row>
    <row r="413" spans="1:3">
      <c r="A413" s="40" t="s">
        <v>351</v>
      </c>
      <c r="B413" s="46">
        <f ca="1">Expense!A380</f>
        <v>6103.3426080373602</v>
      </c>
      <c r="C413" s="46">
        <f ca="1">Income!A380</f>
        <v>0</v>
      </c>
    </row>
    <row r="414" spans="1:3">
      <c r="A414" s="40" t="s">
        <v>352</v>
      </c>
      <c r="B414" s="46">
        <f ca="1">Expense!A381</f>
        <v>5263.8065638173102</v>
      </c>
      <c r="C414" s="46">
        <f ca="1">Income!A381</f>
        <v>5635</v>
      </c>
    </row>
    <row r="415" spans="1:3">
      <c r="A415" s="40" t="s">
        <v>353</v>
      </c>
      <c r="B415" s="46">
        <f ca="1">Expense!A382</f>
        <v>6635.0449757528304</v>
      </c>
      <c r="C415" s="46">
        <f ca="1">Income!A382</f>
        <v>5264</v>
      </c>
    </row>
    <row r="416" spans="1:3">
      <c r="A416" s="40" t="s">
        <v>354</v>
      </c>
      <c r="B416" s="46">
        <f ca="1">Expense!A383</f>
        <v>6756.0602059565899</v>
      </c>
      <c r="C416" s="40">
        <f ca="1">Income!A383</f>
        <v>6114</v>
      </c>
    </row>
    <row r="417" spans="1:3">
      <c r="A417" s="40" t="s">
        <v>355</v>
      </c>
      <c r="B417" s="46">
        <f ca="1">Expense!A384</f>
        <v>5367.9467435134102</v>
      </c>
      <c r="C417" s="46">
        <f ca="1">Income!A384</f>
        <v>0</v>
      </c>
    </row>
    <row r="418" spans="1:3">
      <c r="A418" s="40" t="s">
        <v>356</v>
      </c>
      <c r="B418" s="46">
        <f ca="1">Expense!A385</f>
        <v>5046.98698893444</v>
      </c>
      <c r="C418" s="46">
        <f ca="1">Income!A385</f>
        <v>6888</v>
      </c>
    </row>
    <row r="419" spans="1:3">
      <c r="A419" s="40" t="s">
        <v>357</v>
      </c>
      <c r="B419" s="46">
        <f ca="1">Expense!A386</f>
        <v>4840.6358672454598</v>
      </c>
      <c r="C419" s="46">
        <f ca="1">Income!A386</f>
        <v>5350</v>
      </c>
    </row>
    <row r="420" spans="1:3">
      <c r="A420" s="40" t="s">
        <v>358</v>
      </c>
      <c r="B420" s="46">
        <f ca="1">Expense!A387</f>
        <v>4816.9932566746102</v>
      </c>
      <c r="C420" s="40">
        <f ca="1">Income!A387</f>
        <v>0</v>
      </c>
    </row>
    <row r="421" spans="1:3">
      <c r="B421" s="46">
        <f ca="1">Expense!A388</f>
        <v>64956.707172954601</v>
      </c>
      <c r="C421" s="40">
        <f ca="1">Income!A388</f>
        <v>39086</v>
      </c>
    </row>
    <row r="422" spans="1:3">
      <c r="B422" s="40">
        <f>Expense!A389</f>
        <v>0</v>
      </c>
      <c r="C422" s="46">
        <f ca="1">Income!A389</f>
        <v>-25870.707172954601</v>
      </c>
    </row>
    <row r="423" spans="1:3">
      <c r="B423" s="40">
        <f>Expense!A390</f>
        <v>0</v>
      </c>
      <c r="C423" s="40">
        <f>Income!A390</f>
        <v>0</v>
      </c>
    </row>
    <row r="424" spans="1:3">
      <c r="B424" s="40">
        <f>Expense!A391</f>
        <v>0</v>
      </c>
      <c r="C424" s="40">
        <f>Income!A391</f>
        <v>0</v>
      </c>
    </row>
    <row r="425" spans="1:3">
      <c r="B425" s="40" t="str">
        <f ca="1">Expense!A392</f>
        <v>G8</v>
      </c>
      <c r="C425" s="40">
        <f>Income!A392</f>
        <v>0</v>
      </c>
    </row>
    <row r="426" spans="1:3">
      <c r="A426" s="40" t="s">
        <v>347</v>
      </c>
      <c r="B426" s="46">
        <f ca="1">Expense!A393</f>
        <v>6345.8225665795999</v>
      </c>
      <c r="C426" s="40">
        <f>Income!A393</f>
        <v>0</v>
      </c>
    </row>
    <row r="427" spans="1:3">
      <c r="A427" s="40" t="s">
        <v>348</v>
      </c>
      <c r="B427" s="46">
        <f ca="1">Expense!A394</f>
        <v>4789.4174442109597</v>
      </c>
      <c r="C427" s="40">
        <f ca="1">Income!A394</f>
        <v>6328</v>
      </c>
    </row>
    <row r="428" spans="1:3">
      <c r="A428" s="40" t="s">
        <v>349</v>
      </c>
      <c r="B428" s="46">
        <f ca="1">Expense!A395</f>
        <v>4713.9359168962401</v>
      </c>
      <c r="C428" s="40">
        <f ca="1">Income!A395</f>
        <v>4772</v>
      </c>
    </row>
    <row r="429" spans="1:3">
      <c r="A429" s="40" t="s">
        <v>350</v>
      </c>
      <c r="B429" s="46">
        <f ca="1">Expense!A396</f>
        <v>5956.9345203928397</v>
      </c>
      <c r="C429" s="40">
        <f ca="1">Income!A396</f>
        <v>0</v>
      </c>
    </row>
    <row r="430" spans="1:3">
      <c r="A430" s="40" t="s">
        <v>351</v>
      </c>
      <c r="B430" s="46">
        <f ca="1">Expense!A397</f>
        <v>6522.1337329790404</v>
      </c>
      <c r="C430" s="40">
        <f ca="1">Income!A397</f>
        <v>0</v>
      </c>
    </row>
    <row r="431" spans="1:3">
      <c r="A431" s="40" t="s">
        <v>352</v>
      </c>
      <c r="B431" s="46">
        <f ca="1">Expense!A398</f>
        <v>5666.6718066036501</v>
      </c>
      <c r="C431" s="40">
        <f ca="1">Income!A398</f>
        <v>6108</v>
      </c>
    </row>
    <row r="432" spans="1:3">
      <c r="A432" s="40" t="s">
        <v>353</v>
      </c>
      <c r="B432" s="46">
        <f ca="1">Expense!A399</f>
        <v>7022.8382134123403</v>
      </c>
      <c r="C432" s="40">
        <f ca="1">Income!A399</f>
        <v>0</v>
      </c>
    </row>
    <row r="433" spans="1:3">
      <c r="A433" s="40" t="s">
        <v>354</v>
      </c>
      <c r="B433" s="46">
        <f ca="1">Expense!A400</f>
        <v>7338.4014465905202</v>
      </c>
      <c r="C433" s="40">
        <f ca="1">Income!A400</f>
        <v>0</v>
      </c>
    </row>
    <row r="434" spans="1:3">
      <c r="A434" s="40" t="s">
        <v>355</v>
      </c>
      <c r="B434" s="46">
        <f ca="1">Expense!A401</f>
        <v>5251.8362729339597</v>
      </c>
      <c r="C434" s="40">
        <f ca="1">Income!A401</f>
        <v>6114</v>
      </c>
    </row>
    <row r="435" spans="1:3">
      <c r="A435" s="40" t="s">
        <v>356</v>
      </c>
      <c r="B435" s="46">
        <f ca="1">Expense!A402</f>
        <v>5180.8248492812399</v>
      </c>
      <c r="C435" s="40">
        <f ca="1">Income!A402</f>
        <v>20517</v>
      </c>
    </row>
    <row r="436" spans="1:3">
      <c r="A436" s="40" t="s">
        <v>357</v>
      </c>
      <c r="B436" s="46">
        <f ca="1">Expense!A403</f>
        <v>5744.1241501826898</v>
      </c>
      <c r="C436" s="40">
        <f ca="1">Income!A403</f>
        <v>5198</v>
      </c>
    </row>
    <row r="437" spans="1:3">
      <c r="A437" s="40" t="s">
        <v>358</v>
      </c>
      <c r="B437" s="46">
        <f ca="1">Expense!A404</f>
        <v>5066.8907452601397</v>
      </c>
      <c r="C437" s="40">
        <f ca="1">Income!A404</f>
        <v>5744</v>
      </c>
    </row>
    <row r="438" spans="1:3">
      <c r="B438" s="46">
        <f ca="1">Expense!A405</f>
        <v>69599.831665323203</v>
      </c>
      <c r="C438" s="40">
        <f ca="1">Income!A405</f>
        <v>54781</v>
      </c>
    </row>
    <row r="439" spans="1:3">
      <c r="B439" s="40">
        <f>Expense!A406</f>
        <v>0</v>
      </c>
      <c r="C439" s="46">
        <f ca="1">Income!A406</f>
        <v>-14818.8316653232</v>
      </c>
    </row>
    <row r="440" spans="1:3">
      <c r="B440" s="40">
        <f>Expense!A407</f>
        <v>0</v>
      </c>
      <c r="C440" s="40">
        <f>Income!A407</f>
        <v>0</v>
      </c>
    </row>
    <row r="441" spans="1:3">
      <c r="B441" s="40">
        <f>Expense!A408</f>
        <v>0</v>
      </c>
      <c r="C441" s="40">
        <f>Income!A408</f>
        <v>0</v>
      </c>
    </row>
    <row r="442" spans="1:3">
      <c r="B442" s="40" t="str">
        <f ca="1">Expense!A409</f>
        <v>G9</v>
      </c>
      <c r="C442" s="40">
        <f>Income!A409</f>
        <v>0</v>
      </c>
    </row>
    <row r="443" spans="1:3">
      <c r="A443" s="40" t="s">
        <v>347</v>
      </c>
      <c r="B443" s="46">
        <f ca="1">Expense!A410</f>
        <v>6245.5027062427098</v>
      </c>
      <c r="C443" s="40">
        <f>Income!A410</f>
        <v>0</v>
      </c>
    </row>
    <row r="444" spans="1:3">
      <c r="A444" s="40" t="s">
        <v>348</v>
      </c>
      <c r="B444" s="46">
        <f ca="1">Expense!A411</f>
        <v>4729.6074316055501</v>
      </c>
      <c r="C444" s="46">
        <f ca="1">Income!A411</f>
        <v>5203</v>
      </c>
    </row>
    <row r="445" spans="1:3">
      <c r="A445" s="40" t="s">
        <v>349</v>
      </c>
      <c r="B445" s="46">
        <f ca="1">Expense!A412</f>
        <v>5202.5978511892899</v>
      </c>
      <c r="C445" s="46">
        <f ca="1">Income!A412</f>
        <v>10919</v>
      </c>
    </row>
    <row r="446" spans="1:3">
      <c r="A446" s="40" t="s">
        <v>350</v>
      </c>
      <c r="B446" s="46">
        <f ca="1">Expense!A413</f>
        <v>5869.0920411738298</v>
      </c>
      <c r="C446" s="46">
        <f ca="1">Income!A413</f>
        <v>5203</v>
      </c>
    </row>
    <row r="447" spans="1:3">
      <c r="A447" s="40" t="s">
        <v>351</v>
      </c>
      <c r="B447" s="46">
        <f ca="1">Expense!A414</f>
        <v>6284.6658343357803</v>
      </c>
      <c r="C447" s="46">
        <f ca="1">Income!A414</f>
        <v>5869</v>
      </c>
    </row>
    <row r="448" spans="1:3">
      <c r="A448" s="40" t="s">
        <v>352</v>
      </c>
      <c r="B448" s="46">
        <f ca="1">Expense!A415</f>
        <v>5381.7814109165802</v>
      </c>
      <c r="C448" s="46">
        <f ca="1">Income!A415</f>
        <v>5869</v>
      </c>
    </row>
    <row r="449" spans="1:3">
      <c r="A449" s="40" t="s">
        <v>353</v>
      </c>
      <c r="B449" s="46">
        <f ca="1">Expense!A416</f>
        <v>6907.6996523839698</v>
      </c>
      <c r="C449" s="46">
        <f ca="1">Income!A416</f>
        <v>5500</v>
      </c>
    </row>
    <row r="450" spans="1:3">
      <c r="A450" s="40" t="s">
        <v>354</v>
      </c>
      <c r="B450" s="46">
        <f ca="1">Expense!A417</f>
        <v>7029.2570504163796</v>
      </c>
      <c r="C450" s="46">
        <f ca="1">Income!A417</f>
        <v>6354</v>
      </c>
    </row>
    <row r="451" spans="1:3">
      <c r="A451" s="40" t="s">
        <v>355</v>
      </c>
      <c r="B451" s="46">
        <f ca="1">Expense!A418</f>
        <v>5714.5399791711898</v>
      </c>
      <c r="C451" s="46">
        <f ca="1">Income!A418</f>
        <v>0</v>
      </c>
    </row>
    <row r="452" spans="1:3">
      <c r="A452" s="40" t="s">
        <v>356</v>
      </c>
      <c r="B452" s="46">
        <f ca="1">Expense!A419</f>
        <v>5562.90523797688</v>
      </c>
      <c r="C452" s="46">
        <f ca="1">Income!A419</f>
        <v>7111</v>
      </c>
    </row>
    <row r="453" spans="1:3">
      <c r="A453" s="40" t="s">
        <v>357</v>
      </c>
      <c r="B453" s="46">
        <f ca="1">Expense!A420</f>
        <v>5123.5345797359096</v>
      </c>
      <c r="C453" s="46">
        <f ca="1">Income!A420</f>
        <v>5686</v>
      </c>
    </row>
    <row r="454" spans="1:3">
      <c r="A454" s="40" t="s">
        <v>358</v>
      </c>
      <c r="B454" s="46">
        <f ca="1">Expense!A421</f>
        <v>5589.9149719554898</v>
      </c>
      <c r="C454" s="40">
        <f ca="1">Income!A421</f>
        <v>10715</v>
      </c>
    </row>
    <row r="455" spans="1:3">
      <c r="B455" s="46">
        <f ca="1">Expense!A422</f>
        <v>69641.098747103606</v>
      </c>
      <c r="C455" s="40">
        <f ca="1">Income!A422</f>
        <v>68429</v>
      </c>
    </row>
    <row r="456" spans="1:3">
      <c r="B456" s="40">
        <f>Expense!A423</f>
        <v>0</v>
      </c>
      <c r="C456" s="46">
        <f ca="1">Income!A423</f>
        <v>-1212.0987471036001</v>
      </c>
    </row>
    <row r="457" spans="1:3">
      <c r="B457" s="40">
        <f>Expense!A424</f>
        <v>0</v>
      </c>
      <c r="C457" s="40">
        <f>Income!A424</f>
        <v>0</v>
      </c>
    </row>
    <row r="458" spans="1:3">
      <c r="B458" s="40">
        <f>Expense!A425</f>
        <v>0</v>
      </c>
      <c r="C458" s="40">
        <f>Income!A425</f>
        <v>0</v>
      </c>
    </row>
    <row r="459" spans="1:3">
      <c r="B459" s="40" t="str">
        <f ca="1">Expense!A426</f>
        <v>G10</v>
      </c>
      <c r="C459" s="40">
        <f>Income!A426</f>
        <v>0</v>
      </c>
    </row>
    <row r="460" spans="1:3">
      <c r="A460" s="40" t="s">
        <v>347</v>
      </c>
      <c r="B460" s="46">
        <f ca="1">Expense!A427</f>
        <v>6258.9920764404196</v>
      </c>
      <c r="C460" s="40">
        <f>Income!A427</f>
        <v>0</v>
      </c>
    </row>
    <row r="461" spans="1:3">
      <c r="A461" s="40" t="s">
        <v>348</v>
      </c>
      <c r="B461" s="46">
        <f ca="1">Expense!A428</f>
        <v>4807.3018767924304</v>
      </c>
      <c r="C461" s="46">
        <f ca="1">Income!A428</f>
        <v>6240</v>
      </c>
    </row>
    <row r="462" spans="1:3">
      <c r="A462" s="40" t="s">
        <v>349</v>
      </c>
      <c r="B462" s="46">
        <f ca="1">Expense!A429</f>
        <v>5061.3257899170903</v>
      </c>
      <c r="C462" s="46">
        <f ca="1">Income!A429</f>
        <v>4790</v>
      </c>
    </row>
    <row r="463" spans="1:3">
      <c r="A463" s="40" t="s">
        <v>350</v>
      </c>
      <c r="B463" s="46">
        <f ca="1">Expense!A430</f>
        <v>6007.7944896238196</v>
      </c>
      <c r="C463" s="46">
        <f ca="1">Income!A430</f>
        <v>5062</v>
      </c>
    </row>
    <row r="464" spans="1:3">
      <c r="A464" s="40" t="s">
        <v>351</v>
      </c>
      <c r="B464" s="46">
        <f ca="1">Expense!A431</f>
        <v>6373.4199683188499</v>
      </c>
      <c r="C464" s="46">
        <f ca="1">Income!A431</f>
        <v>6008</v>
      </c>
    </row>
    <row r="465" spans="1:3">
      <c r="A465" s="40" t="s">
        <v>352</v>
      </c>
      <c r="B465" s="46">
        <f ca="1">Expense!A432</f>
        <v>5248.4011545332596</v>
      </c>
      <c r="C465" s="46">
        <f ca="1">Income!A432</f>
        <v>12008</v>
      </c>
    </row>
    <row r="466" spans="1:3">
      <c r="A466" s="40" t="s">
        <v>353</v>
      </c>
      <c r="B466" s="46">
        <f ca="1">Expense!A433</f>
        <v>6161.1285926972396</v>
      </c>
      <c r="C466" s="46">
        <f ca="1">Income!A433</f>
        <v>0</v>
      </c>
    </row>
    <row r="467" spans="1:3">
      <c r="A467" s="40" t="s">
        <v>354</v>
      </c>
      <c r="B467" s="46">
        <f ca="1">Expense!A434</f>
        <v>7838.4450265672303</v>
      </c>
      <c r="C467" s="46">
        <f ca="1">Income!A434</f>
        <v>6114</v>
      </c>
    </row>
    <row r="468" spans="1:3">
      <c r="A468" s="40" t="s">
        <v>355</v>
      </c>
      <c r="B468" s="46">
        <f ca="1">Expense!A435</f>
        <v>5226.1806693615699</v>
      </c>
      <c r="C468" s="46">
        <f ca="1">Income!A435</f>
        <v>7920.16</v>
      </c>
    </row>
    <row r="469" spans="1:3">
      <c r="A469" s="40" t="s">
        <v>356</v>
      </c>
      <c r="B469" s="46">
        <f ca="1">Expense!A436</f>
        <v>5363.2466694710702</v>
      </c>
      <c r="C469" s="46">
        <f ca="1">Income!A436</f>
        <v>5209.1099999999997</v>
      </c>
    </row>
    <row r="470" spans="1:3">
      <c r="A470" s="40" t="s">
        <v>357</v>
      </c>
      <c r="B470" s="46">
        <f ca="1">Expense!A437</f>
        <v>4723.6754540237998</v>
      </c>
      <c r="C470" s="46">
        <f ca="1">Income!A437</f>
        <v>5380</v>
      </c>
    </row>
    <row r="471" spans="1:3">
      <c r="A471" s="40" t="s">
        <v>358</v>
      </c>
      <c r="B471" s="46">
        <f ca="1">Expense!A438</f>
        <v>4896.2970083620203</v>
      </c>
      <c r="C471" s="40">
        <f ca="1">Income!A438</f>
        <v>4724</v>
      </c>
    </row>
    <row r="472" spans="1:3">
      <c r="B472" s="46">
        <f ca="1">Expense!A439</f>
        <v>67966.208776108804</v>
      </c>
      <c r="C472" s="40">
        <f ca="1">Income!A439</f>
        <v>63455.27</v>
      </c>
    </row>
    <row r="473" spans="1:3">
      <c r="B473" s="40">
        <f>Expense!A440</f>
        <v>0</v>
      </c>
      <c r="C473" s="46">
        <f ca="1">Income!A440</f>
        <v>-4510.9387761088501</v>
      </c>
    </row>
    <row r="474" spans="1:3">
      <c r="B474" s="40">
        <f>Expense!A441</f>
        <v>0</v>
      </c>
      <c r="C474" s="40">
        <f>Income!A441</f>
        <v>0</v>
      </c>
    </row>
    <row r="475" spans="1:3">
      <c r="B475" s="40">
        <f>Expense!A442</f>
        <v>0</v>
      </c>
      <c r="C475" s="40">
        <f>Income!A442</f>
        <v>0</v>
      </c>
    </row>
    <row r="476" spans="1:3">
      <c r="B476" s="40" t="str">
        <f ca="1">Expense!A443</f>
        <v>G11</v>
      </c>
      <c r="C476" s="40">
        <f>Income!A443</f>
        <v>0</v>
      </c>
    </row>
    <row r="477" spans="1:3">
      <c r="A477" s="40" t="s">
        <v>347</v>
      </c>
      <c r="B477" s="46">
        <f ca="1">Expense!A444</f>
        <v>5638.7301984201004</v>
      </c>
      <c r="C477" s="40">
        <f>Income!A444</f>
        <v>0</v>
      </c>
    </row>
    <row r="478" spans="1:3">
      <c r="A478" s="40" t="s">
        <v>348</v>
      </c>
      <c r="B478" s="46">
        <f ca="1">Expense!A445</f>
        <v>4416.4687060852903</v>
      </c>
      <c r="C478" s="46">
        <f ca="1">Income!A445</f>
        <v>10288</v>
      </c>
    </row>
    <row r="479" spans="1:3">
      <c r="A479" s="40" t="s">
        <v>349</v>
      </c>
      <c r="B479" s="46">
        <f ca="1">Expense!A446</f>
        <v>4540.99344942485</v>
      </c>
      <c r="C479" s="46">
        <f ca="1">Income!A446</f>
        <v>4399</v>
      </c>
    </row>
    <row r="480" spans="1:3">
      <c r="A480" s="40" t="s">
        <v>350</v>
      </c>
      <c r="B480" s="46">
        <f ca="1">Expense!A447</f>
        <v>5376.7791798830904</v>
      </c>
      <c r="C480" s="46">
        <f ca="1">Income!A447</f>
        <v>4541</v>
      </c>
    </row>
    <row r="481" spans="1:3">
      <c r="A481" s="40" t="s">
        <v>351</v>
      </c>
      <c r="B481" s="46">
        <f ca="1">Expense!A448</f>
        <v>5757.3963235602096</v>
      </c>
      <c r="C481" s="46">
        <f ca="1">Income!A448</f>
        <v>5377</v>
      </c>
    </row>
    <row r="482" spans="1:3">
      <c r="A482" s="40" t="s">
        <v>352</v>
      </c>
      <c r="B482" s="46">
        <f ca="1">Expense!A449</f>
        <v>4934.61936543297</v>
      </c>
      <c r="C482" s="46">
        <f ca="1">Income!A449</f>
        <v>5377</v>
      </c>
    </row>
    <row r="483" spans="1:3">
      <c r="A483" s="40" t="s">
        <v>353</v>
      </c>
      <c r="B483" s="46">
        <f ca="1">Expense!A450</f>
        <v>6180.94594817703</v>
      </c>
      <c r="C483" s="46">
        <f ca="1">Income!A450</f>
        <v>4935</v>
      </c>
    </row>
    <row r="484" spans="1:3">
      <c r="A484" s="40" t="s">
        <v>354</v>
      </c>
      <c r="B484" s="46">
        <f ca="1">Expense!A451</f>
        <v>6627.6517108903899</v>
      </c>
      <c r="C484" s="40">
        <f ca="1">Income!A451</f>
        <v>6114</v>
      </c>
    </row>
    <row r="485" spans="1:3">
      <c r="A485" s="40" t="s">
        <v>355</v>
      </c>
      <c r="B485" s="46">
        <f ca="1">Expense!A452</f>
        <v>4919.9169017161703</v>
      </c>
      <c r="C485" s="46">
        <f ca="1">Income!A452</f>
        <v>0</v>
      </c>
    </row>
    <row r="486" spans="1:3">
      <c r="A486" s="40" t="s">
        <v>356</v>
      </c>
      <c r="B486" s="46">
        <f ca="1">Expense!A453</f>
        <v>4755.1863072798196</v>
      </c>
      <c r="C486" s="46">
        <f ca="1">Income!A453</f>
        <v>0</v>
      </c>
    </row>
    <row r="487" spans="1:3">
      <c r="A487" s="40" t="s">
        <v>357</v>
      </c>
      <c r="B487" s="46">
        <f ca="1">Expense!A454</f>
        <v>4530.2580434065003</v>
      </c>
      <c r="C487" s="46">
        <f ca="1">Income!A454</f>
        <v>0</v>
      </c>
    </row>
    <row r="488" spans="1:3">
      <c r="A488" s="40" t="s">
        <v>358</v>
      </c>
      <c r="B488" s="46">
        <f ca="1">Expense!A455</f>
        <v>4928.0538927521802</v>
      </c>
      <c r="C488" s="40">
        <f ca="1">Income!A455</f>
        <v>0</v>
      </c>
    </row>
    <row r="489" spans="1:3">
      <c r="B489" s="46">
        <f ca="1">Expense!A456</f>
        <v>62607.000027028596</v>
      </c>
      <c r="C489" s="40">
        <f ca="1">Income!A456</f>
        <v>41031</v>
      </c>
    </row>
    <row r="490" spans="1:3">
      <c r="B490" s="40">
        <f>Expense!A457</f>
        <v>0</v>
      </c>
      <c r="C490" s="46">
        <f ca="1">Income!A457</f>
        <v>-21576.0000270286</v>
      </c>
    </row>
    <row r="491" spans="1:3">
      <c r="B491" s="40">
        <f>Expense!A458</f>
        <v>0</v>
      </c>
      <c r="C491" s="40">
        <f>Income!A458</f>
        <v>0</v>
      </c>
    </row>
    <row r="492" spans="1:3">
      <c r="B492" s="40">
        <f>Expense!A459</f>
        <v>0</v>
      </c>
      <c r="C492" s="40">
        <f>Income!A459</f>
        <v>0</v>
      </c>
    </row>
    <row r="493" spans="1:3">
      <c r="B493" s="40" t="str">
        <f ca="1">Expense!A460</f>
        <v>G12</v>
      </c>
      <c r="C493" s="40">
        <f>Income!A460</f>
        <v>0</v>
      </c>
    </row>
    <row r="494" spans="1:3">
      <c r="A494" s="40" t="s">
        <v>347</v>
      </c>
      <c r="B494" s="46">
        <f ca="1">Expense!A461</f>
        <v>5836.5164748331099</v>
      </c>
      <c r="C494" s="40">
        <f>Income!A461</f>
        <v>0</v>
      </c>
    </row>
    <row r="495" spans="1:3">
      <c r="A495" s="40" t="s">
        <v>348</v>
      </c>
      <c r="B495" s="46">
        <f ca="1">Expense!A462</f>
        <v>5143.6069677267096</v>
      </c>
      <c r="C495" s="46">
        <f ca="1">Income!A462</f>
        <v>5803</v>
      </c>
    </row>
    <row r="496" spans="1:3">
      <c r="A496" s="40" t="s">
        <v>349</v>
      </c>
      <c r="B496" s="46">
        <f ca="1">Expense!A463</f>
        <v>5032.2303204077698</v>
      </c>
      <c r="C496" s="46">
        <f ca="1">Income!A463</f>
        <v>14646</v>
      </c>
    </row>
    <row r="497" spans="1:3">
      <c r="A497" s="40" t="s">
        <v>350</v>
      </c>
      <c r="B497" s="46">
        <f ca="1">Expense!A464</f>
        <v>6120.0200777584796</v>
      </c>
      <c r="C497" s="46">
        <f ca="1">Income!A464</f>
        <v>5083</v>
      </c>
    </row>
    <row r="498" spans="1:3">
      <c r="A498" s="40" t="s">
        <v>351</v>
      </c>
      <c r="B498" s="46">
        <f ca="1">Expense!A465</f>
        <v>6118.6409139712996</v>
      </c>
      <c r="C498" s="46">
        <f ca="1">Income!A465</f>
        <v>6120</v>
      </c>
    </row>
    <row r="499" spans="1:3">
      <c r="A499" s="40" t="s">
        <v>352</v>
      </c>
      <c r="B499" s="46">
        <f ca="1">Expense!A466</f>
        <v>4977.8411914805602</v>
      </c>
      <c r="C499" s="46">
        <f ca="1">Income!A466</f>
        <v>6119</v>
      </c>
    </row>
    <row r="500" spans="1:3">
      <c r="A500" s="40" t="s">
        <v>353</v>
      </c>
      <c r="B500" s="46">
        <f ca="1">Expense!A467</f>
        <v>6565.7107963932403</v>
      </c>
      <c r="C500" s="46">
        <f ca="1">Income!A467</f>
        <v>4978</v>
      </c>
    </row>
    <row r="501" spans="1:3">
      <c r="A501" s="40" t="s">
        <v>354</v>
      </c>
      <c r="B501" s="46">
        <f ca="1">Expense!A468</f>
        <v>7853.4395921482701</v>
      </c>
      <c r="C501" s="46">
        <f ca="1">Income!A468</f>
        <v>6114</v>
      </c>
    </row>
    <row r="502" spans="1:3">
      <c r="A502" s="40" t="s">
        <v>355</v>
      </c>
      <c r="B502" s="46">
        <f ca="1">Expense!A469</f>
        <v>5975.6638531343797</v>
      </c>
      <c r="C502" s="46">
        <f ca="1">Income!A469</f>
        <v>7936</v>
      </c>
    </row>
    <row r="503" spans="1:3">
      <c r="A503" s="40" t="s">
        <v>356</v>
      </c>
      <c r="B503" s="46">
        <f ca="1">Expense!A470</f>
        <v>5622.5343268151501</v>
      </c>
      <c r="C503" s="46">
        <f ca="1">Income!A470</f>
        <v>0</v>
      </c>
    </row>
    <row r="504" spans="1:3">
      <c r="A504" s="40" t="s">
        <v>357</v>
      </c>
      <c r="B504" s="46">
        <f ca="1">Expense!A471</f>
        <v>5468.5129946290599</v>
      </c>
      <c r="C504" s="40">
        <f ca="1">Income!A471</f>
        <v>0</v>
      </c>
    </row>
    <row r="505" spans="1:3">
      <c r="A505" s="40" t="s">
        <v>358</v>
      </c>
      <c r="B505" s="46">
        <f ca="1">Expense!A472</f>
        <v>5550.5861320161202</v>
      </c>
      <c r="C505" s="46">
        <f ca="1">Income!A472</f>
        <v>0</v>
      </c>
    </row>
    <row r="506" spans="1:3">
      <c r="B506" s="46">
        <f ca="1">Expense!A473</f>
        <v>70265.303641314196</v>
      </c>
      <c r="C506" s="40">
        <f ca="1">Income!A473</f>
        <v>56799</v>
      </c>
    </row>
    <row r="507" spans="1:3">
      <c r="B507" s="40">
        <f>Expense!A474</f>
        <v>0</v>
      </c>
      <c r="C507" s="46">
        <f ca="1">Income!A474</f>
        <v>-13466.3036413142</v>
      </c>
    </row>
    <row r="508" spans="1:3">
      <c r="B508" s="40">
        <f>Expense!A475</f>
        <v>0</v>
      </c>
      <c r="C508" s="40">
        <f>Income!A475</f>
        <v>0</v>
      </c>
    </row>
    <row r="509" spans="1:3">
      <c r="B509" s="40">
        <f>Expense!A476</f>
        <v>0</v>
      </c>
      <c r="C509" s="40">
        <f>Income!A476</f>
        <v>0</v>
      </c>
    </row>
    <row r="510" spans="1:3">
      <c r="B510" s="40" t="str">
        <f ca="1">Expense!A477</f>
        <v>G13</v>
      </c>
      <c r="C510" s="40">
        <f>Income!A477</f>
        <v>0</v>
      </c>
    </row>
    <row r="511" spans="1:3">
      <c r="A511" s="40" t="s">
        <v>347</v>
      </c>
      <c r="B511" s="46">
        <f ca="1">Expense!A478</f>
        <v>6399.18536236205</v>
      </c>
      <c r="C511" s="40">
        <f>Income!A478</f>
        <v>0</v>
      </c>
    </row>
    <row r="512" spans="1:3">
      <c r="A512" s="40" t="s">
        <v>348</v>
      </c>
      <c r="B512" s="46">
        <f ca="1">Expense!A479</f>
        <v>4704.5712666219497</v>
      </c>
      <c r="C512" s="40">
        <f ca="1">Income!A479</f>
        <v>6379</v>
      </c>
    </row>
    <row r="513" spans="1:3">
      <c r="A513" s="40" t="s">
        <v>349</v>
      </c>
      <c r="B513" s="46">
        <f ca="1">Expense!A480</f>
        <v>4724.9387761888702</v>
      </c>
      <c r="C513" s="40">
        <f ca="1">Income!A480</f>
        <v>0</v>
      </c>
    </row>
    <row r="514" spans="1:3">
      <c r="A514" s="40" t="s">
        <v>350</v>
      </c>
      <c r="B514" s="46">
        <f ca="1">Expense!A481</f>
        <v>5925.0068550878004</v>
      </c>
      <c r="C514" s="40">
        <f ca="1">Income!A481</f>
        <v>13339</v>
      </c>
    </row>
    <row r="515" spans="1:3">
      <c r="A515" s="40" t="s">
        <v>351</v>
      </c>
      <c r="B515" s="46">
        <f ca="1">Expense!A482</f>
        <v>6282.7477371493096</v>
      </c>
      <c r="C515" s="40">
        <f ca="1">Income!A482</f>
        <v>0</v>
      </c>
    </row>
    <row r="516" spans="1:3">
      <c r="A516" s="40" t="s">
        <v>352</v>
      </c>
      <c r="B516" s="46">
        <f ca="1">Expense!A483</f>
        <v>5187.0215055437902</v>
      </c>
      <c r="C516" s="117">
        <f ca="1">Income!A483</f>
        <v>12208</v>
      </c>
    </row>
    <row r="517" spans="1:3">
      <c r="A517" s="40" t="s">
        <v>353</v>
      </c>
      <c r="B517" s="46">
        <f ca="1">Expense!A484</f>
        <v>6825.9630185066999</v>
      </c>
      <c r="C517" s="40">
        <f ca="1">Income!A484</f>
        <v>0</v>
      </c>
    </row>
    <row r="518" spans="1:3">
      <c r="A518" s="40" t="s">
        <v>354</v>
      </c>
      <c r="B518" s="46">
        <f ca="1">Expense!A485</f>
        <v>7750.7004611684297</v>
      </c>
      <c r="C518" s="40">
        <f ca="1">Income!A485</f>
        <v>0</v>
      </c>
    </row>
    <row r="519" spans="1:3">
      <c r="A519" s="40" t="s">
        <v>355</v>
      </c>
      <c r="B519" s="46">
        <f ca="1">Expense!A486</f>
        <v>5575.2228877649204</v>
      </c>
      <c r="C519" s="40">
        <f ca="1">Income!A486</f>
        <v>0</v>
      </c>
    </row>
    <row r="520" spans="1:3">
      <c r="A520" s="40" t="s">
        <v>356</v>
      </c>
      <c r="B520" s="46">
        <f ca="1">Expense!A487</f>
        <v>5381.9232965835699</v>
      </c>
      <c r="C520" s="40">
        <f ca="1">Income!A487</f>
        <v>22000</v>
      </c>
    </row>
    <row r="521" spans="1:3">
      <c r="A521" s="40" t="s">
        <v>357</v>
      </c>
      <c r="B521" s="46">
        <f ca="1">Expense!A488</f>
        <v>5345.1323243195302</v>
      </c>
      <c r="C521" s="40">
        <f ca="1">Income!A488</f>
        <v>0</v>
      </c>
    </row>
    <row r="522" spans="1:3">
      <c r="A522" s="40" t="s">
        <v>358</v>
      </c>
      <c r="B522" s="46">
        <f ca="1">Expense!A489</f>
        <v>4936.7051313664997</v>
      </c>
      <c r="C522" s="40">
        <f ca="1">Income!A489</f>
        <v>0</v>
      </c>
    </row>
    <row r="523" spans="1:3">
      <c r="B523" s="46">
        <f ca="1">Expense!A490</f>
        <v>69039.118622663402</v>
      </c>
      <c r="C523" s="40">
        <f ca="1">Income!A490</f>
        <v>53926</v>
      </c>
    </row>
    <row r="524" spans="1:3">
      <c r="B524" s="40">
        <f>Expense!A491</f>
        <v>0</v>
      </c>
      <c r="C524" s="46">
        <f ca="1">Income!A491</f>
        <v>-15113.1186226634</v>
      </c>
    </row>
    <row r="525" spans="1:3">
      <c r="B525" s="40">
        <f>Expense!A492</f>
        <v>0</v>
      </c>
      <c r="C525" s="40">
        <f>Income!A492</f>
        <v>0</v>
      </c>
    </row>
    <row r="526" spans="1:3">
      <c r="B526" s="40">
        <f>Expense!A493</f>
        <v>0</v>
      </c>
      <c r="C526" s="40">
        <f>Income!A493</f>
        <v>0</v>
      </c>
    </row>
    <row r="527" spans="1:3">
      <c r="B527" s="40" t="str">
        <f ca="1">Expense!A494</f>
        <v>G14</v>
      </c>
      <c r="C527" s="40">
        <f>Income!A494</f>
        <v>0</v>
      </c>
    </row>
    <row r="528" spans="1:3">
      <c r="A528" s="40" t="s">
        <v>347</v>
      </c>
      <c r="B528" s="46">
        <f ca="1">Expense!A495</f>
        <v>5772.4935013634204</v>
      </c>
      <c r="C528" s="40">
        <f>Income!A495</f>
        <v>0</v>
      </c>
    </row>
    <row r="529" spans="1:3">
      <c r="A529" s="40" t="s">
        <v>348</v>
      </c>
      <c r="B529" s="46">
        <f ca="1">Expense!A496</f>
        <v>5458.0771306077004</v>
      </c>
      <c r="C529" s="40">
        <f ca="1">Income!A496</f>
        <v>5734</v>
      </c>
    </row>
    <row r="530" spans="1:3">
      <c r="A530" s="40" t="s">
        <v>349</v>
      </c>
      <c r="B530" s="46">
        <f ca="1">Expense!A497</f>
        <v>4968.6133333294902</v>
      </c>
      <c r="C530" s="40">
        <f ca="1">Income!A497</f>
        <v>5435</v>
      </c>
    </row>
    <row r="531" spans="1:3">
      <c r="A531" s="40" t="s">
        <v>350</v>
      </c>
      <c r="B531" s="46">
        <f ca="1">Expense!A498</f>
        <v>5790.2369543507502</v>
      </c>
      <c r="C531" s="40">
        <f ca="1">Income!A498</f>
        <v>4969</v>
      </c>
    </row>
    <row r="532" spans="1:3">
      <c r="A532" s="40" t="s">
        <v>351</v>
      </c>
      <c r="B532" s="46">
        <f ca="1">Expense!A499</f>
        <v>6613.1733565946397</v>
      </c>
      <c r="C532" s="40">
        <f ca="1">Income!A499</f>
        <v>5790</v>
      </c>
    </row>
    <row r="533" spans="1:3">
      <c r="A533" s="40" t="s">
        <v>352</v>
      </c>
      <c r="B533" s="46">
        <f ca="1">Expense!A500</f>
        <v>5303.56677577968</v>
      </c>
      <c r="C533" s="40">
        <f ca="1">Income!A500</f>
        <v>5790</v>
      </c>
    </row>
    <row r="534" spans="1:3">
      <c r="A534" s="40" t="s">
        <v>353</v>
      </c>
      <c r="B534" s="46">
        <f ca="1">Expense!A501</f>
        <v>6947.0454665990401</v>
      </c>
      <c r="C534" s="46">
        <f ca="1">Income!A501</f>
        <v>5304</v>
      </c>
    </row>
    <row r="535" spans="1:3">
      <c r="A535" s="40" t="s">
        <v>354</v>
      </c>
      <c r="B535" s="46">
        <f ca="1">Expense!A502</f>
        <v>7284.5175839069798</v>
      </c>
      <c r="C535" s="40">
        <f ca="1">Income!A502</f>
        <v>6231</v>
      </c>
    </row>
    <row r="536" spans="1:3">
      <c r="A536" s="40" t="s">
        <v>355</v>
      </c>
      <c r="B536" s="46">
        <f ca="1">Expense!A503</f>
        <v>6027.4029007282797</v>
      </c>
      <c r="C536" s="40">
        <f ca="1">Income!A503</f>
        <v>7366.24</v>
      </c>
    </row>
    <row r="537" spans="1:3">
      <c r="A537" s="40" t="s">
        <v>356</v>
      </c>
      <c r="B537" s="46">
        <f ca="1">Expense!A504</f>
        <v>5568.1679952026097</v>
      </c>
      <c r="C537" s="40">
        <f ca="1">Income!A504</f>
        <v>6004.73</v>
      </c>
    </row>
    <row r="538" spans="1:3">
      <c r="A538" s="40" t="s">
        <v>357</v>
      </c>
      <c r="B538" s="46">
        <f ca="1">Expense!A505</f>
        <v>5193.3063333721702</v>
      </c>
      <c r="C538" s="40">
        <f ca="1">Income!A505</f>
        <v>5591</v>
      </c>
    </row>
    <row r="539" spans="1:3">
      <c r="A539" s="40" t="s">
        <v>358</v>
      </c>
      <c r="B539" s="46">
        <f ca="1">Expense!A506</f>
        <v>5969.9980744346603</v>
      </c>
      <c r="C539" s="40">
        <f ca="1">Income!A506</f>
        <v>5193</v>
      </c>
    </row>
    <row r="540" spans="1:3">
      <c r="B540" s="46">
        <f ca="1">Expense!A507</f>
        <v>70896.599406269495</v>
      </c>
      <c r="C540" s="40">
        <f ca="1">Income!A507</f>
        <v>63407.97</v>
      </c>
    </row>
    <row r="541" spans="1:3">
      <c r="B541" s="40">
        <f>Expense!A508</f>
        <v>0</v>
      </c>
      <c r="C541" s="46">
        <f ca="1">Income!A508</f>
        <v>-7488.6294062694897</v>
      </c>
    </row>
    <row r="542" spans="1:3">
      <c r="B542" s="40">
        <f>Expense!A509</f>
        <v>0</v>
      </c>
      <c r="C542" s="40">
        <f>Income!A509</f>
        <v>0</v>
      </c>
    </row>
    <row r="543" spans="1:3">
      <c r="B543" s="40">
        <f>Expense!A510</f>
        <v>0</v>
      </c>
      <c r="C543" s="40">
        <f>Income!A510</f>
        <v>0</v>
      </c>
    </row>
    <row r="544" spans="1:3">
      <c r="B544" s="40" t="str">
        <f ca="1">Expense!A511</f>
        <v>G15</v>
      </c>
      <c r="C544" s="40">
        <f>Income!A511</f>
        <v>0</v>
      </c>
    </row>
    <row r="545" spans="1:3">
      <c r="A545" s="40" t="s">
        <v>347</v>
      </c>
      <c r="B545" s="46">
        <f ca="1">Expense!A512</f>
        <v>6113.6941181248003</v>
      </c>
      <c r="C545" s="40">
        <f>Income!A512</f>
        <v>0</v>
      </c>
    </row>
    <row r="546" spans="1:3">
      <c r="A546" s="40" t="s">
        <v>348</v>
      </c>
      <c r="B546" s="46">
        <f ca="1">Expense!A513</f>
        <v>4590.2178159039804</v>
      </c>
      <c r="C546" s="46">
        <f ca="1">Income!A513</f>
        <v>0</v>
      </c>
    </row>
    <row r="547" spans="1:3">
      <c r="A547" s="40" t="s">
        <v>349</v>
      </c>
      <c r="B547" s="46">
        <f ca="1">Expense!A514</f>
        <v>4414.4616899162102</v>
      </c>
      <c r="C547" s="46">
        <f ca="1">Income!A514</f>
        <v>4568</v>
      </c>
    </row>
    <row r="548" spans="1:3">
      <c r="A548" s="40" t="s">
        <v>350</v>
      </c>
      <c r="B548" s="46">
        <f ca="1">Expense!A515</f>
        <v>5225.6822781618503</v>
      </c>
      <c r="C548" s="46">
        <f ca="1">Income!A515</f>
        <v>0</v>
      </c>
    </row>
    <row r="549" spans="1:3">
      <c r="A549" s="40" t="s">
        <v>351</v>
      </c>
      <c r="B549" s="46">
        <f ca="1">Expense!A516</f>
        <v>5699.7221825156203</v>
      </c>
      <c r="C549" s="46">
        <f ca="1">Income!A516</f>
        <v>5226</v>
      </c>
    </row>
    <row r="550" spans="1:3">
      <c r="A550" s="40" t="s">
        <v>352</v>
      </c>
      <c r="B550" s="46">
        <f ca="1">Expense!A517</f>
        <v>5011.21859959635</v>
      </c>
      <c r="C550" s="46">
        <f ca="1">Income!A517</f>
        <v>5226</v>
      </c>
    </row>
    <row r="551" spans="1:3">
      <c r="A551" s="40" t="s">
        <v>353</v>
      </c>
      <c r="B551" s="46">
        <f ca="1">Expense!A518</f>
        <v>6578.5914176651304</v>
      </c>
      <c r="C551" s="46">
        <f ca="1">Income!A518</f>
        <v>0</v>
      </c>
    </row>
    <row r="552" spans="1:3">
      <c r="A552" s="40" t="s">
        <v>354</v>
      </c>
      <c r="B552" s="46">
        <f ca="1">Expense!A519</f>
        <v>7575.1313800560501</v>
      </c>
      <c r="C552" s="46">
        <f ca="1">Income!A519</f>
        <v>11242</v>
      </c>
    </row>
    <row r="553" spans="1:3">
      <c r="A553" s="40" t="s">
        <v>355</v>
      </c>
      <c r="B553" s="46">
        <f ca="1">Expense!A520</f>
        <v>5604.8400183595204</v>
      </c>
      <c r="C553" s="46">
        <f ca="1">Income!A520</f>
        <v>0</v>
      </c>
    </row>
    <row r="554" spans="1:3">
      <c r="A554" s="40" t="s">
        <v>356</v>
      </c>
      <c r="B554" s="46">
        <f ca="1">Expense!A521</f>
        <v>5258.1436891912899</v>
      </c>
      <c r="C554" s="46">
        <f ca="1">Income!A521</f>
        <v>5582.17</v>
      </c>
    </row>
    <row r="555" spans="1:3">
      <c r="A555" s="40" t="s">
        <v>357</v>
      </c>
      <c r="B555" s="46">
        <f ca="1">Expense!A522</f>
        <v>4807.0649687797104</v>
      </c>
      <c r="C555" s="46">
        <f ca="1">Income!A522</f>
        <v>5281</v>
      </c>
    </row>
    <row r="556" spans="1:3">
      <c r="A556" s="40" t="s">
        <v>358</v>
      </c>
      <c r="B556" s="46">
        <f ca="1">Expense!A523</f>
        <v>4867.9280349504897</v>
      </c>
      <c r="C556" s="40">
        <f ca="1">Income!A523</f>
        <v>0</v>
      </c>
    </row>
    <row r="557" spans="1:3">
      <c r="B557" s="46">
        <f ca="1">Expense!A524</f>
        <v>65746.696193220996</v>
      </c>
      <c r="C557" s="40">
        <f ca="1">Income!A524</f>
        <v>37125.17</v>
      </c>
    </row>
    <row r="558" spans="1:3">
      <c r="B558" s="40">
        <f>Expense!A525</f>
        <v>0</v>
      </c>
      <c r="C558" s="46">
        <f ca="1">Income!A525</f>
        <v>-28621.526193221001</v>
      </c>
    </row>
    <row r="559" spans="1:3">
      <c r="B559" s="40">
        <f>Expense!A526</f>
        <v>0</v>
      </c>
      <c r="C559" s="40">
        <f>Income!A526</f>
        <v>0</v>
      </c>
    </row>
    <row r="560" spans="1:3">
      <c r="B560" s="40">
        <f>Expense!A527</f>
        <v>0</v>
      </c>
      <c r="C560" s="40">
        <f>Income!A527</f>
        <v>0</v>
      </c>
    </row>
    <row r="561" spans="1:3">
      <c r="B561" s="40" t="str">
        <f ca="1">Expense!A528</f>
        <v>G16</v>
      </c>
      <c r="C561" s="40">
        <f>Income!A528</f>
        <v>0</v>
      </c>
    </row>
    <row r="562" spans="1:3">
      <c r="A562" s="40" t="s">
        <v>347</v>
      </c>
      <c r="B562" s="46">
        <f ca="1">Expense!A529</f>
        <v>5469.9560052052502</v>
      </c>
      <c r="C562" s="40">
        <f>Income!A529</f>
        <v>0</v>
      </c>
    </row>
    <row r="563" spans="1:3">
      <c r="A563" s="40" t="s">
        <v>348</v>
      </c>
      <c r="B563" s="46">
        <f ca="1">Expense!A530</f>
        <v>4750.1008519326597</v>
      </c>
      <c r="C563" s="40">
        <f ca="1">Income!A530</f>
        <v>0</v>
      </c>
    </row>
    <row r="564" spans="1:3">
      <c r="A564" s="40" t="s">
        <v>349</v>
      </c>
      <c r="B564" s="46">
        <f ca="1">Expense!A531</f>
        <v>4519.0464357863502</v>
      </c>
      <c r="C564" s="40">
        <f ca="1">Income!A531</f>
        <v>10158</v>
      </c>
    </row>
    <row r="565" spans="1:3">
      <c r="A565" s="40" t="s">
        <v>350</v>
      </c>
      <c r="B565" s="46">
        <f ca="1">Expense!A532</f>
        <v>5297.3781108974899</v>
      </c>
      <c r="C565" s="40">
        <f ca="1">Income!A532</f>
        <v>4519.05</v>
      </c>
    </row>
    <row r="566" spans="1:3">
      <c r="A566" s="40" t="s">
        <v>351</v>
      </c>
      <c r="B566" s="46">
        <f ca="1">Expense!A533</f>
        <v>5766.2017438361399</v>
      </c>
      <c r="C566" s="40">
        <f ca="1">Income!A533</f>
        <v>5297.38</v>
      </c>
    </row>
    <row r="567" spans="1:3">
      <c r="A567" s="40" t="s">
        <v>352</v>
      </c>
      <c r="B567" s="46">
        <f ca="1">Expense!A534</f>
        <v>4944.2329712266001</v>
      </c>
      <c r="C567" s="40">
        <f ca="1">Income!A534</f>
        <v>7235</v>
      </c>
    </row>
    <row r="568" spans="1:3">
      <c r="A568" s="40" t="s">
        <v>353</v>
      </c>
      <c r="B568" s="46">
        <f ca="1">Expense!A535</f>
        <v>6366.6340377262804</v>
      </c>
      <c r="C568" s="46">
        <f ca="1">Income!A535</f>
        <v>4944</v>
      </c>
    </row>
    <row r="569" spans="1:3">
      <c r="A569" s="40" t="s">
        <v>354</v>
      </c>
      <c r="B569" s="46">
        <f ca="1">Expense!A536</f>
        <v>6756.0117864637295</v>
      </c>
      <c r="C569" s="40">
        <f ca="1">Income!A536</f>
        <v>6114</v>
      </c>
    </row>
    <row r="570" spans="1:3">
      <c r="A570" s="40" t="s">
        <v>355</v>
      </c>
      <c r="B570" s="46">
        <f ca="1">Expense!A537</f>
        <v>5298.9973089126097</v>
      </c>
      <c r="C570" s="40">
        <f ca="1">Income!A537</f>
        <v>0</v>
      </c>
    </row>
    <row r="571" spans="1:3">
      <c r="A571" s="40" t="s">
        <v>356</v>
      </c>
      <c r="B571" s="46">
        <f ca="1">Expense!A538</f>
        <v>5126.3766681584502</v>
      </c>
      <c r="C571" s="40">
        <f ca="1">Income!A538</f>
        <v>12119.66</v>
      </c>
    </row>
    <row r="572" spans="1:3">
      <c r="A572" s="40" t="s">
        <v>357</v>
      </c>
      <c r="B572" s="46">
        <f ca="1">Expense!A539</f>
        <v>5165.7017429773796</v>
      </c>
      <c r="C572" s="40">
        <f ca="1">Income!A539</f>
        <v>5143</v>
      </c>
    </row>
    <row r="573" spans="1:3">
      <c r="A573" s="40" t="s">
        <v>358</v>
      </c>
      <c r="B573" s="46">
        <f ca="1">Expense!A540</f>
        <v>4819.02782029849</v>
      </c>
      <c r="C573" s="40">
        <f ca="1">Income!A540</f>
        <v>5166</v>
      </c>
    </row>
    <row r="574" spans="1:3">
      <c r="B574" s="46">
        <f ca="1">Expense!A541</f>
        <v>64279.665483421501</v>
      </c>
      <c r="C574" s="40">
        <f ca="1">Income!A541</f>
        <v>60696.09</v>
      </c>
    </row>
    <row r="575" spans="1:3">
      <c r="B575" s="40">
        <f>Expense!A542</f>
        <v>0</v>
      </c>
      <c r="C575" s="46">
        <f ca="1">Income!A542</f>
        <v>-3583.5754834215099</v>
      </c>
    </row>
    <row r="576" spans="1:3">
      <c r="B576" s="40">
        <f>Expense!A543</f>
        <v>0</v>
      </c>
      <c r="C576" s="40">
        <f>Income!A543</f>
        <v>0</v>
      </c>
    </row>
    <row r="577" spans="1:3">
      <c r="B577" s="40">
        <f>Expense!A544</f>
        <v>0</v>
      </c>
      <c r="C577" s="40">
        <f>Income!A544</f>
        <v>0</v>
      </c>
    </row>
    <row r="578" spans="1:3">
      <c r="B578" s="40" t="str">
        <f ca="1">Expense!A545</f>
        <v>S1</v>
      </c>
      <c r="C578" s="40">
        <f>Income!A545</f>
        <v>0</v>
      </c>
    </row>
    <row r="579" spans="1:3">
      <c r="A579" s="40" t="s">
        <v>347</v>
      </c>
      <c r="B579" s="46">
        <f ca="1">Expense!A546</f>
        <v>5334.5148437500002</v>
      </c>
      <c r="C579" s="40">
        <f>Income!A546</f>
        <v>0</v>
      </c>
    </row>
    <row r="580" spans="1:3">
      <c r="A580" s="40" t="s">
        <v>348</v>
      </c>
      <c r="B580" s="46">
        <f ca="1">Expense!A547</f>
        <v>4029.8636485156198</v>
      </c>
      <c r="C580" s="46">
        <f ca="1">Income!A547</f>
        <v>5286</v>
      </c>
    </row>
    <row r="581" spans="1:3">
      <c r="A581" s="40" t="s">
        <v>349</v>
      </c>
      <c r="B581" s="46">
        <f ca="1">Expense!A548</f>
        <v>4365.16651730383</v>
      </c>
      <c r="C581" s="46">
        <f ca="1">Income!A548</f>
        <v>4012</v>
      </c>
    </row>
    <row r="582" spans="1:3">
      <c r="A582" s="40" t="s">
        <v>350</v>
      </c>
      <c r="B582" s="46">
        <f ca="1">Expense!A549</f>
        <v>5177.8030768544404</v>
      </c>
      <c r="C582" s="46">
        <f ca="1">Income!A549</f>
        <v>4365.17</v>
      </c>
    </row>
    <row r="583" spans="1:3">
      <c r="A583" s="40" t="s">
        <v>351</v>
      </c>
      <c r="B583" s="46">
        <f ca="1">Expense!A550</f>
        <v>5581.9105235156203</v>
      </c>
      <c r="C583" s="46">
        <f ca="1">Income!A550</f>
        <v>5177</v>
      </c>
    </row>
    <row r="584" spans="1:3">
      <c r="A584" s="40" t="s">
        <v>352</v>
      </c>
      <c r="B584" s="46">
        <f ca="1">Expense!A551</f>
        <v>4841.0443090400604</v>
      </c>
      <c r="C584" s="46">
        <f ca="1">Income!A551</f>
        <v>5581.91</v>
      </c>
    </row>
    <row r="585" spans="1:3">
      <c r="A585" s="40" t="s">
        <v>353</v>
      </c>
      <c r="B585" s="46">
        <f ca="1">Expense!A552</f>
        <v>6315.5233246657999</v>
      </c>
      <c r="C585" s="46">
        <f ca="1">Income!A552</f>
        <v>4841.04</v>
      </c>
    </row>
    <row r="586" spans="1:3">
      <c r="A586" s="40" t="s">
        <v>354</v>
      </c>
      <c r="B586" s="46">
        <f ca="1">Expense!A553</f>
        <v>7163.7523358424896</v>
      </c>
      <c r="C586" s="46">
        <f ca="1">Income!A553</f>
        <v>6114</v>
      </c>
    </row>
    <row r="587" spans="1:3">
      <c r="A587" s="40" t="s">
        <v>355</v>
      </c>
      <c r="B587" s="46">
        <f ca="1">Expense!A554</f>
        <v>5209.3913405531703</v>
      </c>
      <c r="C587" s="46">
        <f ca="1">Income!A554</f>
        <v>7245.47</v>
      </c>
    </row>
    <row r="588" spans="1:3">
      <c r="A588" s="40" t="s">
        <v>356</v>
      </c>
      <c r="B588" s="46">
        <f ca="1">Expense!A555</f>
        <v>4877.1101484443298</v>
      </c>
      <c r="C588" s="46">
        <f ca="1">Income!A555</f>
        <v>5192.32</v>
      </c>
    </row>
    <row r="589" spans="1:3">
      <c r="A589" s="40" t="s">
        <v>357</v>
      </c>
      <c r="B589" s="46">
        <f ca="1">Expense!A556</f>
        <v>4572.7891027598298</v>
      </c>
      <c r="C589" s="46">
        <f ca="1">Income!A556</f>
        <v>4894</v>
      </c>
    </row>
    <row r="590" spans="1:3">
      <c r="A590" s="40" t="s">
        <v>358</v>
      </c>
      <c r="B590" s="46">
        <f ca="1">Expense!A557</f>
        <v>4890.0163989143803</v>
      </c>
      <c r="C590" s="40">
        <f ca="1">Income!A557</f>
        <v>4573</v>
      </c>
    </row>
    <row r="591" spans="1:3">
      <c r="B591" s="46">
        <f ca="1">Expense!A558</f>
        <v>62358.885570159597</v>
      </c>
      <c r="C591" s="40">
        <f ca="1">Income!A558</f>
        <v>57281.909999999902</v>
      </c>
    </row>
    <row r="592" spans="1:3">
      <c r="B592" s="40">
        <f>Expense!A559</f>
        <v>0</v>
      </c>
      <c r="C592" s="46">
        <f ca="1">Income!A559</f>
        <v>-5076.9755701596096</v>
      </c>
    </row>
    <row r="593" spans="1:3">
      <c r="B593" s="40">
        <f>Expense!A560</f>
        <v>0</v>
      </c>
      <c r="C593" s="40">
        <f>Income!A560</f>
        <v>0</v>
      </c>
    </row>
    <row r="594" spans="1:3">
      <c r="B594" s="40">
        <f>Expense!A561</f>
        <v>0</v>
      </c>
      <c r="C594" s="40">
        <f>Income!A561</f>
        <v>0</v>
      </c>
    </row>
    <row r="595" spans="1:3">
      <c r="B595" s="40" t="str">
        <f ca="1">Expense!A562</f>
        <v>S2</v>
      </c>
      <c r="C595" s="40">
        <f>Income!A562</f>
        <v>0</v>
      </c>
    </row>
    <row r="596" spans="1:3">
      <c r="A596" s="40" t="s">
        <v>347</v>
      </c>
      <c r="B596" s="46">
        <f ca="1">Expense!A563</f>
        <v>8208.6854521879395</v>
      </c>
      <c r="C596" s="40">
        <f>Income!A563</f>
        <v>0</v>
      </c>
    </row>
    <row r="597" spans="1:3">
      <c r="A597" s="40" t="s">
        <v>348</v>
      </c>
      <c r="B597" s="46">
        <f ca="1">Expense!A564</f>
        <v>7121.8856052159799</v>
      </c>
      <c r="C597" s="40">
        <f ca="1">Income!A564</f>
        <v>21099</v>
      </c>
    </row>
    <row r="598" spans="1:3">
      <c r="A598" s="40" t="s">
        <v>349</v>
      </c>
      <c r="B598" s="46">
        <f ca="1">Expense!A565</f>
        <v>7058.3870700698299</v>
      </c>
      <c r="C598" s="46">
        <f ca="1">Income!A565</f>
        <v>77099</v>
      </c>
    </row>
    <row r="599" spans="1:3">
      <c r="A599" s="40" t="s">
        <v>350</v>
      </c>
      <c r="B599" s="46">
        <f ca="1">Expense!A566</f>
        <v>8300.9970488782601</v>
      </c>
      <c r="C599" s="46">
        <f ca="1">Income!A566</f>
        <v>0</v>
      </c>
    </row>
    <row r="600" spans="1:3">
      <c r="A600" s="40" t="s">
        <v>351</v>
      </c>
      <c r="B600" s="46">
        <f ca="1">Expense!A567</f>
        <v>9210.8168098141905</v>
      </c>
      <c r="C600" s="46">
        <f ca="1">Income!A567</f>
        <v>15859</v>
      </c>
    </row>
    <row r="601" spans="1:3">
      <c r="A601" s="40" t="s">
        <v>352</v>
      </c>
      <c r="B601" s="46">
        <f ca="1">Expense!A568</f>
        <v>7566.3495394434703</v>
      </c>
      <c r="C601" s="46">
        <f ca="1">Income!A568</f>
        <v>0</v>
      </c>
    </row>
    <row r="602" spans="1:3">
      <c r="A602" s="40" t="s">
        <v>353</v>
      </c>
      <c r="B602" s="46">
        <f ca="1">Expense!A569</f>
        <v>9405.9914352738106</v>
      </c>
      <c r="C602" s="46">
        <f ca="1">Income!A569</f>
        <v>0</v>
      </c>
    </row>
    <row r="603" spans="1:3">
      <c r="A603" s="40" t="s">
        <v>354</v>
      </c>
      <c r="B603" s="46">
        <f ca="1">Expense!A570</f>
        <v>8947.7271636671503</v>
      </c>
      <c r="C603" s="46">
        <f ca="1">Income!A570</f>
        <v>0</v>
      </c>
    </row>
    <row r="604" spans="1:3">
      <c r="A604" s="40" t="s">
        <v>355</v>
      </c>
      <c r="B604" s="46">
        <f ca="1">Expense!A571</f>
        <v>5831.9204065967497</v>
      </c>
      <c r="C604" s="46">
        <f ca="1">Income!A571</f>
        <v>0</v>
      </c>
    </row>
    <row r="605" spans="1:3">
      <c r="A605" s="40" t="s">
        <v>356</v>
      </c>
      <c r="B605" s="46">
        <f ca="1">Expense!A572</f>
        <v>5791.7878256489503</v>
      </c>
      <c r="C605" s="46">
        <f ca="1">Income!A572</f>
        <v>6231</v>
      </c>
    </row>
    <row r="606" spans="1:3">
      <c r="A606" s="40" t="s">
        <v>357</v>
      </c>
      <c r="B606" s="46">
        <f ca="1">Expense!A573</f>
        <v>5653.4330499110101</v>
      </c>
      <c r="C606" s="40">
        <f ca="1">Income!A573</f>
        <v>5809.25</v>
      </c>
    </row>
    <row r="607" spans="1:3">
      <c r="A607" s="40" t="s">
        <v>358</v>
      </c>
      <c r="B607" s="46">
        <f ca="1">Expense!A574</f>
        <v>6948.1808810820003</v>
      </c>
      <c r="C607" s="46">
        <f ca="1">Income!A574</f>
        <v>5814</v>
      </c>
    </row>
    <row r="608" spans="1:3">
      <c r="B608" s="46">
        <f ca="1">Expense!A575</f>
        <v>90046.162287789295</v>
      </c>
      <c r="C608" s="40">
        <f ca="1">Income!A575</f>
        <v>131911.25</v>
      </c>
    </row>
    <row r="609" spans="1:3">
      <c r="B609" s="40">
        <f>Expense!A576</f>
        <v>0</v>
      </c>
      <c r="C609" s="46">
        <f ca="1">Income!A576</f>
        <v>41865.087712210603</v>
      </c>
    </row>
    <row r="610" spans="1:3">
      <c r="B610" s="40">
        <f>Expense!A577</f>
        <v>0</v>
      </c>
      <c r="C610" s="40">
        <f>Income!A577</f>
        <v>0</v>
      </c>
    </row>
    <row r="611" spans="1:3">
      <c r="B611" s="40">
        <f>Expense!A578</f>
        <v>0</v>
      </c>
      <c r="C611" s="40">
        <f>Income!A578</f>
        <v>0</v>
      </c>
    </row>
    <row r="612" spans="1:3">
      <c r="B612" s="40" t="str">
        <f ca="1">Expense!A579</f>
        <v>S3</v>
      </c>
      <c r="C612" s="40">
        <f>Income!A579</f>
        <v>0</v>
      </c>
    </row>
    <row r="613" spans="1:3">
      <c r="A613" s="40" t="s">
        <v>347</v>
      </c>
      <c r="B613" s="46">
        <f ca="1">Expense!A580</f>
        <v>5597.3407650340796</v>
      </c>
      <c r="C613" s="40">
        <f>Income!A580</f>
        <v>0</v>
      </c>
    </row>
    <row r="614" spans="1:3">
      <c r="A614" s="40" t="s">
        <v>348</v>
      </c>
      <c r="B614" s="46">
        <f ca="1">Expense!A581</f>
        <v>4294.7358862969904</v>
      </c>
      <c r="C614" s="40">
        <f ca="1">Income!A581</f>
        <v>5553</v>
      </c>
    </row>
    <row r="615" spans="1:3">
      <c r="A615" s="40" t="s">
        <v>349</v>
      </c>
      <c r="B615" s="46">
        <f ca="1">Expense!A582</f>
        <v>4516.2540293633501</v>
      </c>
      <c r="C615" s="40">
        <f ca="1">Income!A582</f>
        <v>44238.54</v>
      </c>
    </row>
    <row r="616" spans="1:3">
      <c r="A616" s="40" t="s">
        <v>350</v>
      </c>
      <c r="B616" s="46">
        <f ca="1">Expense!A583</f>
        <v>5457.3476344639503</v>
      </c>
      <c r="C616" s="40">
        <f ca="1">Income!A583</f>
        <v>4573</v>
      </c>
    </row>
    <row r="617" spans="1:3">
      <c r="A617" s="40" t="s">
        <v>351</v>
      </c>
      <c r="B617" s="46">
        <f ca="1">Expense!A584</f>
        <v>5849.8145735826502</v>
      </c>
      <c r="C617" s="40">
        <f ca="1">Income!A584</f>
        <v>5457</v>
      </c>
    </row>
    <row r="618" spans="1:3">
      <c r="A618" s="40" t="s">
        <v>352</v>
      </c>
      <c r="B618" s="46">
        <f ca="1">Expense!A585</f>
        <v>4996.7193908584104</v>
      </c>
      <c r="C618" s="40">
        <f ca="1">Income!A585</f>
        <v>5457</v>
      </c>
    </row>
    <row r="619" spans="1:3">
      <c r="A619" s="40" t="s">
        <v>353</v>
      </c>
      <c r="B619" s="46">
        <f ca="1">Expense!A586</f>
        <v>6407.5139789387804</v>
      </c>
      <c r="C619" s="46">
        <f ca="1">Income!A586</f>
        <v>4997</v>
      </c>
    </row>
    <row r="620" spans="1:3">
      <c r="A620" s="40" t="s">
        <v>354</v>
      </c>
      <c r="B620" s="46">
        <f ca="1">Expense!A587</f>
        <v>6763.1849042773501</v>
      </c>
      <c r="C620" s="40">
        <f ca="1">Income!A587</f>
        <v>6231</v>
      </c>
    </row>
    <row r="621" spans="1:3">
      <c r="A621" s="40" t="s">
        <v>355</v>
      </c>
      <c r="B621" s="46">
        <f ca="1">Expense!A588</f>
        <v>5152.7071664321402</v>
      </c>
      <c r="C621" s="40">
        <f ca="1">Income!A588</f>
        <v>6845</v>
      </c>
    </row>
    <row r="622" spans="1:3">
      <c r="A622" s="40" t="s">
        <v>356</v>
      </c>
      <c r="B622" s="46">
        <f ca="1">Expense!A589</f>
        <v>5275.2167384867698</v>
      </c>
      <c r="C622" s="40">
        <f ca="1">Income!A589</f>
        <v>5130</v>
      </c>
    </row>
    <row r="623" spans="1:3">
      <c r="A623" s="40" t="s">
        <v>357</v>
      </c>
      <c r="B623" s="46">
        <f ca="1">Expense!A590</f>
        <v>4829.0228645388697</v>
      </c>
      <c r="C623" s="40">
        <f ca="1">Income!A590</f>
        <v>5298</v>
      </c>
    </row>
    <row r="624" spans="1:3">
      <c r="A624" s="40" t="s">
        <v>358</v>
      </c>
      <c r="B624" s="46">
        <f ca="1">Expense!A591</f>
        <v>5092.1723300174999</v>
      </c>
      <c r="C624" s="40">
        <f ca="1">Income!A591</f>
        <v>0</v>
      </c>
    </row>
    <row r="625" spans="1:3">
      <c r="B625" s="46">
        <f ca="1">Expense!A592</f>
        <v>64232.030262290798</v>
      </c>
      <c r="C625" s="40">
        <f ca="1">Income!A592</f>
        <v>93779.54</v>
      </c>
    </row>
    <row r="626" spans="1:3">
      <c r="B626" s="40">
        <f>Expense!A593</f>
        <v>0</v>
      </c>
      <c r="C626" s="46">
        <f ca="1">Income!A593</f>
        <v>29547.509737709101</v>
      </c>
    </row>
    <row r="627" spans="1:3">
      <c r="B627" s="40">
        <f>Expense!A594</f>
        <v>0</v>
      </c>
      <c r="C627" s="40">
        <f>Income!A594</f>
        <v>0</v>
      </c>
    </row>
    <row r="628" spans="1:3">
      <c r="B628" s="40">
        <f>Expense!A595</f>
        <v>0</v>
      </c>
      <c r="C628" s="40">
        <f>Income!A595</f>
        <v>0</v>
      </c>
    </row>
    <row r="629" spans="1:3">
      <c r="B629" s="40" t="str">
        <f ca="1">Expense!A596</f>
        <v>S4</v>
      </c>
      <c r="C629" s="40">
        <f>Income!A596</f>
        <v>0</v>
      </c>
    </row>
    <row r="630" spans="1:3">
      <c r="A630" s="40" t="s">
        <v>347</v>
      </c>
      <c r="B630" s="46">
        <f ca="1">Expense!A597</f>
        <v>6855.8488164196597</v>
      </c>
      <c r="C630" s="40">
        <f>Income!A597</f>
        <v>0</v>
      </c>
    </row>
    <row r="631" spans="1:3">
      <c r="A631" s="40" t="s">
        <v>348</v>
      </c>
      <c r="B631" s="46">
        <f ca="1">Expense!A598</f>
        <v>4913.9280862591704</v>
      </c>
      <c r="C631" s="46">
        <f ca="1">Income!A598</f>
        <v>6853</v>
      </c>
    </row>
    <row r="632" spans="1:3">
      <c r="A632" s="40" t="s">
        <v>349</v>
      </c>
      <c r="B632" s="46">
        <f ca="1">Expense!A599</f>
        <v>4515.5349136041896</v>
      </c>
      <c r="C632" s="46">
        <f ca="1">Income!A599</f>
        <v>4897</v>
      </c>
    </row>
    <row r="633" spans="1:3">
      <c r="A633" s="40" t="s">
        <v>350</v>
      </c>
      <c r="B633" s="46">
        <f ca="1">Expense!A600</f>
        <v>5289.8483104882898</v>
      </c>
      <c r="C633" s="46">
        <f ca="1">Income!A600</f>
        <v>4516</v>
      </c>
    </row>
    <row r="634" spans="1:3">
      <c r="A634" s="40" t="s">
        <v>351</v>
      </c>
      <c r="B634" s="46">
        <f ca="1">Expense!A601</f>
        <v>6420.7379843470899</v>
      </c>
      <c r="C634" s="46">
        <f ca="1">Income!A601</f>
        <v>5290</v>
      </c>
    </row>
    <row r="635" spans="1:3">
      <c r="A635" s="40" t="s">
        <v>352</v>
      </c>
      <c r="B635" s="46">
        <f ca="1">Expense!A602</f>
        <v>5637.2005888428503</v>
      </c>
      <c r="C635" s="46">
        <f ca="1">Income!A602</f>
        <v>5290</v>
      </c>
    </row>
    <row r="636" spans="1:3">
      <c r="A636" s="40" t="s">
        <v>353</v>
      </c>
      <c r="B636" s="46">
        <f ca="1">Expense!A603</f>
        <v>7696.3095218890903</v>
      </c>
      <c r="C636" s="46">
        <f ca="1">Income!A603</f>
        <v>0</v>
      </c>
    </row>
    <row r="637" spans="1:3">
      <c r="A637" s="40" t="s">
        <v>354</v>
      </c>
      <c r="B637" s="46">
        <f ca="1">Expense!A604</f>
        <v>7688.1354435223302</v>
      </c>
      <c r="C637" s="46">
        <f ca="1">Income!A604</f>
        <v>11751</v>
      </c>
    </row>
    <row r="638" spans="1:3">
      <c r="A638" s="40" t="s">
        <v>355</v>
      </c>
      <c r="B638" s="46">
        <f ca="1">Expense!A605</f>
        <v>6321.0712806420597</v>
      </c>
      <c r="C638" s="46">
        <f ca="1">Income!A605</f>
        <v>0</v>
      </c>
    </row>
    <row r="639" spans="1:3">
      <c r="A639" s="40" t="s">
        <v>356</v>
      </c>
      <c r="B639" s="46">
        <f ca="1">Expense!A606</f>
        <v>5842.1085868849495</v>
      </c>
      <c r="C639" s="46">
        <f ca="1">Income!A606</f>
        <v>0</v>
      </c>
    </row>
    <row r="640" spans="1:3">
      <c r="A640" s="40" t="s">
        <v>357</v>
      </c>
      <c r="B640" s="46">
        <f ca="1">Expense!A607</f>
        <v>5361.1962518421697</v>
      </c>
      <c r="C640" s="46">
        <f ca="1">Income!A607</f>
        <v>0</v>
      </c>
    </row>
    <row r="641" spans="1:3">
      <c r="A641" s="40" t="s">
        <v>358</v>
      </c>
      <c r="B641" s="46">
        <f ca="1">Expense!A608</f>
        <v>5779.8283768548499</v>
      </c>
      <c r="C641" s="40">
        <f ca="1">Income!A608</f>
        <v>5361</v>
      </c>
    </row>
    <row r="642" spans="1:3">
      <c r="B642" s="46">
        <f ca="1">Expense!A609</f>
        <v>72321.748161596697</v>
      </c>
      <c r="C642" s="40">
        <f ca="1">Income!A609</f>
        <v>43958</v>
      </c>
    </row>
    <row r="643" spans="1:3">
      <c r="B643" s="40">
        <f>Expense!A610</f>
        <v>0</v>
      </c>
      <c r="C643" s="46">
        <f ca="1">Income!A610</f>
        <v>-28363.748161596701</v>
      </c>
    </row>
    <row r="644" spans="1:3">
      <c r="B644" s="40">
        <f>Expense!A611</f>
        <v>0</v>
      </c>
      <c r="C644" s="40">
        <f>Income!A611</f>
        <v>0</v>
      </c>
    </row>
    <row r="645" spans="1:3">
      <c r="B645" s="40">
        <f>Expense!A612</f>
        <v>0</v>
      </c>
      <c r="C645" s="40">
        <f>Income!A612</f>
        <v>0</v>
      </c>
    </row>
    <row r="646" spans="1:3">
      <c r="B646" s="40" t="str">
        <f ca="1">Expense!A613</f>
        <v>S5</v>
      </c>
      <c r="C646" s="40">
        <f>Income!A613</f>
        <v>0</v>
      </c>
    </row>
    <row r="647" spans="1:3">
      <c r="A647" s="40" t="s">
        <v>347</v>
      </c>
      <c r="B647" s="46">
        <f ca="1">Expense!A614</f>
        <v>6332.9111607591403</v>
      </c>
      <c r="C647" s="40">
        <f>Income!A614</f>
        <v>0</v>
      </c>
    </row>
    <row r="648" spans="1:3">
      <c r="A648" s="40" t="s">
        <v>348</v>
      </c>
      <c r="B648" s="46">
        <f ca="1">Expense!A615</f>
        <v>4812.3075739551796</v>
      </c>
      <c r="C648" s="40">
        <f ca="1">Income!A615</f>
        <v>6314</v>
      </c>
    </row>
    <row r="649" spans="1:3">
      <c r="A649" s="40" t="s">
        <v>349</v>
      </c>
      <c r="B649" s="46">
        <f ca="1">Expense!A616</f>
        <v>4999.9159555647902</v>
      </c>
      <c r="C649" s="40">
        <f ca="1">Income!A616</f>
        <v>0</v>
      </c>
    </row>
    <row r="650" spans="1:3">
      <c r="A650" s="40" t="s">
        <v>350</v>
      </c>
      <c r="B650" s="46">
        <f ca="1">Expense!A617</f>
        <v>5848.8570857770101</v>
      </c>
      <c r="C650" s="40">
        <f ca="1">Income!A617</f>
        <v>0</v>
      </c>
    </row>
    <row r="651" spans="1:3">
      <c r="A651" s="40" t="s">
        <v>351</v>
      </c>
      <c r="B651" s="46">
        <f ca="1">Expense!A618</f>
        <v>6298.0402341385197</v>
      </c>
      <c r="C651" s="40">
        <f ca="1">Income!A618</f>
        <v>5000</v>
      </c>
    </row>
    <row r="652" spans="1:3">
      <c r="A652" s="40" t="s">
        <v>352</v>
      </c>
      <c r="B652" s="46">
        <f ca="1">Expense!A619</f>
        <v>4935.0527656941604</v>
      </c>
      <c r="C652" s="40">
        <f ca="1">Income!A619</f>
        <v>0</v>
      </c>
    </row>
    <row r="653" spans="1:3">
      <c r="A653" s="40" t="s">
        <v>353</v>
      </c>
      <c r="B653" s="46">
        <f ca="1">Expense!A620</f>
        <v>6242.62945946936</v>
      </c>
      <c r="C653" s="46">
        <f ca="1">Income!A620</f>
        <v>4935</v>
      </c>
    </row>
    <row r="654" spans="1:3">
      <c r="A654" s="40" t="s">
        <v>354</v>
      </c>
      <c r="B654" s="46">
        <f ca="1">Expense!A621</f>
        <v>6546.4522213632299</v>
      </c>
      <c r="C654" s="40">
        <f ca="1">Income!A621</f>
        <v>0</v>
      </c>
    </row>
    <row r="655" spans="1:3">
      <c r="A655" s="40" t="s">
        <v>355</v>
      </c>
      <c r="B655" s="46">
        <f ca="1">Expense!A622</f>
        <v>5094.6957010530696</v>
      </c>
      <c r="C655" s="40">
        <f ca="1">Income!A622</f>
        <v>6114</v>
      </c>
    </row>
    <row r="656" spans="1:3">
      <c r="A656" s="40" t="s">
        <v>356</v>
      </c>
      <c r="B656" s="46">
        <f ca="1">Expense!A623</f>
        <v>4874.6976523482299</v>
      </c>
      <c r="C656" s="40">
        <f ca="1">Income!A623</f>
        <v>0</v>
      </c>
    </row>
    <row r="657" spans="1:3">
      <c r="A657" s="40" t="s">
        <v>357</v>
      </c>
      <c r="B657" s="46">
        <f ca="1">Expense!A624</f>
        <v>4619.1776302870703</v>
      </c>
      <c r="C657" s="40">
        <f ca="1">Income!A624</f>
        <v>4892</v>
      </c>
    </row>
    <row r="658" spans="1:3">
      <c r="A658" s="40" t="s">
        <v>358</v>
      </c>
      <c r="B658" s="46">
        <f ca="1">Expense!A625</f>
        <v>5329.7917491809103</v>
      </c>
      <c r="C658" s="40">
        <f ca="1">Income!A625</f>
        <v>4619</v>
      </c>
    </row>
    <row r="659" spans="1:3">
      <c r="B659" s="46">
        <f ca="1">Expense!A626</f>
        <v>65934.529189590699</v>
      </c>
      <c r="C659" s="40">
        <f ca="1">Income!A626</f>
        <v>31874</v>
      </c>
    </row>
    <row r="660" spans="1:3">
      <c r="B660" s="40">
        <f>Expense!A627</f>
        <v>0</v>
      </c>
      <c r="C660" s="46">
        <f ca="1">Income!A627</f>
        <v>-34060.529189590699</v>
      </c>
    </row>
    <row r="661" spans="1:3">
      <c r="B661" s="40">
        <f>Expense!A628</f>
        <v>0</v>
      </c>
      <c r="C661" s="40">
        <f>Income!A628</f>
        <v>0</v>
      </c>
    </row>
    <row r="662" spans="1:3">
      <c r="B662" s="40">
        <f>Expense!A629</f>
        <v>0</v>
      </c>
      <c r="C662" s="40">
        <f>Income!A629</f>
        <v>0</v>
      </c>
    </row>
    <row r="663" spans="1:3">
      <c r="B663" s="40" t="str">
        <f ca="1">Expense!A630</f>
        <v>S6</v>
      </c>
      <c r="C663" s="40">
        <f>Income!A630</f>
        <v>0</v>
      </c>
    </row>
    <row r="664" spans="1:3">
      <c r="A664" s="40" t="s">
        <v>347</v>
      </c>
      <c r="B664" s="46">
        <f ca="1">Expense!A631</f>
        <v>5368.2079545563702</v>
      </c>
      <c r="C664" s="40">
        <f>Income!A631</f>
        <v>0</v>
      </c>
    </row>
    <row r="665" spans="1:3">
      <c r="A665" s="40" t="s">
        <v>348</v>
      </c>
      <c r="B665" s="46">
        <f ca="1">Expense!A632</f>
        <v>4093.0909495713299</v>
      </c>
      <c r="C665" s="40">
        <f ca="1">Income!A632</f>
        <v>5320</v>
      </c>
    </row>
    <row r="666" spans="1:3">
      <c r="A666" s="40" t="s">
        <v>349</v>
      </c>
      <c r="B666" s="46">
        <f ca="1">Expense!A633</f>
        <v>4299.45088789483</v>
      </c>
      <c r="C666" s="40">
        <f ca="1">Income!A633</f>
        <v>0</v>
      </c>
    </row>
    <row r="667" spans="1:3">
      <c r="A667" s="40" t="s">
        <v>350</v>
      </c>
      <c r="B667" s="46">
        <f ca="1">Expense!A634</f>
        <v>5134.9237942847103</v>
      </c>
      <c r="C667" s="40">
        <f ca="1">Income!A634</f>
        <v>0</v>
      </c>
    </row>
    <row r="668" spans="1:3">
      <c r="A668" s="40" t="s">
        <v>351</v>
      </c>
      <c r="B668" s="46">
        <f ca="1">Expense!A635</f>
        <v>5582.2662980722198</v>
      </c>
      <c r="C668" s="40">
        <f ca="1">Income!A635</f>
        <v>0</v>
      </c>
    </row>
    <row r="669" spans="1:3">
      <c r="A669" s="40" t="s">
        <v>352</v>
      </c>
      <c r="B669" s="46">
        <f ca="1">Expense!A636</f>
        <v>4758.14665908187</v>
      </c>
      <c r="C669" s="40">
        <f ca="1">Income!A636</f>
        <v>15000</v>
      </c>
    </row>
    <row r="670" spans="1:3">
      <c r="A670" s="40" t="s">
        <v>353</v>
      </c>
      <c r="B670" s="46">
        <f ca="1">Expense!A637</f>
        <v>6130.2071425920403</v>
      </c>
      <c r="C670" s="40">
        <f ca="1">Income!A637</f>
        <v>0</v>
      </c>
    </row>
    <row r="671" spans="1:3">
      <c r="A671" s="40" t="s">
        <v>354</v>
      </c>
      <c r="B671" s="46">
        <f ca="1">Expense!A638</f>
        <v>6464.2843419788696</v>
      </c>
      <c r="C671" s="40">
        <f ca="1">Income!A638</f>
        <v>0</v>
      </c>
    </row>
    <row r="672" spans="1:3">
      <c r="A672" s="40" t="s">
        <v>355</v>
      </c>
      <c r="B672" s="46">
        <f ca="1">Expense!A639</f>
        <v>5014.8049061052297</v>
      </c>
      <c r="C672" s="40">
        <f ca="1">Income!A639</f>
        <v>0</v>
      </c>
    </row>
    <row r="673" spans="1:3">
      <c r="A673" s="40" t="s">
        <v>356</v>
      </c>
      <c r="B673" s="46">
        <f ca="1">Expense!A640</f>
        <v>4793.3779762473296</v>
      </c>
      <c r="C673" s="40">
        <f ca="1">Income!A640</f>
        <v>0</v>
      </c>
    </row>
    <row r="674" spans="1:3">
      <c r="A674" s="40" t="s">
        <v>357</v>
      </c>
      <c r="B674" s="46">
        <f ca="1">Expense!A641</f>
        <v>4559.8319660731104</v>
      </c>
      <c r="C674" s="40">
        <f ca="1">Income!A641</f>
        <v>0</v>
      </c>
    </row>
    <row r="675" spans="1:3">
      <c r="A675" s="40" t="s">
        <v>358</v>
      </c>
      <c r="B675" s="46">
        <f ca="1">Expense!A642</f>
        <v>4903.4622106896004</v>
      </c>
      <c r="C675" s="40">
        <f ca="1">Income!A642</f>
        <v>0</v>
      </c>
    </row>
    <row r="676" spans="1:3">
      <c r="B676" s="46">
        <f ca="1">Expense!A643</f>
        <v>61102.055087147499</v>
      </c>
      <c r="C676" s="40">
        <f ca="1">Income!A643</f>
        <v>20320</v>
      </c>
    </row>
    <row r="677" spans="1:3">
      <c r="B677" s="40">
        <f>Expense!A644</f>
        <v>0</v>
      </c>
      <c r="C677" s="46">
        <f ca="1">Income!A644</f>
        <v>-40782.055087147499</v>
      </c>
    </row>
    <row r="678" spans="1:3">
      <c r="B678" s="40">
        <f>Expense!A645</f>
        <v>0</v>
      </c>
      <c r="C678" s="40">
        <f>Income!A645</f>
        <v>0</v>
      </c>
    </row>
    <row r="679" spans="1:3">
      <c r="B679" s="40">
        <f>Expense!A646</f>
        <v>0</v>
      </c>
      <c r="C679" s="40">
        <f>Income!A646</f>
        <v>0</v>
      </c>
    </row>
    <row r="680" spans="1:3">
      <c r="B680" s="40" t="str">
        <f ca="1">Expense!A647</f>
        <v>S7</v>
      </c>
      <c r="C680" s="40">
        <f>Income!A647</f>
        <v>0</v>
      </c>
    </row>
    <row r="681" spans="1:3">
      <c r="A681" s="40" t="s">
        <v>347</v>
      </c>
      <c r="B681" s="46">
        <f ca="1">Expense!A648</f>
        <v>5447.3739049854003</v>
      </c>
      <c r="C681" s="40">
        <f>Income!A648</f>
        <v>0</v>
      </c>
    </row>
    <row r="682" spans="1:3">
      <c r="A682" s="40" t="s">
        <v>348</v>
      </c>
      <c r="B682" s="46">
        <f ca="1">Expense!A649</f>
        <v>4077.49067006412</v>
      </c>
      <c r="C682" s="46">
        <f ca="1">Income!A649</f>
        <v>5402</v>
      </c>
    </row>
    <row r="683" spans="1:3">
      <c r="A683" s="40" t="s">
        <v>349</v>
      </c>
      <c r="B683" s="46">
        <f ca="1">Expense!A650</f>
        <v>4377.7494717899099</v>
      </c>
      <c r="C683" s="46">
        <f ca="1">Income!A650</f>
        <v>4060</v>
      </c>
    </row>
    <row r="684" spans="1:3">
      <c r="A684" s="40" t="s">
        <v>350</v>
      </c>
      <c r="B684" s="46">
        <f ca="1">Expense!A651</f>
        <v>5167.9286679345996</v>
      </c>
      <c r="C684" s="46">
        <f ca="1">Income!A651</f>
        <v>4378</v>
      </c>
    </row>
    <row r="685" spans="1:3">
      <c r="A685" s="40" t="s">
        <v>351</v>
      </c>
      <c r="B685" s="46">
        <f ca="1">Expense!A652</f>
        <v>5581.9105235156203</v>
      </c>
      <c r="C685" s="46">
        <f ca="1">Income!A652</f>
        <v>5168</v>
      </c>
    </row>
    <row r="686" spans="1:3">
      <c r="A686" s="40" t="s">
        <v>352</v>
      </c>
      <c r="B686" s="46">
        <f ca="1">Expense!A653</f>
        <v>4740.6136485156203</v>
      </c>
      <c r="C686" s="46">
        <f ca="1">Income!A653</f>
        <v>5168</v>
      </c>
    </row>
    <row r="687" spans="1:3">
      <c r="A687" s="40" t="s">
        <v>353</v>
      </c>
      <c r="B687" s="46">
        <f ca="1">Expense!A654</f>
        <v>6113.63069511297</v>
      </c>
      <c r="C687" s="46">
        <f ca="1">Income!A654</f>
        <v>4741</v>
      </c>
    </row>
    <row r="688" spans="1:3">
      <c r="A688" s="40" t="s">
        <v>354</v>
      </c>
      <c r="B688" s="46">
        <f ca="1">Expense!A655</f>
        <v>6464.1390835002903</v>
      </c>
      <c r="C688" s="40">
        <f ca="1">Income!A655</f>
        <v>6114</v>
      </c>
    </row>
    <row r="689" spans="1:3">
      <c r="A689" s="40" t="s">
        <v>355</v>
      </c>
      <c r="B689" s="46">
        <f ca="1">Expense!A656</f>
        <v>4817.2001653546604</v>
      </c>
      <c r="C689" s="46">
        <f ca="1">Income!A656</f>
        <v>6546</v>
      </c>
    </row>
    <row r="690" spans="1:3">
      <c r="A690" s="40" t="s">
        <v>356</v>
      </c>
      <c r="B690" s="46">
        <f ca="1">Expense!A657</f>
        <v>5254.98126774294</v>
      </c>
      <c r="C690" s="46">
        <f ca="1">Income!A657</f>
        <v>4800.13</v>
      </c>
    </row>
    <row r="691" spans="1:3">
      <c r="A691" s="40" t="s">
        <v>357</v>
      </c>
      <c r="B691" s="46">
        <f ca="1">Expense!A658</f>
        <v>4875.2047166500897</v>
      </c>
      <c r="C691" s="46">
        <f ca="1">Income!A658</f>
        <v>5272</v>
      </c>
    </row>
    <row r="692" spans="1:3">
      <c r="A692" s="40" t="s">
        <v>358</v>
      </c>
      <c r="B692" s="46">
        <f ca="1">Expense!A659</f>
        <v>4936.2806065356999</v>
      </c>
      <c r="C692" s="40">
        <f ca="1">Income!A659</f>
        <v>4875</v>
      </c>
    </row>
    <row r="693" spans="1:3">
      <c r="B693" s="46">
        <f ca="1">Expense!A660</f>
        <v>61854.503421701898</v>
      </c>
      <c r="C693" s="40">
        <f ca="1">Income!A660</f>
        <v>56524.13</v>
      </c>
    </row>
    <row r="694" spans="1:3">
      <c r="B694" s="40">
        <f>Expense!A661</f>
        <v>0</v>
      </c>
      <c r="C694" s="46">
        <f ca="1">Income!A661</f>
        <v>-5330.3734217019701</v>
      </c>
    </row>
    <row r="695" spans="1:3">
      <c r="B695" s="40">
        <f>Expense!A662</f>
        <v>0</v>
      </c>
      <c r="C695" s="40">
        <f>Income!A662</f>
        <v>0</v>
      </c>
    </row>
    <row r="696" spans="1:3">
      <c r="B696" s="40">
        <f>Expense!A663</f>
        <v>0</v>
      </c>
      <c r="C696" s="40">
        <f>Income!A663</f>
        <v>0</v>
      </c>
    </row>
    <row r="697" spans="1:3">
      <c r="B697" s="40" t="str">
        <f ca="1">Expense!A664</f>
        <v>S8</v>
      </c>
      <c r="C697" s="40">
        <f>Income!A664</f>
        <v>0</v>
      </c>
    </row>
    <row r="698" spans="1:3">
      <c r="A698" s="40" t="s">
        <v>347</v>
      </c>
      <c r="B698" s="46">
        <f ca="1">Expense!A665</f>
        <v>5475.7172699538196</v>
      </c>
      <c r="C698" s="40">
        <f>Income!A665</f>
        <v>0</v>
      </c>
    </row>
    <row r="699" spans="1:3">
      <c r="A699" s="40" t="s">
        <v>348</v>
      </c>
      <c r="B699" s="46">
        <f ca="1">Expense!A666</f>
        <v>6855.9494773741098</v>
      </c>
      <c r="C699" s="46">
        <f ca="1">Income!A666</f>
        <v>5431</v>
      </c>
    </row>
    <row r="700" spans="1:3">
      <c r="A700" s="40" t="s">
        <v>349</v>
      </c>
      <c r="B700" s="46">
        <f ca="1">Expense!A667</f>
        <v>5922.8610357758998</v>
      </c>
      <c r="C700" s="46">
        <f ca="1">Income!A667</f>
        <v>4838</v>
      </c>
    </row>
    <row r="701" spans="1:3">
      <c r="A701" s="40" t="s">
        <v>350</v>
      </c>
      <c r="B701" s="46">
        <f ca="1">Expense!A668</f>
        <v>6830.0306588579697</v>
      </c>
      <c r="C701" s="46">
        <f ca="1">Income!A668</f>
        <v>5922.86</v>
      </c>
    </row>
    <row r="702" spans="1:3">
      <c r="A702" s="40" t="s">
        <v>351</v>
      </c>
      <c r="B702" s="46">
        <f ca="1">Expense!A669</f>
        <v>6981.2607982756199</v>
      </c>
      <c r="C702" s="46">
        <f ca="1">Income!A669</f>
        <v>6830.03</v>
      </c>
    </row>
    <row r="703" spans="1:3">
      <c r="A703" s="40" t="s">
        <v>352</v>
      </c>
      <c r="B703" s="46">
        <f ca="1">Expense!A670</f>
        <v>5862.4505245894998</v>
      </c>
      <c r="C703" s="46">
        <f ca="1">Income!A670</f>
        <v>6981.26</v>
      </c>
    </row>
    <row r="704" spans="1:3">
      <c r="A704" s="40" t="s">
        <v>353</v>
      </c>
      <c r="B704" s="46">
        <f ca="1">Expense!A671</f>
        <v>7718.7833593366904</v>
      </c>
      <c r="C704" s="46">
        <f ca="1">Income!A671</f>
        <v>5862.45</v>
      </c>
    </row>
    <row r="705" spans="1:3">
      <c r="A705" s="40" t="s">
        <v>354</v>
      </c>
      <c r="B705" s="46">
        <f ca="1">Expense!A672</f>
        <v>7866.1739187705998</v>
      </c>
      <c r="C705" s="46">
        <f ca="1">Income!A672</f>
        <v>6114</v>
      </c>
    </row>
    <row r="706" spans="1:3">
      <c r="A706" s="40" t="s">
        <v>355</v>
      </c>
      <c r="B706" s="46">
        <f ca="1">Expense!A673</f>
        <v>6148.6033720681098</v>
      </c>
      <c r="C706" s="46">
        <f ca="1">Income!A673</f>
        <v>7947.89</v>
      </c>
    </row>
    <row r="707" spans="1:3">
      <c r="A707" s="40" t="s">
        <v>356</v>
      </c>
      <c r="B707" s="46">
        <f ca="1">Expense!A674</f>
        <v>5726.0860823247403</v>
      </c>
      <c r="C707" s="46">
        <f ca="1">Income!A674</f>
        <v>6131.54</v>
      </c>
    </row>
    <row r="708" spans="1:3">
      <c r="A708" s="40" t="s">
        <v>357</v>
      </c>
      <c r="B708" s="46">
        <f ca="1">Expense!A675</f>
        <v>5558.9162231149803</v>
      </c>
      <c r="C708" s="46">
        <f ca="1">Income!A675</f>
        <v>0</v>
      </c>
    </row>
    <row r="709" spans="1:3">
      <c r="A709" s="40" t="s">
        <v>358</v>
      </c>
      <c r="B709" s="46">
        <f ca="1">Expense!A676</f>
        <v>5436.8717172987099</v>
      </c>
      <c r="C709" s="40">
        <f ca="1">Income!A676</f>
        <v>11302</v>
      </c>
    </row>
    <row r="710" spans="1:3">
      <c r="B710" s="46">
        <f ca="1">Expense!A677</f>
        <v>76383.704437740802</v>
      </c>
      <c r="C710" s="40">
        <f ca="1">Income!A677</f>
        <v>67361.03</v>
      </c>
    </row>
    <row r="711" spans="1:3">
      <c r="B711" s="40">
        <f>Expense!A678</f>
        <v>0</v>
      </c>
      <c r="C711" s="46">
        <f ca="1">Income!A678</f>
        <v>-9022.6744377407995</v>
      </c>
    </row>
    <row r="712" spans="1:3">
      <c r="B712" s="40">
        <f>Expense!A679</f>
        <v>0</v>
      </c>
      <c r="C712" s="40">
        <f>Income!A679</f>
        <v>0</v>
      </c>
    </row>
    <row r="713" spans="1:3">
      <c r="B713" s="40">
        <f>Expense!A680</f>
        <v>0</v>
      </c>
      <c r="C713" s="40">
        <f>Income!A680</f>
        <v>0</v>
      </c>
    </row>
    <row r="714" spans="1:3">
      <c r="B714" s="40" t="str">
        <f ca="1">Expense!A681</f>
        <v>S9</v>
      </c>
      <c r="C714" s="40">
        <f>Income!A681</f>
        <v>0</v>
      </c>
    </row>
    <row r="715" spans="1:3">
      <c r="A715" s="40" t="s">
        <v>347</v>
      </c>
      <c r="B715" s="46">
        <f ca="1">Expense!A682</f>
        <v>6428.4032050155201</v>
      </c>
      <c r="C715" s="40">
        <f>Income!A682</f>
        <v>0</v>
      </c>
    </row>
    <row r="716" spans="1:3">
      <c r="A716" s="40" t="s">
        <v>348</v>
      </c>
      <c r="B716" s="46">
        <f ca="1">Expense!A683</f>
        <v>5047.9718117869197</v>
      </c>
      <c r="C716" s="46">
        <f ca="1">Income!A683</f>
        <v>11712</v>
      </c>
    </row>
    <row r="717" spans="1:3">
      <c r="A717" s="40" t="s">
        <v>349</v>
      </c>
      <c r="B717" s="46">
        <f ca="1">Expense!A684</f>
        <v>4957.3262977439699</v>
      </c>
      <c r="C717" s="46">
        <f ca="1">Income!A684</f>
        <v>5025</v>
      </c>
    </row>
    <row r="718" spans="1:3">
      <c r="A718" s="40" t="s">
        <v>350</v>
      </c>
      <c r="B718" s="46">
        <f ca="1">Expense!A685</f>
        <v>5443.1447175244502</v>
      </c>
      <c r="C718" s="46">
        <f ca="1">Income!A685</f>
        <v>5000</v>
      </c>
    </row>
    <row r="719" spans="1:3">
      <c r="A719" s="40" t="s">
        <v>351</v>
      </c>
      <c r="B719" s="46">
        <f ca="1">Expense!A686</f>
        <v>6057.2756119019596</v>
      </c>
      <c r="C719" s="46">
        <f ca="1">Income!A686</f>
        <v>5500</v>
      </c>
    </row>
    <row r="720" spans="1:3">
      <c r="A720" s="40" t="s">
        <v>352</v>
      </c>
      <c r="B720" s="46">
        <f ca="1">Expense!A687</f>
        <v>5203.7665156351604</v>
      </c>
      <c r="C720" s="46">
        <f ca="1">Income!A687</f>
        <v>6000</v>
      </c>
    </row>
    <row r="721" spans="1:3">
      <c r="A721" s="40" t="s">
        <v>353</v>
      </c>
      <c r="B721" s="46">
        <f ca="1">Expense!A688</f>
        <v>6547.0855415270098</v>
      </c>
      <c r="C721" s="46">
        <f ca="1">Income!A688</f>
        <v>5205</v>
      </c>
    </row>
    <row r="722" spans="1:3">
      <c r="A722" s="40" t="s">
        <v>354</v>
      </c>
      <c r="B722" s="46">
        <f ca="1">Expense!A689</f>
        <v>7519.8847387021497</v>
      </c>
      <c r="C722" s="46">
        <f ca="1">Income!A689</f>
        <v>6240</v>
      </c>
    </row>
    <row r="723" spans="1:3">
      <c r="A723" s="40" t="s">
        <v>355</v>
      </c>
      <c r="B723" s="46">
        <f ca="1">Expense!A690</f>
        <v>5318.2424027172201</v>
      </c>
      <c r="C723" s="46">
        <f ca="1">Income!A690</f>
        <v>7602</v>
      </c>
    </row>
    <row r="724" spans="1:3">
      <c r="A724" s="40" t="s">
        <v>356</v>
      </c>
      <c r="B724" s="46">
        <f ca="1">Expense!A691</f>
        <v>5491.8217725921404</v>
      </c>
      <c r="C724" s="46">
        <f ca="1">Income!A691</f>
        <v>5300</v>
      </c>
    </row>
    <row r="725" spans="1:3">
      <c r="A725" s="40" t="s">
        <v>357</v>
      </c>
      <c r="B725" s="46">
        <f ca="1">Expense!A692</f>
        <v>5410.1158266338098</v>
      </c>
      <c r="C725" s="46">
        <f ca="1">Income!A692</f>
        <v>5520</v>
      </c>
    </row>
    <row r="726" spans="1:3">
      <c r="A726" s="40" t="s">
        <v>358</v>
      </c>
      <c r="B726" s="46">
        <f ca="1">Expense!A693</f>
        <v>5266.7467348753898</v>
      </c>
      <c r="C726" s="40">
        <f ca="1">Income!A693</f>
        <v>5500</v>
      </c>
    </row>
    <row r="727" spans="1:3">
      <c r="B727" s="46">
        <f ca="1">Expense!A694</f>
        <v>68691.7851766557</v>
      </c>
      <c r="C727" s="40">
        <f ca="1">Income!A694</f>
        <v>68604</v>
      </c>
    </row>
    <row r="728" spans="1:3">
      <c r="B728" s="40">
        <f>Expense!A695</f>
        <v>0</v>
      </c>
      <c r="C728" s="46">
        <f ca="1">Income!A695</f>
        <v>-87.7851766557432</v>
      </c>
    </row>
    <row r="729" spans="1:3">
      <c r="B729" s="40">
        <f>Expense!A696</f>
        <v>0</v>
      </c>
      <c r="C729" s="40">
        <f>Income!A696</f>
        <v>0</v>
      </c>
    </row>
    <row r="730" spans="1:3">
      <c r="B730" s="40">
        <f>Expense!A697</f>
        <v>0</v>
      </c>
      <c r="C730" s="40">
        <f>Income!A697</f>
        <v>0</v>
      </c>
    </row>
    <row r="731" spans="1:3">
      <c r="B731" s="40" t="str">
        <f ca="1">Expense!A698</f>
        <v>S10</v>
      </c>
      <c r="C731" s="40">
        <f>Income!A698</f>
        <v>0</v>
      </c>
    </row>
    <row r="732" spans="1:3">
      <c r="A732" s="40" t="s">
        <v>347</v>
      </c>
      <c r="B732" s="46">
        <f ca="1">Expense!A699</f>
        <v>5399.9463505373396</v>
      </c>
      <c r="C732" s="40">
        <f>Income!A699</f>
        <v>0</v>
      </c>
    </row>
    <row r="733" spans="1:3">
      <c r="A733" s="40" t="s">
        <v>348</v>
      </c>
      <c r="B733" s="46">
        <f ca="1">Expense!A700</f>
        <v>4099.2144237704197</v>
      </c>
      <c r="C733" s="46">
        <f ca="1">Income!A700</f>
        <v>0</v>
      </c>
    </row>
    <row r="734" spans="1:3">
      <c r="A734" s="40" t="s">
        <v>349</v>
      </c>
      <c r="B734" s="46">
        <f ca="1">Expense!A701</f>
        <v>4325.0766390575</v>
      </c>
      <c r="C734" s="46">
        <f ca="1">Income!A701</f>
        <v>0</v>
      </c>
    </row>
    <row r="735" spans="1:3">
      <c r="A735" s="40" t="s">
        <v>350</v>
      </c>
      <c r="B735" s="46">
        <f ca="1">Expense!A702</f>
        <v>5156.52124575779</v>
      </c>
      <c r="C735" s="46">
        <f ca="1">Income!A702</f>
        <v>0</v>
      </c>
    </row>
    <row r="736" spans="1:3">
      <c r="A736" s="40" t="s">
        <v>351</v>
      </c>
      <c r="B736" s="46">
        <f ca="1">Expense!A703</f>
        <v>5645.6386409671904</v>
      </c>
      <c r="C736" s="46">
        <f ca="1">Income!A703</f>
        <v>0</v>
      </c>
    </row>
    <row r="737" spans="1:3">
      <c r="A737" s="40" t="s">
        <v>352</v>
      </c>
      <c r="B737" s="46">
        <f ca="1">Expense!A704</f>
        <v>4795.9312818527396</v>
      </c>
      <c r="C737" s="46">
        <f ca="1">Income!A704</f>
        <v>0</v>
      </c>
    </row>
    <row r="738" spans="1:3">
      <c r="A738" s="40" t="s">
        <v>353</v>
      </c>
      <c r="B738" s="46">
        <f ca="1">Expense!A705</f>
        <v>6185.9401342765004</v>
      </c>
      <c r="C738" s="46">
        <f ca="1">Income!A705</f>
        <v>0</v>
      </c>
    </row>
    <row r="739" spans="1:3">
      <c r="A739" s="40" t="s">
        <v>354</v>
      </c>
      <c r="B739" s="46">
        <f ca="1">Expense!A706</f>
        <v>6507.57136859621</v>
      </c>
      <c r="C739" s="46">
        <f ca="1">Income!A706</f>
        <v>0</v>
      </c>
    </row>
    <row r="740" spans="1:3">
      <c r="A740" s="40" t="s">
        <v>355</v>
      </c>
      <c r="B740" s="46">
        <f ca="1">Expense!A707</f>
        <v>4871.6240008740297</v>
      </c>
      <c r="C740" s="46">
        <f ca="1">Income!A707</f>
        <v>0</v>
      </c>
    </row>
    <row r="741" spans="1:3">
      <c r="A741" s="40" t="s">
        <v>356</v>
      </c>
      <c r="B741" s="46">
        <f ca="1">Expense!A708</f>
        <v>4780.9814578458199</v>
      </c>
      <c r="C741" s="46">
        <f ca="1">Income!A708</f>
        <v>0</v>
      </c>
    </row>
    <row r="742" spans="1:3">
      <c r="A742" s="40" t="s">
        <v>357</v>
      </c>
      <c r="B742" s="46">
        <f ca="1">Expense!A709</f>
        <v>4461.8127106797401</v>
      </c>
      <c r="C742" s="46">
        <f ca="1">Income!A709</f>
        <v>0</v>
      </c>
    </row>
    <row r="743" spans="1:3">
      <c r="A743" s="40" t="s">
        <v>358</v>
      </c>
      <c r="B743" s="46">
        <f ca="1">Expense!A710</f>
        <v>4632.2460336973099</v>
      </c>
      <c r="C743" s="40">
        <f ca="1">Income!A710</f>
        <v>0</v>
      </c>
    </row>
    <row r="744" spans="1:3">
      <c r="B744" s="46">
        <f ca="1">Expense!A711</f>
        <v>60862.504287912598</v>
      </c>
      <c r="C744" s="40">
        <f ca="1">Income!A711</f>
        <v>0</v>
      </c>
    </row>
    <row r="745" spans="1:3">
      <c r="B745" s="40">
        <f>Expense!A712</f>
        <v>0</v>
      </c>
      <c r="C745" s="46">
        <f ca="1">Income!A712</f>
        <v>-60862.504287912598</v>
      </c>
    </row>
    <row r="746" spans="1:3">
      <c r="B746" s="40">
        <f>Expense!A713</f>
        <v>0</v>
      </c>
      <c r="C746" s="40">
        <f>Income!A713</f>
        <v>0</v>
      </c>
    </row>
    <row r="747" spans="1:3">
      <c r="B747" s="40">
        <f>Expense!A714</f>
        <v>0</v>
      </c>
      <c r="C747" s="40">
        <f>Income!A714</f>
        <v>0</v>
      </c>
    </row>
    <row r="748" spans="1:3">
      <c r="B748" s="40" t="str">
        <f ca="1">Expense!A715</f>
        <v>S11</v>
      </c>
      <c r="C748" s="40">
        <f>Income!A715</f>
        <v>0</v>
      </c>
    </row>
    <row r="749" spans="1:3">
      <c r="A749" s="40" t="s">
        <v>347</v>
      </c>
      <c r="B749" s="46">
        <f ca="1">Expense!A716</f>
        <v>5377.5185699089798</v>
      </c>
      <c r="C749" s="40">
        <f>Income!A716</f>
        <v>0</v>
      </c>
    </row>
    <row r="750" spans="1:3">
      <c r="A750" s="40" t="s">
        <v>348</v>
      </c>
      <c r="B750" s="46">
        <f ca="1">Expense!A717</f>
        <v>4364.9537644103902</v>
      </c>
      <c r="C750" s="40">
        <f ca="1">Income!A717</f>
        <v>5330</v>
      </c>
    </row>
    <row r="751" spans="1:3">
      <c r="A751" s="40" t="s">
        <v>349</v>
      </c>
      <c r="B751" s="46">
        <f ca="1">Expense!A718</f>
        <v>5104.9271903455801</v>
      </c>
      <c r="C751" s="40">
        <f ca="1">Income!A718</f>
        <v>4348</v>
      </c>
    </row>
    <row r="752" spans="1:3">
      <c r="A752" s="40" t="s">
        <v>350</v>
      </c>
      <c r="B752" s="46">
        <f ca="1">Expense!A719</f>
        <v>5912.29678144012</v>
      </c>
      <c r="C752" s="40">
        <f ca="1">Income!A719</f>
        <v>5000</v>
      </c>
    </row>
    <row r="753" spans="1:3">
      <c r="A753" s="40" t="s">
        <v>351</v>
      </c>
      <c r="B753" s="46">
        <f ca="1">Expense!A720</f>
        <v>6392.9430971124602</v>
      </c>
      <c r="C753" s="40">
        <f ca="1">Income!A720</f>
        <v>5000</v>
      </c>
    </row>
    <row r="754" spans="1:3">
      <c r="A754" s="40" t="s">
        <v>352</v>
      </c>
      <c r="B754" s="46">
        <f ca="1">Expense!A721</f>
        <v>5150.9648958133903</v>
      </c>
      <c r="C754" s="40">
        <f ca="1">Income!A721</f>
        <v>37546</v>
      </c>
    </row>
    <row r="755" spans="1:3">
      <c r="A755" s="40" t="s">
        <v>353</v>
      </c>
      <c r="B755" s="46">
        <f ca="1">Expense!A722</f>
        <v>6370.03433464507</v>
      </c>
      <c r="C755" s="46">
        <f ca="1">Income!A722</f>
        <v>5151</v>
      </c>
    </row>
    <row r="756" spans="1:3">
      <c r="A756" s="40" t="s">
        <v>354</v>
      </c>
      <c r="B756" s="46">
        <f ca="1">Expense!A723</f>
        <v>7191.3998662658696</v>
      </c>
      <c r="C756" s="40">
        <f ca="1">Income!A723</f>
        <v>6114</v>
      </c>
    </row>
    <row r="757" spans="1:3">
      <c r="A757" s="40" t="s">
        <v>355</v>
      </c>
      <c r="B757" s="46">
        <f ca="1">Expense!A724</f>
        <v>5517.8716768895601</v>
      </c>
      <c r="C757" s="40">
        <f ca="1">Income!A724</f>
        <v>7274</v>
      </c>
    </row>
    <row r="758" spans="1:3">
      <c r="A758" s="40" t="s">
        <v>356</v>
      </c>
      <c r="B758" s="46">
        <f ca="1">Expense!A725</f>
        <v>5052.2573650212998</v>
      </c>
      <c r="C758" s="40">
        <f ca="1">Income!A725</f>
        <v>5501</v>
      </c>
    </row>
    <row r="759" spans="1:3">
      <c r="A759" s="40" t="s">
        <v>357</v>
      </c>
      <c r="B759" s="46">
        <f ca="1">Expense!A726</f>
        <v>5055.8133547412099</v>
      </c>
      <c r="C759" s="40">
        <f ca="1">Income!A726</f>
        <v>5070</v>
      </c>
    </row>
    <row r="760" spans="1:3">
      <c r="A760" s="40" t="s">
        <v>358</v>
      </c>
      <c r="B760" s="46">
        <f ca="1">Expense!A727</f>
        <v>5146.2387265915404</v>
      </c>
      <c r="C760" s="40">
        <f ca="1">Income!A727</f>
        <v>5056</v>
      </c>
    </row>
    <row r="761" spans="1:3">
      <c r="B761" s="46">
        <f ca="1">Expense!A728</f>
        <v>66637.219623185505</v>
      </c>
      <c r="C761" s="40">
        <f ca="1">Income!A728</f>
        <v>91390</v>
      </c>
    </row>
    <row r="762" spans="1:3">
      <c r="B762" s="40">
        <f>Expense!A729</f>
        <v>0</v>
      </c>
      <c r="C762" s="46">
        <f ca="1">Income!A729</f>
        <v>24752.7803768144</v>
      </c>
    </row>
    <row r="763" spans="1:3">
      <c r="B763" s="40">
        <f>Expense!A730</f>
        <v>0</v>
      </c>
      <c r="C763" s="40">
        <f>Income!A730</f>
        <v>0</v>
      </c>
    </row>
    <row r="764" spans="1:3">
      <c r="B764" s="40">
        <f>Expense!A731</f>
        <v>0</v>
      </c>
      <c r="C764" s="40">
        <f>Income!A731</f>
        <v>0</v>
      </c>
    </row>
    <row r="765" spans="1:3">
      <c r="B765" s="40" t="str">
        <f ca="1">Expense!A732</f>
        <v>S12</v>
      </c>
      <c r="C765" s="40">
        <f>Income!A732</f>
        <v>0</v>
      </c>
    </row>
    <row r="766" spans="1:3">
      <c r="A766" s="40" t="s">
        <v>347</v>
      </c>
      <c r="B766" s="46">
        <f ca="1">Expense!A733</f>
        <v>6202.8711850056698</v>
      </c>
      <c r="C766" s="40">
        <f>Income!A733</f>
        <v>0</v>
      </c>
    </row>
    <row r="767" spans="1:3">
      <c r="A767" s="40" t="s">
        <v>348</v>
      </c>
      <c r="B767" s="46">
        <f ca="1">Expense!A734</f>
        <v>5987.6527716561704</v>
      </c>
      <c r="C767" s="46">
        <f ca="1">Income!A734</f>
        <v>0</v>
      </c>
    </row>
    <row r="768" spans="1:3">
      <c r="A768" s="40" t="s">
        <v>349</v>
      </c>
      <c r="B768" s="46">
        <f ca="1">Expense!A735</f>
        <v>5118.6388483902101</v>
      </c>
      <c r="C768" s="46">
        <f ca="1">Income!A735</f>
        <v>11151</v>
      </c>
    </row>
    <row r="769" spans="1:3">
      <c r="A769" s="40" t="s">
        <v>350</v>
      </c>
      <c r="B769" s="46">
        <f ca="1">Expense!A736</f>
        <v>5904.9473355317396</v>
      </c>
      <c r="C769" s="46">
        <f ca="1">Income!A736</f>
        <v>5119</v>
      </c>
    </row>
    <row r="770" spans="1:3">
      <c r="A770" s="40" t="s">
        <v>351</v>
      </c>
      <c r="B770" s="46">
        <f ca="1">Expense!A737</f>
        <v>6760.1469113466601</v>
      </c>
      <c r="C770" s="46">
        <f ca="1">Income!A737</f>
        <v>5905</v>
      </c>
    </row>
    <row r="771" spans="1:3">
      <c r="A771" s="40" t="s">
        <v>352</v>
      </c>
      <c r="B771" s="46">
        <f ca="1">Expense!A738</f>
        <v>5234.7687463176999</v>
      </c>
      <c r="C771" s="46">
        <f ca="1">Income!A738</f>
        <v>5905</v>
      </c>
    </row>
    <row r="772" spans="1:3">
      <c r="A772" s="40" t="s">
        <v>353</v>
      </c>
      <c r="B772" s="46">
        <f ca="1">Expense!A739</f>
        <v>6313.6637872883402</v>
      </c>
      <c r="C772" s="46">
        <f ca="1">Income!A739</f>
        <v>0</v>
      </c>
    </row>
    <row r="773" spans="1:3">
      <c r="A773" s="40" t="s">
        <v>354</v>
      </c>
      <c r="B773" s="46">
        <f ca="1">Expense!A740</f>
        <v>6717.1309336966997</v>
      </c>
      <c r="C773" s="46">
        <f ca="1">Income!A740</f>
        <v>11349</v>
      </c>
    </row>
    <row r="774" spans="1:3">
      <c r="A774" s="40" t="s">
        <v>355</v>
      </c>
      <c r="B774" s="46">
        <f ca="1">Expense!A741</f>
        <v>5914.3073453261504</v>
      </c>
      <c r="C774" s="46">
        <f ca="1">Income!A741</f>
        <v>6798.85</v>
      </c>
    </row>
    <row r="775" spans="1:3">
      <c r="A775" s="40" t="s">
        <v>356</v>
      </c>
      <c r="B775" s="46">
        <f ca="1">Expense!A742</f>
        <v>5003.07955998539</v>
      </c>
      <c r="C775" s="46">
        <f ca="1">Income!A742</f>
        <v>5897.24</v>
      </c>
    </row>
    <row r="776" spans="1:3">
      <c r="A776" s="40" t="s">
        <v>357</v>
      </c>
      <c r="B776" s="46">
        <f ca="1">Expense!A743</f>
        <v>4687.7713271743596</v>
      </c>
      <c r="C776" s="46">
        <f ca="1">Income!A743</f>
        <v>0</v>
      </c>
    </row>
    <row r="777" spans="1:3">
      <c r="A777" s="40" t="s">
        <v>358</v>
      </c>
      <c r="B777" s="46">
        <f ca="1">Expense!A744</f>
        <v>4851.6692975686001</v>
      </c>
      <c r="C777" s="40">
        <f ca="1">Income!A744</f>
        <v>0</v>
      </c>
    </row>
    <row r="778" spans="1:3">
      <c r="B778" s="46">
        <f ca="1">Expense!A745</f>
        <v>68696.648049287702</v>
      </c>
      <c r="C778" s="40">
        <f ca="1">Income!A745</f>
        <v>52125.09</v>
      </c>
    </row>
    <row r="779" spans="1:3">
      <c r="B779" s="40">
        <f>Expense!A746</f>
        <v>0</v>
      </c>
      <c r="C779" s="46">
        <f ca="1">Income!A746</f>
        <v>-16571.558049287702</v>
      </c>
    </row>
    <row r="780" spans="1:3">
      <c r="B780" s="40">
        <f>Expense!A747</f>
        <v>0</v>
      </c>
      <c r="C780" s="40">
        <f>Income!A747</f>
        <v>0</v>
      </c>
    </row>
    <row r="781" spans="1:3">
      <c r="B781" s="40">
        <f>Expense!A748</f>
        <v>0</v>
      </c>
      <c r="C781" s="40">
        <f>Income!A748</f>
        <v>0</v>
      </c>
    </row>
    <row r="782" spans="1:3">
      <c r="B782" s="40" t="str">
        <f ca="1">Expense!A749</f>
        <v>S13</v>
      </c>
      <c r="C782" s="40">
        <f>Income!A749</f>
        <v>0</v>
      </c>
    </row>
    <row r="783" spans="1:3">
      <c r="A783" s="40" t="s">
        <v>347</v>
      </c>
      <c r="B783" s="46">
        <f ca="1">Expense!A750</f>
        <v>5705.9303175718896</v>
      </c>
      <c r="C783" s="40">
        <f>Income!A750</f>
        <v>0</v>
      </c>
    </row>
    <row r="784" spans="1:3">
      <c r="A784" s="40" t="s">
        <v>348</v>
      </c>
      <c r="B784" s="46">
        <f ca="1">Expense!A751</f>
        <v>4461.43046171673</v>
      </c>
      <c r="C784" s="40">
        <f ca="1">Income!A751</f>
        <v>5665</v>
      </c>
    </row>
    <row r="785" spans="1:3">
      <c r="A785" s="40" t="s">
        <v>349</v>
      </c>
      <c r="B785" s="46">
        <f ca="1">Expense!A752</f>
        <v>4778.5312933023197</v>
      </c>
      <c r="C785" s="40">
        <f ca="1">Income!A752</f>
        <v>4439</v>
      </c>
    </row>
    <row r="786" spans="1:3">
      <c r="A786" s="40" t="s">
        <v>350</v>
      </c>
      <c r="B786" s="46">
        <f ca="1">Expense!A753</f>
        <v>5522.3203433840199</v>
      </c>
      <c r="C786" s="40">
        <f ca="1">Income!A753</f>
        <v>4778.53</v>
      </c>
    </row>
    <row r="787" spans="1:3">
      <c r="A787" s="40" t="s">
        <v>351</v>
      </c>
      <c r="B787" s="46">
        <f ca="1">Expense!A754</f>
        <v>6028.0131546213297</v>
      </c>
      <c r="C787" s="40">
        <f ca="1">Income!A754</f>
        <v>0</v>
      </c>
    </row>
    <row r="788" spans="1:3">
      <c r="A788" s="40" t="s">
        <v>352</v>
      </c>
      <c r="B788" s="46">
        <f ca="1">Expense!A755</f>
        <v>5066.5756329572096</v>
      </c>
      <c r="C788" s="40">
        <f ca="1">Income!A755</f>
        <v>11550.33</v>
      </c>
    </row>
    <row r="789" spans="1:3">
      <c r="A789" s="40" t="s">
        <v>353</v>
      </c>
      <c r="B789" s="46">
        <f ca="1">Expense!A756</f>
        <v>6354.5968581402003</v>
      </c>
      <c r="C789" s="46">
        <f ca="1">Income!A756</f>
        <v>5067</v>
      </c>
    </row>
    <row r="790" spans="1:3">
      <c r="A790" s="40" t="s">
        <v>354</v>
      </c>
      <c r="B790" s="46">
        <f ca="1">Expense!A757</f>
        <v>6854.2619703480595</v>
      </c>
      <c r="C790" s="40">
        <f ca="1">Income!A757</f>
        <v>0</v>
      </c>
    </row>
    <row r="791" spans="1:3">
      <c r="A791" s="40" t="s">
        <v>355</v>
      </c>
      <c r="B791" s="46">
        <f ca="1">Expense!A758</f>
        <v>5227.8818577821203</v>
      </c>
      <c r="C791" s="40">
        <f ca="1">Income!A758</f>
        <v>13166.98</v>
      </c>
    </row>
    <row r="792" spans="1:3">
      <c r="A792" s="40" t="s">
        <v>356</v>
      </c>
      <c r="B792" s="46">
        <f ca="1">Expense!A759</f>
        <v>4854.2547273793398</v>
      </c>
      <c r="C792" s="40">
        <f ca="1">Income!A759</f>
        <v>0</v>
      </c>
    </row>
    <row r="793" spans="1:3">
      <c r="A793" s="40" t="s">
        <v>357</v>
      </c>
      <c r="B793" s="46">
        <f ca="1">Expense!A760</f>
        <v>4566.5172098324902</v>
      </c>
      <c r="C793" s="40">
        <f ca="1">Income!A760</f>
        <v>5025.21</v>
      </c>
    </row>
    <row r="794" spans="1:3">
      <c r="A794" s="40" t="s">
        <v>358</v>
      </c>
      <c r="B794" s="46">
        <f ca="1">Expense!A761</f>
        <v>4739.21977091794</v>
      </c>
      <c r="C794" s="40">
        <f ca="1">Income!A761</f>
        <v>9444</v>
      </c>
    </row>
    <row r="795" spans="1:3">
      <c r="B795" s="46">
        <f ca="1">Expense!A762</f>
        <v>64159.533597953603</v>
      </c>
      <c r="C795" s="40">
        <f ca="1">Income!A762</f>
        <v>59136.049999999901</v>
      </c>
    </row>
    <row r="796" spans="1:3">
      <c r="B796" s="40">
        <f>Expense!A763</f>
        <v>0</v>
      </c>
      <c r="C796" s="46">
        <f ca="1">Income!A763</f>
        <v>-5023.4835979536902</v>
      </c>
    </row>
    <row r="797" spans="1:3">
      <c r="B797" s="40">
        <f>Expense!A764</f>
        <v>0</v>
      </c>
      <c r="C797" s="40">
        <f>Income!A764</f>
        <v>0</v>
      </c>
    </row>
    <row r="798" spans="1:3">
      <c r="B798" s="40">
        <f>Expense!A765</f>
        <v>0</v>
      </c>
      <c r="C798" s="40">
        <f>Income!A765</f>
        <v>0</v>
      </c>
    </row>
    <row r="799" spans="1:3">
      <c r="B799" s="40" t="str">
        <f ca="1">Expense!A766</f>
        <v>S14</v>
      </c>
      <c r="C799" s="40">
        <f>Income!A766</f>
        <v>0</v>
      </c>
    </row>
    <row r="800" spans="1:3">
      <c r="A800" s="40" t="s">
        <v>347</v>
      </c>
      <c r="B800" s="46">
        <f ca="1">Expense!A767</f>
        <v>5716.5269295201497</v>
      </c>
      <c r="C800" s="40">
        <f>Income!A767</f>
        <v>0</v>
      </c>
    </row>
    <row r="801" spans="1:3">
      <c r="A801" s="40" t="s">
        <v>348</v>
      </c>
      <c r="B801" s="46">
        <f ca="1">Expense!A768</f>
        <v>4339.3497697475204</v>
      </c>
      <c r="C801" s="40">
        <f ca="1">Income!A768</f>
        <v>0</v>
      </c>
    </row>
    <row r="802" spans="1:3">
      <c r="A802" s="40" t="s">
        <v>349</v>
      </c>
      <c r="B802" s="46">
        <f ca="1">Expense!A769</f>
        <v>4763.7745393701398</v>
      </c>
      <c r="C802" s="40">
        <f ca="1">Income!A769</f>
        <v>0</v>
      </c>
    </row>
    <row r="803" spans="1:3">
      <c r="A803" s="40" t="s">
        <v>350</v>
      </c>
      <c r="B803" s="46">
        <f ca="1">Expense!A770</f>
        <v>5695.6410186711501</v>
      </c>
      <c r="C803" s="40">
        <f ca="1">Income!A770</f>
        <v>0</v>
      </c>
    </row>
    <row r="804" spans="1:3">
      <c r="A804" s="40" t="s">
        <v>351</v>
      </c>
      <c r="B804" s="46">
        <f ca="1">Expense!A771</f>
        <v>5962.2393334692897</v>
      </c>
      <c r="C804" s="40">
        <f ca="1">Income!A771</f>
        <v>10000</v>
      </c>
    </row>
    <row r="805" spans="1:3">
      <c r="A805" s="40" t="s">
        <v>352</v>
      </c>
      <c r="B805" s="46">
        <f ca="1">Expense!A772</f>
        <v>4938.4861557642098</v>
      </c>
      <c r="C805" s="40">
        <f ca="1">Income!A772</f>
        <v>0</v>
      </c>
    </row>
    <row r="806" spans="1:3">
      <c r="A806" s="40" t="s">
        <v>353</v>
      </c>
      <c r="B806" s="46">
        <f ca="1">Expense!A773</f>
        <v>6317.3529809516403</v>
      </c>
      <c r="C806" s="40">
        <f ca="1">Income!A773</f>
        <v>17240</v>
      </c>
    </row>
    <row r="807" spans="1:3">
      <c r="A807" s="40" t="s">
        <v>354</v>
      </c>
      <c r="B807" s="46">
        <f ca="1">Expense!A774</f>
        <v>6939.6739557540895</v>
      </c>
      <c r="C807" s="40">
        <f ca="1">Income!A774</f>
        <v>0</v>
      </c>
    </row>
    <row r="808" spans="1:3">
      <c r="A808" s="40" t="s">
        <v>355</v>
      </c>
      <c r="B808" s="46">
        <f ca="1">Expense!A775</f>
        <v>5090.2659547964004</v>
      </c>
      <c r="C808" s="40">
        <f ca="1">Income!A775</f>
        <v>0</v>
      </c>
    </row>
    <row r="809" spans="1:3">
      <c r="A809" s="40" t="s">
        <v>356</v>
      </c>
      <c r="B809" s="46">
        <f ca="1">Expense!A776</f>
        <v>4970.3514625886501</v>
      </c>
      <c r="C809" s="40">
        <f ca="1">Income!A776</f>
        <v>23264</v>
      </c>
    </row>
    <row r="810" spans="1:3">
      <c r="A810" s="40" t="s">
        <v>357</v>
      </c>
      <c r="B810" s="46">
        <f ca="1">Expense!A777</f>
        <v>4701.8747789604804</v>
      </c>
      <c r="C810" s="40">
        <f ca="1">Income!A777</f>
        <v>0</v>
      </c>
    </row>
    <row r="811" spans="1:3">
      <c r="A811" s="40" t="s">
        <v>358</v>
      </c>
      <c r="B811" s="46">
        <f ca="1">Expense!A778</f>
        <v>5462.94943564802</v>
      </c>
      <c r="C811" s="40">
        <f ca="1">Income!A778</f>
        <v>0</v>
      </c>
    </row>
    <row r="812" spans="1:3">
      <c r="B812" s="46">
        <f ca="1">Expense!A779</f>
        <v>64898.486315241797</v>
      </c>
      <c r="C812" s="40">
        <f ca="1">Income!A779</f>
        <v>50504</v>
      </c>
    </row>
    <row r="813" spans="1:3">
      <c r="B813" s="40">
        <f>Expense!A780</f>
        <v>0</v>
      </c>
      <c r="C813" s="46">
        <f ca="1">Income!A780</f>
        <v>-14394.4863152417</v>
      </c>
    </row>
    <row r="814" spans="1:3">
      <c r="B814" s="40">
        <f>Expense!A781</f>
        <v>0</v>
      </c>
      <c r="C814" s="40">
        <f>Income!A781</f>
        <v>0</v>
      </c>
    </row>
    <row r="815" spans="1:3">
      <c r="B815" s="40">
        <f>Expense!A782</f>
        <v>0</v>
      </c>
      <c r="C815" s="40">
        <f>Income!A782</f>
        <v>0</v>
      </c>
    </row>
    <row r="816" spans="1:3">
      <c r="B816" s="40" t="str">
        <f ca="1">Expense!A783</f>
        <v>S15</v>
      </c>
      <c r="C816" s="40">
        <f>Income!A783</f>
        <v>0</v>
      </c>
    </row>
    <row r="817" spans="1:3">
      <c r="A817" s="40" t="s">
        <v>347</v>
      </c>
      <c r="B817" s="46">
        <f ca="1">Expense!A784</f>
        <v>7055.8666639715502</v>
      </c>
      <c r="C817" s="40">
        <f>Income!A784</f>
        <v>0</v>
      </c>
    </row>
    <row r="818" spans="1:3">
      <c r="A818" s="40" t="s">
        <v>348</v>
      </c>
      <c r="B818" s="46">
        <f ca="1">Expense!A785</f>
        <v>5462.61849326831</v>
      </c>
      <c r="C818" s="46">
        <f ca="1">Income!A785</f>
        <v>7056</v>
      </c>
    </row>
    <row r="819" spans="1:3">
      <c r="A819" s="40" t="s">
        <v>349</v>
      </c>
      <c r="B819" s="46">
        <f ca="1">Expense!A786</f>
        <v>5274.3665861904401</v>
      </c>
      <c r="C819" s="46">
        <f ca="1">Income!A786</f>
        <v>0</v>
      </c>
    </row>
    <row r="820" spans="1:3">
      <c r="A820" s="40" t="s">
        <v>350</v>
      </c>
      <c r="B820" s="46">
        <f ca="1">Expense!A787</f>
        <v>6502.3667008348602</v>
      </c>
      <c r="C820" s="46">
        <f ca="1">Income!A787</f>
        <v>9919</v>
      </c>
    </row>
    <row r="821" spans="1:3">
      <c r="A821" s="40" t="s">
        <v>351</v>
      </c>
      <c r="B821" s="46">
        <f ca="1">Expense!A788</f>
        <v>6787.6363047889899</v>
      </c>
      <c r="C821" s="46">
        <f ca="1">Income!A788</f>
        <v>6502</v>
      </c>
    </row>
    <row r="822" spans="1:3">
      <c r="A822" s="40" t="s">
        <v>352</v>
      </c>
      <c r="B822" s="46">
        <f ca="1">Expense!A789</f>
        <v>6032.1520148608597</v>
      </c>
      <c r="C822" s="46">
        <f ca="1">Income!A789</f>
        <v>6788</v>
      </c>
    </row>
    <row r="823" spans="1:3">
      <c r="A823" s="40" t="s">
        <v>353</v>
      </c>
      <c r="B823" s="46">
        <f ca="1">Expense!A790</f>
        <v>7878.3549148705097</v>
      </c>
      <c r="C823" s="46">
        <f ca="1">Income!A790</f>
        <v>6032</v>
      </c>
    </row>
    <row r="824" spans="1:3">
      <c r="A824" s="40" t="s">
        <v>354</v>
      </c>
      <c r="B824" s="46">
        <f ca="1">Expense!A791</f>
        <v>7991.5390186568502</v>
      </c>
      <c r="C824" s="40">
        <f ca="1">Income!A791</f>
        <v>0</v>
      </c>
    </row>
    <row r="825" spans="1:3">
      <c r="A825" s="40" t="s">
        <v>355</v>
      </c>
      <c r="B825" s="46">
        <f ca="1">Expense!A792</f>
        <v>6351.7765061894797</v>
      </c>
      <c r="C825" s="46">
        <f ca="1">Income!A792</f>
        <v>6231</v>
      </c>
    </row>
    <row r="826" spans="1:3">
      <c r="A826" s="40" t="s">
        <v>356</v>
      </c>
      <c r="B826" s="46">
        <f ca="1">Expense!A793</f>
        <v>5896.6757328425301</v>
      </c>
      <c r="C826" s="46">
        <f ca="1">Income!A793</f>
        <v>6329</v>
      </c>
    </row>
    <row r="827" spans="1:3">
      <c r="A827" s="40" t="s">
        <v>357</v>
      </c>
      <c r="B827" s="46">
        <f ca="1">Expense!A794</f>
        <v>5683.8971575408304</v>
      </c>
      <c r="C827" s="40">
        <f ca="1">Income!A794</f>
        <v>0</v>
      </c>
    </row>
    <row r="828" spans="1:3">
      <c r="A828" s="40" t="s">
        <v>358</v>
      </c>
      <c r="B828" s="46">
        <f ca="1">Expense!A795</f>
        <v>6096.8044637753101</v>
      </c>
      <c r="C828" s="46">
        <f ca="1">Income!A795</f>
        <v>5919</v>
      </c>
    </row>
    <row r="829" spans="1:3">
      <c r="B829" s="46">
        <f ca="1">Expense!A796</f>
        <v>77014.0545577905</v>
      </c>
      <c r="C829" s="40">
        <f ca="1">Income!A796</f>
        <v>54776</v>
      </c>
    </row>
    <row r="830" spans="1:3">
      <c r="B830" s="40">
        <f>Expense!A797</f>
        <v>0</v>
      </c>
      <c r="C830" s="46">
        <f ca="1">Income!A797</f>
        <v>-22238.0545577905</v>
      </c>
    </row>
    <row r="831" spans="1:3">
      <c r="B831" s="40">
        <f>Expense!A798</f>
        <v>0</v>
      </c>
      <c r="C831" s="40">
        <f>Income!A798</f>
        <v>0</v>
      </c>
    </row>
    <row r="832" spans="1:3">
      <c r="B832" s="40">
        <f>Expense!A799</f>
        <v>0</v>
      </c>
      <c r="C832" s="40">
        <f>Income!A799</f>
        <v>0</v>
      </c>
    </row>
    <row r="833" spans="1:3">
      <c r="B833" s="40" t="str">
        <f ca="1">Expense!A800</f>
        <v>S16</v>
      </c>
      <c r="C833" s="40">
        <f>Income!A800</f>
        <v>0</v>
      </c>
    </row>
    <row r="834" spans="1:3">
      <c r="A834" s="40" t="s">
        <v>347</v>
      </c>
      <c r="B834" s="46">
        <f ca="1">Expense!A801</f>
        <v>5801.4859275672497</v>
      </c>
      <c r="C834" s="40">
        <f>Income!A801</f>
        <v>0</v>
      </c>
    </row>
    <row r="835" spans="1:3">
      <c r="A835" s="40" t="s">
        <v>348</v>
      </c>
      <c r="B835" s="46">
        <f ca="1">Expense!A802</f>
        <v>4388.4270821735799</v>
      </c>
      <c r="C835" s="40">
        <f ca="1">Income!A802</f>
        <v>5800</v>
      </c>
    </row>
    <row r="836" spans="1:3">
      <c r="A836" s="40" t="s">
        <v>349</v>
      </c>
      <c r="B836" s="46">
        <f ca="1">Expense!A803</f>
        <v>4590.3637791526098</v>
      </c>
      <c r="C836" s="40">
        <f ca="1">Income!A803</f>
        <v>4372</v>
      </c>
    </row>
    <row r="837" spans="1:3">
      <c r="A837" s="40" t="s">
        <v>350</v>
      </c>
      <c r="B837" s="46">
        <f ca="1">Expense!A804</f>
        <v>5525.9323520604603</v>
      </c>
      <c r="C837" s="40">
        <f ca="1">Income!A804</f>
        <v>4475</v>
      </c>
    </row>
    <row r="838" spans="1:3">
      <c r="A838" s="40" t="s">
        <v>351</v>
      </c>
      <c r="B838" s="46">
        <f ca="1">Expense!A805</f>
        <v>5931.5924408371102</v>
      </c>
      <c r="C838" s="40">
        <f ca="1">Income!A805</f>
        <v>5525</v>
      </c>
    </row>
    <row r="839" spans="1:3">
      <c r="A839" s="40" t="s">
        <v>352</v>
      </c>
      <c r="B839" s="46">
        <f ca="1">Expense!A806</f>
        <v>5083.9454554241902</v>
      </c>
      <c r="C839" s="40">
        <f ca="1">Income!A806</f>
        <v>5931</v>
      </c>
    </row>
    <row r="840" spans="1:3">
      <c r="A840" s="40" t="s">
        <v>353</v>
      </c>
      <c r="B840" s="46">
        <f ca="1">Expense!A807</f>
        <v>6532.6110310744498</v>
      </c>
      <c r="C840" s="46">
        <f ca="1">Income!A807</f>
        <v>5084</v>
      </c>
    </row>
    <row r="841" spans="1:3">
      <c r="A841" s="40" t="s">
        <v>354</v>
      </c>
      <c r="B841" s="46">
        <f ca="1">Expense!A808</f>
        <v>6944.8478086199002</v>
      </c>
      <c r="C841" s="40">
        <f ca="1">Income!A808</f>
        <v>6114</v>
      </c>
    </row>
    <row r="842" spans="1:3">
      <c r="A842" s="40" t="s">
        <v>355</v>
      </c>
      <c r="B842" s="46">
        <f ca="1">Expense!A809</f>
        <v>5376.8130182774003</v>
      </c>
      <c r="C842" s="40">
        <f ca="1">Income!A809</f>
        <v>7026</v>
      </c>
    </row>
    <row r="843" spans="1:3">
      <c r="A843" s="40" t="s">
        <v>356</v>
      </c>
      <c r="B843" s="46">
        <f ca="1">Expense!A810</f>
        <v>5083.3600069987397</v>
      </c>
      <c r="C843" s="40">
        <f ca="1">Income!A810</f>
        <v>5400</v>
      </c>
    </row>
    <row r="844" spans="1:3">
      <c r="A844" s="40" t="s">
        <v>357</v>
      </c>
      <c r="B844" s="46">
        <f ca="1">Expense!A811</f>
        <v>4792.4669697917998</v>
      </c>
      <c r="C844" s="40">
        <f ca="1">Income!A811</f>
        <v>5100</v>
      </c>
    </row>
    <row r="845" spans="1:3">
      <c r="A845" s="40" t="s">
        <v>358</v>
      </c>
      <c r="B845" s="46">
        <f ca="1">Expense!A812</f>
        <v>4839.3734565373197</v>
      </c>
      <c r="C845" s="40">
        <f ca="1">Income!A812</f>
        <v>4792</v>
      </c>
    </row>
    <row r="846" spans="1:3">
      <c r="B846" s="46">
        <f ca="1">Expense!A813</f>
        <v>64891.219328514802</v>
      </c>
      <c r="C846" s="40">
        <f ca="1">Income!A813</f>
        <v>59619</v>
      </c>
    </row>
    <row r="847" spans="1:3">
      <c r="B847" s="40">
        <f>Expense!A814</f>
        <v>0</v>
      </c>
      <c r="C847" s="46">
        <f ca="1">Income!A814</f>
        <v>-5272.2193285148296</v>
      </c>
    </row>
    <row r="848" spans="1:3">
      <c r="B848" s="40">
        <f>Expense!A815</f>
        <v>0</v>
      </c>
      <c r="C848" s="40">
        <f>Income!A815</f>
        <v>0</v>
      </c>
    </row>
    <row r="849" spans="1:3">
      <c r="B849" s="40">
        <f>Expense!A816</f>
        <v>0</v>
      </c>
      <c r="C849" s="40">
        <f>Income!A816</f>
        <v>0</v>
      </c>
    </row>
    <row r="850" spans="1:3">
      <c r="B850" s="40" t="str">
        <f ca="1">Expense!A817</f>
        <v>T1</v>
      </c>
      <c r="C850" s="40">
        <f>Income!A817</f>
        <v>0</v>
      </c>
    </row>
    <row r="851" spans="1:3">
      <c r="A851" s="40" t="s">
        <v>347</v>
      </c>
      <c r="B851" s="46">
        <f ca="1">Expense!A818</f>
        <v>6826.4766541747103</v>
      </c>
      <c r="C851" s="40">
        <f>Income!A818</f>
        <v>0</v>
      </c>
    </row>
    <row r="852" spans="1:3">
      <c r="A852" s="40" t="s">
        <v>348</v>
      </c>
      <c r="B852" s="46">
        <f ca="1">Expense!A819</f>
        <v>5607.58163581189</v>
      </c>
      <c r="C852" s="40">
        <f ca="1">Income!A819</f>
        <v>6823</v>
      </c>
    </row>
    <row r="853" spans="1:3">
      <c r="A853" s="40" t="s">
        <v>349</v>
      </c>
      <c r="B853" s="46">
        <f ca="1">Expense!A820</f>
        <v>5410.8894623840397</v>
      </c>
      <c r="C853" s="40">
        <f ca="1">Income!A820</f>
        <v>5591</v>
      </c>
    </row>
    <row r="854" spans="1:3">
      <c r="A854" s="40" t="s">
        <v>350</v>
      </c>
      <c r="B854" s="46">
        <f ca="1">Expense!A821</f>
        <v>6417.8304472359796</v>
      </c>
      <c r="C854" s="40">
        <f ca="1">Income!A821</f>
        <v>5410</v>
      </c>
    </row>
    <row r="855" spans="1:3">
      <c r="A855" s="40" t="s">
        <v>351</v>
      </c>
      <c r="B855" s="46">
        <f ca="1">Expense!A822</f>
        <v>6872.5716712333096</v>
      </c>
      <c r="C855" s="40">
        <f ca="1">Income!A822</f>
        <v>6420</v>
      </c>
    </row>
    <row r="856" spans="1:3">
      <c r="A856" s="40" t="s">
        <v>352</v>
      </c>
      <c r="B856" s="46">
        <f ca="1">Expense!A823</f>
        <v>6025.9606231286998</v>
      </c>
      <c r="C856" s="40">
        <f ca="1">Income!A823</f>
        <v>6417</v>
      </c>
    </row>
    <row r="857" spans="1:3">
      <c r="A857" s="40" t="s">
        <v>353</v>
      </c>
      <c r="B857" s="46">
        <f ca="1">Expense!A824</f>
        <v>7597.0633555720697</v>
      </c>
      <c r="C857" s="46">
        <f ca="1">Income!A824</f>
        <v>6026</v>
      </c>
    </row>
    <row r="858" spans="1:3">
      <c r="A858" s="40" t="s">
        <v>354</v>
      </c>
      <c r="B858" s="46">
        <f ca="1">Expense!A825</f>
        <v>7704.0654566734502</v>
      </c>
      <c r="C858" s="40">
        <f ca="1">Income!A825</f>
        <v>6114</v>
      </c>
    </row>
    <row r="859" spans="1:3">
      <c r="A859" s="40" t="s">
        <v>355</v>
      </c>
      <c r="B859" s="46">
        <f ca="1">Expense!A826</f>
        <v>6297.8208899045803</v>
      </c>
      <c r="C859" s="40">
        <f ca="1">Income!A826</f>
        <v>7786</v>
      </c>
    </row>
    <row r="860" spans="1:3">
      <c r="A860" s="40" t="s">
        <v>356</v>
      </c>
      <c r="B860" s="46">
        <f ca="1">Expense!A827</f>
        <v>6032.3988558805204</v>
      </c>
      <c r="C860" s="40">
        <f ca="1">Income!A827</f>
        <v>6280</v>
      </c>
    </row>
    <row r="861" spans="1:3">
      <c r="A861" s="40" t="s">
        <v>357</v>
      </c>
      <c r="B861" s="46">
        <f ca="1">Expense!A828</f>
        <v>5932.8928171032303</v>
      </c>
      <c r="C861" s="40">
        <f ca="1">Income!A828</f>
        <v>6050</v>
      </c>
    </row>
    <row r="862" spans="1:3">
      <c r="A862" s="40" t="s">
        <v>358</v>
      </c>
      <c r="B862" s="46">
        <f ca="1">Expense!A829</f>
        <v>5878.7258608331204</v>
      </c>
      <c r="C862" s="40">
        <f ca="1">Income!A829</f>
        <v>5933</v>
      </c>
    </row>
    <row r="863" spans="1:3">
      <c r="B863" s="46">
        <f ca="1">Expense!A830</f>
        <v>76604.277729935595</v>
      </c>
      <c r="C863" s="40">
        <f ca="1">Income!A830</f>
        <v>68850</v>
      </c>
    </row>
    <row r="864" spans="1:3">
      <c r="B864" s="40">
        <f>Expense!A831</f>
        <v>0</v>
      </c>
      <c r="C864" s="46">
        <f ca="1">Income!A831</f>
        <v>-7754.2777299356503</v>
      </c>
    </row>
    <row r="865" spans="1:3">
      <c r="B865" s="40">
        <f>Expense!A832</f>
        <v>0</v>
      </c>
      <c r="C865" s="40">
        <f>Income!A832</f>
        <v>0</v>
      </c>
    </row>
    <row r="866" spans="1:3">
      <c r="B866" s="40">
        <f>Expense!A833</f>
        <v>0</v>
      </c>
      <c r="C866" s="40">
        <f>Income!A833</f>
        <v>0</v>
      </c>
    </row>
    <row r="867" spans="1:3">
      <c r="B867" s="40" t="str">
        <f ca="1">Expense!A834</f>
        <v>T2</v>
      </c>
      <c r="C867" s="40">
        <f>Income!A834</f>
        <v>0</v>
      </c>
    </row>
    <row r="868" spans="1:3">
      <c r="A868" s="40" t="s">
        <v>347</v>
      </c>
      <c r="B868" s="46">
        <f ca="1">Expense!A835</f>
        <v>6778.7601175380196</v>
      </c>
      <c r="C868" s="40">
        <f>Income!A835</f>
        <v>0</v>
      </c>
    </row>
    <row r="869" spans="1:3">
      <c r="A869" s="40" t="s">
        <v>348</v>
      </c>
      <c r="B869" s="46">
        <f ca="1">Expense!A836</f>
        <v>5525.1168093003098</v>
      </c>
      <c r="C869" s="46">
        <f ca="1">Income!A836</f>
        <v>0</v>
      </c>
    </row>
    <row r="870" spans="1:3">
      <c r="A870" s="40" t="s">
        <v>349</v>
      </c>
      <c r="B870" s="46">
        <f ca="1">Expense!A837</f>
        <v>5694.2443099716002</v>
      </c>
      <c r="C870" s="46">
        <f ca="1">Income!A837</f>
        <v>69469</v>
      </c>
    </row>
    <row r="871" spans="1:3">
      <c r="A871" s="40" t="s">
        <v>350</v>
      </c>
      <c r="B871" s="46">
        <f ca="1">Expense!A838</f>
        <v>6598.9014473982697</v>
      </c>
      <c r="C871" s="46">
        <f ca="1">Income!A838</f>
        <v>0</v>
      </c>
    </row>
    <row r="872" spans="1:3">
      <c r="A872" s="40" t="s">
        <v>351</v>
      </c>
      <c r="B872" s="46">
        <f ca="1">Expense!A839</f>
        <v>6902.2401838348396</v>
      </c>
      <c r="C872" s="46">
        <f ca="1">Income!A839</f>
        <v>18827</v>
      </c>
    </row>
    <row r="873" spans="1:3">
      <c r="A873" s="40" t="s">
        <v>352</v>
      </c>
      <c r="B873" s="46">
        <f ca="1">Expense!A840</f>
        <v>5775.3820601186999</v>
      </c>
      <c r="C873" s="46">
        <f ca="1">Income!A840</f>
        <v>0</v>
      </c>
    </row>
    <row r="874" spans="1:3">
      <c r="A874" s="40" t="s">
        <v>353</v>
      </c>
      <c r="B874" s="46">
        <f ca="1">Expense!A841</f>
        <v>7544.3288722392899</v>
      </c>
      <c r="C874" s="46">
        <f ca="1">Income!A841</f>
        <v>5775</v>
      </c>
    </row>
    <row r="875" spans="1:3">
      <c r="A875" s="40" t="s">
        <v>354</v>
      </c>
      <c r="B875" s="46">
        <f ca="1">Expense!A842</f>
        <v>7835.5314126601297</v>
      </c>
      <c r="C875" s="40">
        <f ca="1">Income!A842</f>
        <v>0</v>
      </c>
    </row>
    <row r="876" spans="1:3">
      <c r="A876" s="40" t="s">
        <v>355</v>
      </c>
      <c r="B876" s="46">
        <f ca="1">Expense!A843</f>
        <v>5933.4109560228198</v>
      </c>
      <c r="C876" s="46">
        <f ca="1">Income!A843</f>
        <v>6231</v>
      </c>
    </row>
    <row r="877" spans="1:3">
      <c r="A877" s="40" t="s">
        <v>356</v>
      </c>
      <c r="B877" s="46">
        <f ca="1">Expense!A844</f>
        <v>5895.8963110268696</v>
      </c>
      <c r="C877" s="46">
        <f ca="1">Income!A844</f>
        <v>0</v>
      </c>
    </row>
    <row r="878" spans="1:3">
      <c r="A878" s="40" t="s">
        <v>357</v>
      </c>
      <c r="B878" s="46">
        <f ca="1">Expense!A845</f>
        <v>5861.9341501826902</v>
      </c>
      <c r="C878" s="46">
        <f ca="1">Income!A845</f>
        <v>0</v>
      </c>
    </row>
    <row r="879" spans="1:3">
      <c r="A879" s="40" t="s">
        <v>358</v>
      </c>
      <c r="B879" s="46">
        <f ca="1">Expense!A846</f>
        <v>6105.0311775588398</v>
      </c>
      <c r="C879" s="40">
        <f ca="1">Income!A846</f>
        <v>0</v>
      </c>
    </row>
    <row r="880" spans="1:3">
      <c r="B880" s="46">
        <f ca="1">Expense!A847</f>
        <v>76450.777807852399</v>
      </c>
      <c r="C880" s="40">
        <f ca="1">Income!A847</f>
        <v>100302</v>
      </c>
    </row>
    <row r="881" spans="1:3">
      <c r="B881" s="40">
        <f>Expense!A848</f>
        <v>0</v>
      </c>
      <c r="C881" s="46">
        <f ca="1">Income!A848</f>
        <v>23851.222192147601</v>
      </c>
    </row>
    <row r="882" spans="1:3">
      <c r="B882" s="40">
        <f>Expense!A849</f>
        <v>0</v>
      </c>
      <c r="C882" s="40">
        <f>Income!A849</f>
        <v>0</v>
      </c>
    </row>
    <row r="883" spans="1:3">
      <c r="B883" s="40">
        <f>Expense!A850</f>
        <v>0</v>
      </c>
      <c r="C883" s="40">
        <f>Income!A850</f>
        <v>0</v>
      </c>
    </row>
    <row r="884" spans="1:3">
      <c r="B884" s="40" t="str">
        <f ca="1">Expense!A851</f>
        <v>T3</v>
      </c>
      <c r="C884" s="40">
        <f>Income!A851</f>
        <v>0</v>
      </c>
    </row>
    <row r="885" spans="1:3">
      <c r="A885" s="40" t="s">
        <v>347</v>
      </c>
      <c r="B885" s="46">
        <f ca="1">Expense!A852</f>
        <v>6552.0646376545001</v>
      </c>
      <c r="C885" s="40">
        <f>Income!A852</f>
        <v>0</v>
      </c>
    </row>
    <row r="886" spans="1:3">
      <c r="A886" s="40" t="s">
        <v>348</v>
      </c>
      <c r="B886" s="46">
        <f ca="1">Expense!A853</f>
        <v>4927.4948868698602</v>
      </c>
      <c r="C886" s="46">
        <f ca="1">Income!A853</f>
        <v>11928</v>
      </c>
    </row>
    <row r="887" spans="1:3">
      <c r="A887" s="40" t="s">
        <v>349</v>
      </c>
      <c r="B887" s="46">
        <f ca="1">Expense!A854</f>
        <v>4859.0454804789897</v>
      </c>
      <c r="C887" s="46">
        <f ca="1">Income!A854</f>
        <v>4905</v>
      </c>
    </row>
    <row r="888" spans="1:3">
      <c r="A888" s="40" t="s">
        <v>350</v>
      </c>
      <c r="B888" s="46">
        <f ca="1">Expense!A855</f>
        <v>6114.8750558250804</v>
      </c>
      <c r="C888" s="46">
        <f ca="1">Income!A855</f>
        <v>4860</v>
      </c>
    </row>
    <row r="889" spans="1:3">
      <c r="A889" s="40" t="s">
        <v>351</v>
      </c>
      <c r="B889" s="46">
        <f ca="1">Expense!A856</f>
        <v>6343.0070526740001</v>
      </c>
      <c r="C889" s="46">
        <f ca="1">Income!A856</f>
        <v>6114.88</v>
      </c>
    </row>
    <row r="890" spans="1:3">
      <c r="A890" s="40" t="s">
        <v>352</v>
      </c>
      <c r="B890" s="46">
        <f ca="1">Expense!A857</f>
        <v>5604.7405572817597</v>
      </c>
      <c r="C890" s="46">
        <f ca="1">Income!A857</f>
        <v>6343</v>
      </c>
    </row>
    <row r="891" spans="1:3">
      <c r="A891" s="40" t="s">
        <v>353</v>
      </c>
      <c r="B891" s="46">
        <f ca="1">Expense!A858</f>
        <v>6652.4947460093299</v>
      </c>
      <c r="C891" s="46">
        <f ca="1">Income!A858</f>
        <v>5605</v>
      </c>
    </row>
    <row r="892" spans="1:3">
      <c r="A892" s="40" t="s">
        <v>354</v>
      </c>
      <c r="B892" s="46">
        <f ca="1">Expense!A859</f>
        <v>6769.4794383492299</v>
      </c>
      <c r="C892" s="40">
        <f ca="1">Income!A859</f>
        <v>6231</v>
      </c>
    </row>
    <row r="893" spans="1:3">
      <c r="A893" s="40" t="s">
        <v>355</v>
      </c>
      <c r="B893" s="46">
        <f ca="1">Expense!A860</f>
        <v>5340.3609285912098</v>
      </c>
      <c r="C893" s="46">
        <f ca="1">Income!A860</f>
        <v>6851</v>
      </c>
    </row>
    <row r="894" spans="1:3">
      <c r="A894" s="40" t="s">
        <v>356</v>
      </c>
      <c r="B894" s="46">
        <f ca="1">Expense!A861</f>
        <v>5404.5265292378199</v>
      </c>
      <c r="C894" s="46">
        <f ca="1">Income!A861</f>
        <v>5317.69</v>
      </c>
    </row>
    <row r="895" spans="1:3">
      <c r="A895" s="40" t="s">
        <v>357</v>
      </c>
      <c r="B895" s="46">
        <f ca="1">Expense!A862</f>
        <v>5275.8462613497404</v>
      </c>
      <c r="C895" s="46">
        <f ca="1">Income!A862</f>
        <v>5427</v>
      </c>
    </row>
    <row r="896" spans="1:3">
      <c r="A896" s="40" t="s">
        <v>358</v>
      </c>
      <c r="B896" s="46">
        <f ca="1">Expense!A863</f>
        <v>5430.75025481789</v>
      </c>
      <c r="C896" s="40">
        <f ca="1">Income!A863</f>
        <v>5276</v>
      </c>
    </row>
    <row r="897" spans="1:3">
      <c r="B897" s="46">
        <f ca="1">Expense!A864</f>
        <v>69274.685829139402</v>
      </c>
      <c r="C897" s="40">
        <f ca="1">Income!A864</f>
        <v>68858.570000000007</v>
      </c>
    </row>
    <row r="898" spans="1:3">
      <c r="B898" s="40">
        <f>Expense!A865</f>
        <v>0</v>
      </c>
      <c r="C898" s="46">
        <f ca="1">Income!A865</f>
        <v>-416.115829139467</v>
      </c>
    </row>
    <row r="899" spans="1:3">
      <c r="B899" s="40">
        <f>Expense!A866</f>
        <v>0</v>
      </c>
      <c r="C899" s="40">
        <f>Income!A866</f>
        <v>0</v>
      </c>
    </row>
    <row r="900" spans="1:3">
      <c r="B900" s="40">
        <f>Expense!A867</f>
        <v>0</v>
      </c>
      <c r="C900" s="40">
        <f>Income!A867</f>
        <v>0</v>
      </c>
    </row>
    <row r="901" spans="1:3">
      <c r="B901" s="40" t="str">
        <f ca="1">Expense!A868</f>
        <v>T4</v>
      </c>
      <c r="C901" s="40">
        <f>Income!A868</f>
        <v>0</v>
      </c>
    </row>
    <row r="902" spans="1:3">
      <c r="A902" s="40" t="s">
        <v>347</v>
      </c>
      <c r="B902" s="46">
        <f ca="1">Expense!A869</f>
        <v>5573.9870668568301</v>
      </c>
      <c r="C902" s="40">
        <f>Income!A869</f>
        <v>0</v>
      </c>
    </row>
    <row r="903" spans="1:3">
      <c r="A903" s="40" t="s">
        <v>348</v>
      </c>
      <c r="B903" s="46">
        <f ca="1">Expense!A870</f>
        <v>4216.0541027388199</v>
      </c>
      <c r="C903" s="46">
        <f ca="1">Income!A870</f>
        <v>0</v>
      </c>
    </row>
    <row r="904" spans="1:3">
      <c r="A904" s="40" t="s">
        <v>349</v>
      </c>
      <c r="B904" s="46">
        <f ca="1">Expense!A871</f>
        <v>4925.9734211175401</v>
      </c>
      <c r="C904" s="46">
        <f ca="1">Income!A871</f>
        <v>5529</v>
      </c>
    </row>
    <row r="905" spans="1:3">
      <c r="A905" s="40" t="s">
        <v>350</v>
      </c>
      <c r="B905" s="46">
        <f ca="1">Expense!A872</f>
        <v>6261.4130877405796</v>
      </c>
      <c r="C905" s="46">
        <f ca="1">Income!A872</f>
        <v>0</v>
      </c>
    </row>
    <row r="906" spans="1:3">
      <c r="A906" s="40" t="s">
        <v>351</v>
      </c>
      <c r="B906" s="46">
        <f ca="1">Expense!A873</f>
        <v>6562.2086513612103</v>
      </c>
      <c r="C906" s="46">
        <f ca="1">Income!A873</f>
        <v>11187</v>
      </c>
    </row>
    <row r="907" spans="1:3">
      <c r="A907" s="40" t="s">
        <v>352</v>
      </c>
      <c r="B907" s="46">
        <f ca="1">Expense!A874</f>
        <v>5493.6324903225996</v>
      </c>
      <c r="C907" s="46">
        <f ca="1">Income!A874</f>
        <v>0</v>
      </c>
    </row>
    <row r="908" spans="1:3">
      <c r="A908" s="40" t="s">
        <v>353</v>
      </c>
      <c r="B908" s="46">
        <f ca="1">Expense!A875</f>
        <v>6984.5018623450296</v>
      </c>
      <c r="C908" s="46">
        <f ca="1">Income!A875</f>
        <v>0</v>
      </c>
    </row>
    <row r="909" spans="1:3">
      <c r="A909" s="40" t="s">
        <v>354</v>
      </c>
      <c r="B909" s="46">
        <f ca="1">Expense!A876</f>
        <v>7106.9148840944599</v>
      </c>
      <c r="C909" s="46">
        <f ca="1">Income!A876</f>
        <v>0</v>
      </c>
    </row>
    <row r="910" spans="1:3">
      <c r="A910" s="40" t="s">
        <v>355</v>
      </c>
      <c r="B910" s="46">
        <f ca="1">Expense!A877</f>
        <v>5468.9219126690296</v>
      </c>
      <c r="C910" s="46">
        <f ca="1">Income!A877</f>
        <v>6231</v>
      </c>
    </row>
    <row r="911" spans="1:3">
      <c r="A911" s="40" t="s">
        <v>356</v>
      </c>
      <c r="B911" s="46">
        <f ca="1">Expense!A878</f>
        <v>5364.4419787179804</v>
      </c>
      <c r="C911" s="46">
        <f ca="1">Income!A878</f>
        <v>0</v>
      </c>
    </row>
    <row r="912" spans="1:3">
      <c r="A912" s="40" t="s">
        <v>357</v>
      </c>
      <c r="B912" s="46">
        <f ca="1">Expense!A879</f>
        <v>5572.9207654607499</v>
      </c>
      <c r="C912" s="46">
        <f ca="1">Income!A879</f>
        <v>0</v>
      </c>
    </row>
    <row r="913" spans="1:3">
      <c r="A913" s="40" t="s">
        <v>358</v>
      </c>
      <c r="B913" s="46">
        <f ca="1">Expense!A880</f>
        <v>5566.2256543820404</v>
      </c>
      <c r="C913" s="40">
        <f ca="1">Income!A880</f>
        <v>0</v>
      </c>
    </row>
    <row r="914" spans="1:3">
      <c r="B914" s="46">
        <f ca="1">Expense!A881</f>
        <v>69097.195877806895</v>
      </c>
      <c r="C914" s="40">
        <f ca="1">Income!A881</f>
        <v>22947</v>
      </c>
    </row>
    <row r="915" spans="1:3">
      <c r="B915" s="40">
        <f>Expense!A882</f>
        <v>0</v>
      </c>
      <c r="C915" s="46">
        <f ca="1">Income!A882</f>
        <v>-46150.195877806902</v>
      </c>
    </row>
    <row r="916" spans="1:3">
      <c r="B916" s="40">
        <f>Expense!A883</f>
        <v>0</v>
      </c>
      <c r="C916" s="40">
        <f>Income!A883</f>
        <v>0</v>
      </c>
    </row>
    <row r="917" spans="1:3">
      <c r="B917" s="40">
        <f>Expense!A884</f>
        <v>0</v>
      </c>
      <c r="C917" s="40">
        <f>Income!A884</f>
        <v>0</v>
      </c>
    </row>
    <row r="918" spans="1:3">
      <c r="B918" s="40" t="str">
        <f ca="1">Expense!A885</f>
        <v>T5</v>
      </c>
      <c r="C918" s="40">
        <f>Income!A885</f>
        <v>0</v>
      </c>
    </row>
    <row r="919" spans="1:3">
      <c r="A919" s="40" t="s">
        <v>347</v>
      </c>
      <c r="B919" s="46">
        <f ca="1">Expense!A886</f>
        <v>5971.08315860332</v>
      </c>
      <c r="C919" s="40">
        <f>Income!A886</f>
        <v>0</v>
      </c>
    </row>
    <row r="920" spans="1:3">
      <c r="A920" s="40" t="s">
        <v>348</v>
      </c>
      <c r="B920" s="46">
        <f ca="1">Expense!A887</f>
        <v>4449.5646261613401</v>
      </c>
      <c r="C920" s="40">
        <f ca="1">Income!A887</f>
        <v>5941</v>
      </c>
    </row>
    <row r="921" spans="1:3">
      <c r="A921" s="40" t="s">
        <v>349</v>
      </c>
      <c r="B921" s="46">
        <f ca="1">Expense!A888</f>
        <v>4459.7267932091499</v>
      </c>
      <c r="C921" s="40">
        <f ca="1">Income!A888</f>
        <v>0</v>
      </c>
    </row>
    <row r="922" spans="1:3">
      <c r="A922" s="40" t="s">
        <v>350</v>
      </c>
      <c r="B922" s="46">
        <f ca="1">Expense!A889</f>
        <v>5301.4811757911202</v>
      </c>
      <c r="C922" s="40">
        <f ca="1">Income!A889</f>
        <v>0</v>
      </c>
    </row>
    <row r="923" spans="1:3">
      <c r="A923" s="40" t="s">
        <v>351</v>
      </c>
      <c r="B923" s="46">
        <f ca="1">Expense!A890</f>
        <v>5701.7176054517904</v>
      </c>
      <c r="C923" s="40">
        <f ca="1">Income!A890</f>
        <v>4459</v>
      </c>
    </row>
    <row r="924" spans="1:3">
      <c r="A924" s="40" t="s">
        <v>352</v>
      </c>
      <c r="B924" s="46">
        <f ca="1">Expense!A891</f>
        <v>4776.5464701704996</v>
      </c>
      <c r="C924" s="40">
        <f ca="1">Income!A891</f>
        <v>0</v>
      </c>
    </row>
    <row r="925" spans="1:3">
      <c r="A925" s="40" t="s">
        <v>353</v>
      </c>
      <c r="B925" s="46">
        <f ca="1">Expense!A892</f>
        <v>6189.9779868675496</v>
      </c>
      <c r="C925" s="46">
        <f ca="1">Income!A892</f>
        <v>4776</v>
      </c>
    </row>
    <row r="926" spans="1:3">
      <c r="A926" s="40" t="s">
        <v>354</v>
      </c>
      <c r="B926" s="46">
        <f ca="1">Expense!A893</f>
        <v>6846.6046576058297</v>
      </c>
      <c r="C926" s="40">
        <f ca="1">Income!A893</f>
        <v>0</v>
      </c>
    </row>
    <row r="927" spans="1:3">
      <c r="A927" s="40" t="s">
        <v>355</v>
      </c>
      <c r="B927" s="46">
        <f ca="1">Expense!A894</f>
        <v>4937.3664850282703</v>
      </c>
      <c r="C927" s="40">
        <f ca="1">Income!A894</f>
        <v>6928</v>
      </c>
    </row>
    <row r="928" spans="1:3">
      <c r="A928" s="40" t="s">
        <v>356</v>
      </c>
      <c r="B928" s="46">
        <f ca="1">Expense!A895</f>
        <v>4864.6393993937099</v>
      </c>
      <c r="C928" s="40">
        <f ca="1">Income!A895</f>
        <v>0</v>
      </c>
    </row>
    <row r="929" spans="1:3">
      <c r="A929" s="40" t="s">
        <v>357</v>
      </c>
      <c r="B929" s="46">
        <f ca="1">Expense!A896</f>
        <v>4511.3168855782096</v>
      </c>
      <c r="C929" s="40">
        <f ca="1">Income!A896</f>
        <v>4920</v>
      </c>
    </row>
    <row r="930" spans="1:3">
      <c r="A930" s="40" t="s">
        <v>358</v>
      </c>
      <c r="B930" s="46">
        <f ca="1">Expense!A897</f>
        <v>4846.9809553048699</v>
      </c>
      <c r="C930" s="40">
        <f ca="1">Income!A897</f>
        <v>4511</v>
      </c>
    </row>
    <row r="931" spans="1:3">
      <c r="B931" s="46">
        <f ca="1">Expense!A898</f>
        <v>62857.006199165698</v>
      </c>
      <c r="C931" s="40">
        <f ca="1">Income!A898</f>
        <v>31535</v>
      </c>
    </row>
    <row r="932" spans="1:3">
      <c r="B932" s="40">
        <f>Expense!A899</f>
        <v>0</v>
      </c>
      <c r="C932" s="46">
        <f ca="1">Income!A899</f>
        <v>-31322.006199165698</v>
      </c>
    </row>
    <row r="933" spans="1:3">
      <c r="B933" s="40">
        <f>Expense!A900</f>
        <v>0</v>
      </c>
      <c r="C933" s="40">
        <f>Income!A900</f>
        <v>0</v>
      </c>
    </row>
    <row r="934" spans="1:3">
      <c r="B934" s="40">
        <f>Expense!A901</f>
        <v>0</v>
      </c>
      <c r="C934" s="40">
        <f>Income!A901</f>
        <v>0</v>
      </c>
    </row>
    <row r="935" spans="1:3">
      <c r="B935" s="40" t="str">
        <f ca="1">Expense!A902</f>
        <v>T6</v>
      </c>
      <c r="C935" s="40">
        <f>Income!A902</f>
        <v>0</v>
      </c>
    </row>
    <row r="936" spans="1:3">
      <c r="A936" s="40" t="s">
        <v>347</v>
      </c>
      <c r="B936" s="46">
        <f ca="1">Expense!A903</f>
        <v>6745.2531091926203</v>
      </c>
      <c r="C936" s="40">
        <f>Income!A903</f>
        <v>0</v>
      </c>
    </row>
    <row r="937" spans="1:3">
      <c r="A937" s="40" t="s">
        <v>348</v>
      </c>
      <c r="B937" s="46">
        <f ca="1">Expense!A904</f>
        <v>5170.0448245862799</v>
      </c>
      <c r="C937" s="46">
        <f ca="1">Income!A904</f>
        <v>6739</v>
      </c>
    </row>
    <row r="938" spans="1:3">
      <c r="A938" s="40" t="s">
        <v>349</v>
      </c>
      <c r="B938" s="46">
        <f ca="1">Expense!A905</f>
        <v>5521.6696264640996</v>
      </c>
      <c r="C938" s="46">
        <f ca="1">Income!A905</f>
        <v>0</v>
      </c>
    </row>
    <row r="939" spans="1:3">
      <c r="A939" s="40" t="s">
        <v>350</v>
      </c>
      <c r="B939" s="46">
        <f ca="1">Expense!A906</f>
        <v>6295.5050070554398</v>
      </c>
      <c r="C939" s="46">
        <f ca="1">Income!A906</f>
        <v>0</v>
      </c>
    </row>
    <row r="940" spans="1:3">
      <c r="A940" s="40" t="s">
        <v>351</v>
      </c>
      <c r="B940" s="46">
        <f ca="1">Expense!A907</f>
        <v>6709.8937552264397</v>
      </c>
      <c r="C940" s="46">
        <f ca="1">Income!A907</f>
        <v>11818</v>
      </c>
    </row>
    <row r="941" spans="1:3">
      <c r="A941" s="40" t="s">
        <v>352</v>
      </c>
      <c r="B941" s="46">
        <f ca="1">Expense!A908</f>
        <v>5634.4031871569996</v>
      </c>
      <c r="C941" s="46">
        <f ca="1">Income!A908</f>
        <v>0</v>
      </c>
    </row>
    <row r="942" spans="1:3">
      <c r="A942" s="40" t="s">
        <v>353</v>
      </c>
      <c r="B942" s="46">
        <f ca="1">Expense!A909</f>
        <v>7471.8367956099601</v>
      </c>
      <c r="C942" s="46">
        <f ca="1">Income!A909</f>
        <v>6296</v>
      </c>
    </row>
    <row r="943" spans="1:3">
      <c r="A943" s="40" t="s">
        <v>354</v>
      </c>
      <c r="B943" s="46">
        <f ca="1">Expense!A910</f>
        <v>7632.8888021684297</v>
      </c>
      <c r="C943" s="46">
        <f ca="1">Income!A910</f>
        <v>5634</v>
      </c>
    </row>
    <row r="944" spans="1:3">
      <c r="A944" s="40" t="s">
        <v>355</v>
      </c>
      <c r="B944" s="46">
        <f ca="1">Expense!A911</f>
        <v>5838.0479501486598</v>
      </c>
      <c r="C944" s="46">
        <f ca="1">Income!A911</f>
        <v>13828.61</v>
      </c>
    </row>
    <row r="945" spans="1:3">
      <c r="A945" s="40" t="s">
        <v>356</v>
      </c>
      <c r="B945" s="46">
        <f ca="1">Expense!A912</f>
        <v>5459.74651331513</v>
      </c>
      <c r="C945" s="46">
        <f ca="1">Income!A912</f>
        <v>0</v>
      </c>
    </row>
    <row r="946" spans="1:3">
      <c r="A946" s="40" t="s">
        <v>357</v>
      </c>
      <c r="B946" s="46">
        <f ca="1">Expense!A913</f>
        <v>5952.7736146149</v>
      </c>
      <c r="C946" s="46">
        <f ca="1">Income!A913</f>
        <v>0</v>
      </c>
    </row>
    <row r="947" spans="1:3">
      <c r="A947" s="40" t="s">
        <v>358</v>
      </c>
      <c r="B947" s="46">
        <f ca="1">Expense!A914</f>
        <v>6245.9203652998503</v>
      </c>
      <c r="C947" s="40">
        <f ca="1">Income!A914</f>
        <v>0</v>
      </c>
    </row>
    <row r="948" spans="1:3">
      <c r="B948" s="46">
        <f ca="1">Expense!A915</f>
        <v>74677.983550838806</v>
      </c>
      <c r="C948" s="40">
        <f ca="1">Income!A915</f>
        <v>44315.61</v>
      </c>
    </row>
    <row r="949" spans="1:3">
      <c r="B949" s="40">
        <f>Expense!A916</f>
        <v>0</v>
      </c>
      <c r="C949" s="46">
        <f ca="1">Income!A916</f>
        <v>-30362.373550838802</v>
      </c>
    </row>
    <row r="950" spans="1:3">
      <c r="B950" s="40">
        <f>Expense!A917</f>
        <v>0</v>
      </c>
      <c r="C950" s="40">
        <f>Income!A917</f>
        <v>0</v>
      </c>
    </row>
    <row r="951" spans="1:3">
      <c r="B951" s="40">
        <f>Expense!A918</f>
        <v>0</v>
      </c>
      <c r="C951" s="40">
        <f>Income!A918</f>
        <v>0</v>
      </c>
    </row>
    <row r="952" spans="1:3">
      <c r="B952" s="40" t="str">
        <f ca="1">Expense!A919</f>
        <v>T7</v>
      </c>
      <c r="C952" s="40">
        <f>Income!A919</f>
        <v>0</v>
      </c>
    </row>
    <row r="953" spans="1:3">
      <c r="A953" s="40" t="s">
        <v>347</v>
      </c>
      <c r="B953" s="46">
        <f ca="1">Expense!A920</f>
        <v>5378.0844084110704</v>
      </c>
      <c r="C953" s="40">
        <f>Income!A920</f>
        <v>0</v>
      </c>
    </row>
    <row r="954" spans="1:3">
      <c r="A954" s="40" t="s">
        <v>348</v>
      </c>
      <c r="B954" s="46">
        <f ca="1">Expense!A921</f>
        <v>4092.6049595555301</v>
      </c>
      <c r="C954" s="40">
        <f ca="1">Income!A921</f>
        <v>0</v>
      </c>
    </row>
    <row r="955" spans="1:3">
      <c r="A955" s="40" t="s">
        <v>349</v>
      </c>
      <c r="B955" s="46">
        <f ca="1">Expense!A922</f>
        <v>4403.5006344590802</v>
      </c>
      <c r="C955" s="40">
        <f ca="1">Income!A922</f>
        <v>4076</v>
      </c>
    </row>
    <row r="956" spans="1:3">
      <c r="A956" s="40" t="s">
        <v>350</v>
      </c>
      <c r="B956" s="46">
        <f ca="1">Expense!A923</f>
        <v>5248.1413321738801</v>
      </c>
      <c r="C956" s="40">
        <f ca="1">Income!A923</f>
        <v>4403.5</v>
      </c>
    </row>
    <row r="957" spans="1:3">
      <c r="A957" s="40" t="s">
        <v>351</v>
      </c>
      <c r="B957" s="46">
        <f ca="1">Expense!A924</f>
        <v>5777.9867760236202</v>
      </c>
      <c r="C957" s="40">
        <f ca="1">Income!A924</f>
        <v>1794</v>
      </c>
    </row>
    <row r="958" spans="1:3">
      <c r="A958" s="40" t="s">
        <v>352</v>
      </c>
      <c r="B958" s="46">
        <f ca="1">Expense!A925</f>
        <v>4802.8656860317496</v>
      </c>
      <c r="C958" s="40">
        <f ca="1">Income!A925</f>
        <v>5777.61</v>
      </c>
    </row>
    <row r="959" spans="1:3">
      <c r="A959" s="40" t="s">
        <v>353</v>
      </c>
      <c r="B959" s="46">
        <f ca="1">Expense!A926</f>
        <v>6308.0320455166002</v>
      </c>
      <c r="C959" s="40">
        <f ca="1">Income!A926</f>
        <v>0</v>
      </c>
    </row>
    <row r="960" spans="1:3">
      <c r="A960" s="40" t="s">
        <v>354</v>
      </c>
      <c r="B960" s="46">
        <f ca="1">Expense!A927</f>
        <v>6561.8980395857498</v>
      </c>
      <c r="C960" s="40">
        <f ca="1">Income!A927</f>
        <v>6114</v>
      </c>
    </row>
    <row r="961" spans="1:3">
      <c r="A961" s="40" t="s">
        <v>355</v>
      </c>
      <c r="B961" s="46">
        <f ca="1">Expense!A928</f>
        <v>4916.6627902336404</v>
      </c>
      <c r="C961" s="40">
        <f ca="1">Income!A928</f>
        <v>6643.62</v>
      </c>
    </row>
    <row r="962" spans="1:3">
      <c r="A962" s="40" t="s">
        <v>356</v>
      </c>
      <c r="B962" s="46">
        <f ca="1">Expense!A929</f>
        <v>5295.1595118259902</v>
      </c>
      <c r="C962" s="40">
        <f ca="1">Income!A929</f>
        <v>4889.6000000000004</v>
      </c>
    </row>
    <row r="963" spans="1:3">
      <c r="A963" s="40" t="s">
        <v>357</v>
      </c>
      <c r="B963" s="46">
        <f ca="1">Expense!A930</f>
        <v>4499.0026602538201</v>
      </c>
      <c r="C963" s="40">
        <f ca="1">Income!A930</f>
        <v>5312</v>
      </c>
    </row>
    <row r="964" spans="1:3">
      <c r="A964" s="40" t="s">
        <v>358</v>
      </c>
      <c r="B964" s="46">
        <f ca="1">Expense!A931</f>
        <v>4712.4343782646702</v>
      </c>
      <c r="C964" s="40">
        <f ca="1">Income!A931</f>
        <v>4499</v>
      </c>
    </row>
    <row r="965" spans="1:3">
      <c r="B965" s="46">
        <f ca="1">Expense!A932</f>
        <v>61996.373222335402</v>
      </c>
      <c r="C965" s="40">
        <f ca="1">Income!A932</f>
        <v>43509.33</v>
      </c>
    </row>
    <row r="966" spans="1:3">
      <c r="B966" s="40">
        <f>Expense!A933</f>
        <v>0</v>
      </c>
      <c r="C966" s="46">
        <f ca="1">Income!A933</f>
        <v>-18487.0432223354</v>
      </c>
    </row>
    <row r="967" spans="1:3">
      <c r="B967" s="40">
        <f>Expense!A934</f>
        <v>0</v>
      </c>
      <c r="C967" s="40">
        <f>Income!A934</f>
        <v>0</v>
      </c>
    </row>
    <row r="968" spans="1:3">
      <c r="B968" s="40">
        <f>Expense!A935</f>
        <v>0</v>
      </c>
      <c r="C968" s="40">
        <f>Income!A935</f>
        <v>0</v>
      </c>
    </row>
    <row r="969" spans="1:3">
      <c r="B969" s="40" t="str">
        <f ca="1">Expense!A936</f>
        <v>T8</v>
      </c>
      <c r="C969" s="40">
        <f>Income!A936</f>
        <v>0</v>
      </c>
    </row>
    <row r="970" spans="1:3">
      <c r="A970" s="40" t="s">
        <v>347</v>
      </c>
      <c r="B970" s="46">
        <f ca="1">Expense!A937</f>
        <v>6035.0743492035299</v>
      </c>
      <c r="C970" s="40">
        <f>Income!A937</f>
        <v>0</v>
      </c>
    </row>
    <row r="971" spans="1:3">
      <c r="A971" s="40" t="s">
        <v>348</v>
      </c>
      <c r="B971" s="46">
        <f ca="1">Expense!A938</f>
        <v>4795.0063293926696</v>
      </c>
      <c r="C971" s="46">
        <f ca="1">Income!A938</f>
        <v>6007</v>
      </c>
    </row>
    <row r="972" spans="1:3">
      <c r="A972" s="40" t="s">
        <v>349</v>
      </c>
      <c r="B972" s="46">
        <f ca="1">Expense!A939</f>
        <v>4529.4555908263301</v>
      </c>
      <c r="C972" s="46">
        <f ca="1">Income!A939</f>
        <v>4778</v>
      </c>
    </row>
    <row r="973" spans="1:3">
      <c r="A973" s="40" t="s">
        <v>350</v>
      </c>
      <c r="B973" s="46">
        <f ca="1">Expense!A940</f>
        <v>5200.4826553324401</v>
      </c>
      <c r="C973" s="46">
        <f ca="1">Income!A940</f>
        <v>4529</v>
      </c>
    </row>
    <row r="974" spans="1:3">
      <c r="A974" s="40" t="s">
        <v>351</v>
      </c>
      <c r="B974" s="46">
        <f ca="1">Expense!A941</f>
        <v>5707.1431674399901</v>
      </c>
      <c r="C974" s="46">
        <f ca="1">Income!A941</f>
        <v>5200</v>
      </c>
    </row>
    <row r="975" spans="1:3">
      <c r="A975" s="40" t="s">
        <v>352</v>
      </c>
      <c r="B975" s="46">
        <f ca="1">Expense!A942</f>
        <v>4881.0747331643497</v>
      </c>
      <c r="C975" s="46">
        <f ca="1">Income!A942</f>
        <v>0</v>
      </c>
    </row>
    <row r="976" spans="1:3">
      <c r="A976" s="40" t="s">
        <v>353</v>
      </c>
      <c r="B976" s="46">
        <f ca="1">Expense!A943</f>
        <v>6140.1955147909703</v>
      </c>
      <c r="C976" s="46">
        <f ca="1">Income!A943</f>
        <v>4881</v>
      </c>
    </row>
    <row r="977" spans="1:3">
      <c r="A977" s="40" t="s">
        <v>354</v>
      </c>
      <c r="B977" s="46">
        <f ca="1">Expense!A944</f>
        <v>6607.26710439609</v>
      </c>
      <c r="C977" s="40">
        <f ca="1">Income!A944</f>
        <v>6114</v>
      </c>
    </row>
    <row r="978" spans="1:3">
      <c r="A978" s="40" t="s">
        <v>355</v>
      </c>
      <c r="B978" s="46">
        <f ca="1">Expense!A945</f>
        <v>4817.4831315705296</v>
      </c>
      <c r="C978" s="46">
        <f ca="1">Income!A945</f>
        <v>0</v>
      </c>
    </row>
    <row r="979" spans="1:3">
      <c r="A979" s="40" t="s">
        <v>356</v>
      </c>
      <c r="B979" s="46">
        <f ca="1">Expense!A946</f>
        <v>5288.0139065972598</v>
      </c>
      <c r="C979" s="46">
        <f ca="1">Income!A946</f>
        <v>4800.42</v>
      </c>
    </row>
    <row r="980" spans="1:3">
      <c r="A980" s="40" t="s">
        <v>357</v>
      </c>
      <c r="B980" s="46">
        <f ca="1">Expense!A947</f>
        <v>4776.2952762935001</v>
      </c>
      <c r="C980" s="46">
        <f ca="1">Income!A947</f>
        <v>0</v>
      </c>
    </row>
    <row r="981" spans="1:3">
      <c r="A981" s="40" t="s">
        <v>358</v>
      </c>
      <c r="B981" s="46">
        <f ca="1">Expense!A948</f>
        <v>4917.6599264127799</v>
      </c>
      <c r="C981" s="40">
        <f ca="1">Income!A948</f>
        <v>10081</v>
      </c>
    </row>
    <row r="982" spans="1:3">
      <c r="B982" s="46">
        <f ca="1">Expense!A949</f>
        <v>63695.151685420497</v>
      </c>
      <c r="C982" s="40">
        <f ca="1">Income!A949</f>
        <v>46390.42</v>
      </c>
    </row>
    <row r="983" spans="1:3">
      <c r="B983" s="40">
        <f>Expense!A950</f>
        <v>0</v>
      </c>
      <c r="C983" s="46">
        <f ca="1">Income!A950</f>
        <v>-17304.731685420498</v>
      </c>
    </row>
    <row r="984" spans="1:3">
      <c r="B984" s="40">
        <f>Expense!A951</f>
        <v>0</v>
      </c>
      <c r="C984" s="40">
        <f>Income!A951</f>
        <v>0</v>
      </c>
    </row>
    <row r="985" spans="1:3">
      <c r="B985" s="40">
        <f>Expense!A952</f>
        <v>0</v>
      </c>
      <c r="C985" s="40">
        <f>Income!A952</f>
        <v>0</v>
      </c>
    </row>
    <row r="986" spans="1:3">
      <c r="B986" s="40" t="str">
        <f ca="1">Expense!A953</f>
        <v>T9</v>
      </c>
      <c r="C986" s="40">
        <f>Income!A953</f>
        <v>0</v>
      </c>
    </row>
    <row r="987" spans="1:3">
      <c r="A987" s="40" t="s">
        <v>347</v>
      </c>
      <c r="B987" s="46">
        <f ca="1">Expense!A954</f>
        <v>6009.1683148292896</v>
      </c>
      <c r="C987" s="40">
        <f>Income!A954</f>
        <v>0</v>
      </c>
    </row>
    <row r="988" spans="1:3">
      <c r="A988" s="40" t="s">
        <v>348</v>
      </c>
      <c r="B988" s="46">
        <f ca="1">Expense!A955</f>
        <v>5448.6705798148196</v>
      </c>
      <c r="C988" s="40">
        <f ca="1">Income!A955</f>
        <v>5977</v>
      </c>
    </row>
    <row r="989" spans="1:3">
      <c r="A989" s="40" t="s">
        <v>349</v>
      </c>
      <c r="B989" s="46">
        <f ca="1">Expense!A956</f>
        <v>5328.9205915204302</v>
      </c>
      <c r="C989" s="40">
        <f ca="1">Income!A956</f>
        <v>5426</v>
      </c>
    </row>
    <row r="990" spans="1:3">
      <c r="A990" s="40" t="s">
        <v>350</v>
      </c>
      <c r="B990" s="46">
        <f ca="1">Expense!A957</f>
        <v>5839.69917620038</v>
      </c>
      <c r="C990" s="40">
        <f ca="1">Income!A957</f>
        <v>5329</v>
      </c>
    </row>
    <row r="991" spans="1:3">
      <c r="A991" s="40" t="s">
        <v>351</v>
      </c>
      <c r="B991" s="46">
        <f ca="1">Expense!A958</f>
        <v>6294.2659384193403</v>
      </c>
      <c r="C991" s="40">
        <f ca="1">Income!A958</f>
        <v>5840</v>
      </c>
    </row>
    <row r="992" spans="1:3">
      <c r="A992" s="40" t="s">
        <v>352</v>
      </c>
      <c r="B992" s="46">
        <f ca="1">Expense!A959</f>
        <v>5244.8607404005497</v>
      </c>
      <c r="C992" s="40">
        <f ca="1">Income!A959</f>
        <v>5840</v>
      </c>
    </row>
    <row r="993" spans="1:3">
      <c r="A993" s="40" t="s">
        <v>353</v>
      </c>
      <c r="B993" s="46">
        <f ca="1">Expense!A960</f>
        <v>6555.9050616601098</v>
      </c>
      <c r="C993" s="46">
        <f ca="1">Income!A960</f>
        <v>5245</v>
      </c>
    </row>
    <row r="994" spans="1:3">
      <c r="A994" s="40" t="s">
        <v>354</v>
      </c>
      <c r="B994" s="46">
        <f ca="1">Expense!A961</f>
        <v>7005.57288553731</v>
      </c>
      <c r="C994" s="40">
        <f ca="1">Income!A961</f>
        <v>6231</v>
      </c>
    </row>
    <row r="995" spans="1:3">
      <c r="A995" s="40" t="s">
        <v>355</v>
      </c>
      <c r="B995" s="46">
        <f ca="1">Expense!A962</f>
        <v>5478.0711536488898</v>
      </c>
      <c r="C995" s="40">
        <f ca="1">Income!A962</f>
        <v>7087.29</v>
      </c>
    </row>
    <row r="996" spans="1:3">
      <c r="A996" s="40" t="s">
        <v>356</v>
      </c>
      <c r="B996" s="46">
        <f ca="1">Expense!A963</f>
        <v>5485.4008214440501</v>
      </c>
      <c r="C996" s="40">
        <f ca="1">Income!A963</f>
        <v>5455.4</v>
      </c>
    </row>
    <row r="997" spans="1:3">
      <c r="A997" s="40" t="s">
        <v>357</v>
      </c>
      <c r="B997" s="46">
        <f ca="1">Expense!A964</f>
        <v>4658.4535346439397</v>
      </c>
      <c r="C997" s="40">
        <f ca="1">Income!A964</f>
        <v>5508</v>
      </c>
    </row>
    <row r="998" spans="1:3">
      <c r="A998" s="40" t="s">
        <v>358</v>
      </c>
      <c r="B998" s="46">
        <f ca="1">Expense!A965</f>
        <v>4785.0859117432801</v>
      </c>
      <c r="C998" s="40">
        <f ca="1">Income!A965</f>
        <v>4658</v>
      </c>
    </row>
    <row r="999" spans="1:3">
      <c r="B999" s="46">
        <f ca="1">Expense!A966</f>
        <v>68134.074709862398</v>
      </c>
      <c r="C999" s="40">
        <f ca="1">Income!A966</f>
        <v>62596.69</v>
      </c>
    </row>
    <row r="1000" spans="1:3">
      <c r="B1000" s="40">
        <f>Expense!A967</f>
        <v>0</v>
      </c>
      <c r="C1000" s="46">
        <f ca="1">Income!A967</f>
        <v>-5537.3847098624301</v>
      </c>
    </row>
    <row r="1001" spans="1:3">
      <c r="B1001" s="40">
        <f>Expense!A968</f>
        <v>0</v>
      </c>
      <c r="C1001" s="40">
        <f>Income!A968</f>
        <v>0</v>
      </c>
    </row>
    <row r="1002" spans="1:3">
      <c r="B1002" s="40">
        <f>Expense!A969</f>
        <v>0</v>
      </c>
      <c r="C1002" s="40">
        <f>Income!A969</f>
        <v>0</v>
      </c>
    </row>
    <row r="1003" spans="1:3">
      <c r="B1003" s="40" t="str">
        <f ca="1">Expense!A970</f>
        <v>T10</v>
      </c>
      <c r="C1003" s="40">
        <f>Income!A970</f>
        <v>0</v>
      </c>
    </row>
    <row r="1004" spans="1:3">
      <c r="A1004" s="40" t="s">
        <v>347</v>
      </c>
      <c r="B1004" s="46">
        <f ca="1">Expense!A971</f>
        <v>6609.6644135550496</v>
      </c>
      <c r="C1004" s="40">
        <f>Income!A971</f>
        <v>0</v>
      </c>
    </row>
    <row r="1005" spans="1:3">
      <c r="A1005" s="40" t="s">
        <v>348</v>
      </c>
      <c r="B1005" s="46">
        <f ca="1">Expense!A972</f>
        <v>4975.9120208897302</v>
      </c>
      <c r="C1005" s="46">
        <f ca="1">Income!A972</f>
        <v>6577</v>
      </c>
    </row>
    <row r="1006" spans="1:3">
      <c r="A1006" s="40" t="s">
        <v>349</v>
      </c>
      <c r="B1006" s="46">
        <f ca="1">Expense!A973</f>
        <v>5280.4170790428698</v>
      </c>
      <c r="C1006" s="46">
        <f ca="1">Income!A973</f>
        <v>4959</v>
      </c>
    </row>
    <row r="1007" spans="1:3">
      <c r="A1007" s="40" t="s">
        <v>350</v>
      </c>
      <c r="B1007" s="46">
        <f ca="1">Expense!A974</f>
        <v>5885.0590601603199</v>
      </c>
      <c r="C1007" s="46">
        <f ca="1">Income!A974</f>
        <v>5281</v>
      </c>
    </row>
    <row r="1008" spans="1:3">
      <c r="A1008" s="40" t="s">
        <v>351</v>
      </c>
      <c r="B1008" s="46">
        <f ca="1">Expense!A975</f>
        <v>6634.3188966284397</v>
      </c>
      <c r="C1008" s="46">
        <f ca="1">Income!A975</f>
        <v>5886</v>
      </c>
    </row>
    <row r="1009" spans="1:3">
      <c r="A1009" s="40" t="s">
        <v>352</v>
      </c>
      <c r="B1009" s="46">
        <f ca="1">Expense!A976</f>
        <v>5796.1214326295803</v>
      </c>
      <c r="C1009" s="46">
        <f ca="1">Income!A976</f>
        <v>9000</v>
      </c>
    </row>
    <row r="1010" spans="1:3">
      <c r="A1010" s="40" t="s">
        <v>353</v>
      </c>
      <c r="B1010" s="46">
        <f ca="1">Expense!A977</f>
        <v>7141.1268014693997</v>
      </c>
      <c r="C1010" s="46">
        <f ca="1">Income!A977</f>
        <v>5796</v>
      </c>
    </row>
    <row r="1011" spans="1:3">
      <c r="A1011" s="40" t="s">
        <v>354</v>
      </c>
      <c r="B1011" s="46">
        <f ca="1">Expense!A978</f>
        <v>7240.3824486307103</v>
      </c>
      <c r="C1011" s="46">
        <f ca="1">Income!A978</f>
        <v>6864</v>
      </c>
    </row>
    <row r="1012" spans="1:3">
      <c r="A1012" s="40" t="s">
        <v>355</v>
      </c>
      <c r="B1012" s="46">
        <f ca="1">Expense!A979</f>
        <v>5573.6612272837301</v>
      </c>
      <c r="C1012" s="46">
        <f ca="1">Income!A979</f>
        <v>7323</v>
      </c>
    </row>
    <row r="1013" spans="1:3">
      <c r="A1013" s="40" t="s">
        <v>356</v>
      </c>
      <c r="B1013" s="46">
        <f ca="1">Expense!A980</f>
        <v>6779.4296299160897</v>
      </c>
      <c r="C1013" s="46">
        <f ca="1">Income!A980</f>
        <v>0</v>
      </c>
    </row>
    <row r="1014" spans="1:3">
      <c r="A1014" s="40" t="s">
        <v>357</v>
      </c>
      <c r="B1014" s="46">
        <f ca="1">Expense!A981</f>
        <v>5920.2021225136004</v>
      </c>
      <c r="C1014" s="46">
        <f ca="1">Income!A981</f>
        <v>0</v>
      </c>
    </row>
    <row r="1015" spans="1:3">
      <c r="A1015" s="40" t="s">
        <v>358</v>
      </c>
      <c r="B1015" s="46">
        <f ca="1">Expense!A982</f>
        <v>5652.9314549616302</v>
      </c>
      <c r="C1015" s="40">
        <f ca="1">Income!A982</f>
        <v>12354</v>
      </c>
    </row>
    <row r="1016" spans="1:3">
      <c r="B1016" s="46">
        <f ca="1">Expense!A983</f>
        <v>73489.226587681202</v>
      </c>
      <c r="C1016" s="40">
        <f ca="1">Income!A983</f>
        <v>64040</v>
      </c>
    </row>
    <row r="1017" spans="1:3">
      <c r="B1017" s="40">
        <f>Expense!A984</f>
        <v>0</v>
      </c>
      <c r="C1017" s="46">
        <f ca="1">Income!A984</f>
        <v>-9449.2265876812307</v>
      </c>
    </row>
    <row r="1018" spans="1:3">
      <c r="B1018" s="40">
        <f>Expense!A985</f>
        <v>0</v>
      </c>
      <c r="C1018" s="40">
        <f>Income!A985</f>
        <v>0</v>
      </c>
    </row>
    <row r="1019" spans="1:3">
      <c r="B1019" s="40">
        <f>Expense!A986</f>
        <v>0</v>
      </c>
      <c r="C1019" s="40">
        <f>Income!A986</f>
        <v>0</v>
      </c>
    </row>
    <row r="1020" spans="1:3">
      <c r="B1020" s="40" t="str">
        <f ca="1">Expense!A987</f>
        <v>T11</v>
      </c>
      <c r="C1020" s="40">
        <f>Income!A987</f>
        <v>0</v>
      </c>
    </row>
    <row r="1021" spans="1:3">
      <c r="A1021" s="40" t="s">
        <v>347</v>
      </c>
      <c r="B1021" s="46">
        <f ca="1">Expense!A988</f>
        <v>5706.6308186711203</v>
      </c>
      <c r="C1021" s="40">
        <f>Income!A988</f>
        <v>0</v>
      </c>
    </row>
    <row r="1022" spans="1:3">
      <c r="A1022" s="40" t="s">
        <v>348</v>
      </c>
      <c r="B1022" s="46">
        <f ca="1">Expense!A989</f>
        <v>4876.4096570393303</v>
      </c>
      <c r="C1022" s="46">
        <f ca="1">Income!A989</f>
        <v>0</v>
      </c>
    </row>
    <row r="1023" spans="1:3">
      <c r="A1023" s="40" t="s">
        <v>349</v>
      </c>
      <c r="B1023" s="46">
        <f ca="1">Expense!A990</f>
        <v>4585.0546920438601</v>
      </c>
      <c r="C1023" s="46">
        <f ca="1">Income!A990</f>
        <v>10528</v>
      </c>
    </row>
    <row r="1024" spans="1:3">
      <c r="A1024" s="40" t="s">
        <v>350</v>
      </c>
      <c r="B1024" s="46">
        <f ca="1">Expense!A991</f>
        <v>5351.2590180171901</v>
      </c>
      <c r="C1024" s="46">
        <f ca="1">Income!A991</f>
        <v>4585</v>
      </c>
    </row>
    <row r="1025" spans="1:3">
      <c r="A1025" s="40" t="s">
        <v>351</v>
      </c>
      <c r="B1025" s="46">
        <f ca="1">Expense!A992</f>
        <v>5680.5045475143197</v>
      </c>
      <c r="C1025" s="46">
        <f ca="1">Income!A992</f>
        <v>5351</v>
      </c>
    </row>
    <row r="1026" spans="1:3">
      <c r="A1026" s="40" t="s">
        <v>352</v>
      </c>
      <c r="B1026" s="46">
        <f ca="1">Expense!A993</f>
        <v>4833.8341046948399</v>
      </c>
      <c r="C1026" s="46">
        <f ca="1">Income!A993</f>
        <v>0</v>
      </c>
    </row>
    <row r="1027" spans="1:3">
      <c r="A1027" s="40" t="s">
        <v>353</v>
      </c>
      <c r="B1027" s="46">
        <f ca="1">Expense!A994</f>
        <v>6194.0158394586097</v>
      </c>
      <c r="C1027" s="46">
        <f ca="1">Income!A994</f>
        <v>5176</v>
      </c>
    </row>
    <row r="1028" spans="1:3">
      <c r="A1028" s="40" t="s">
        <v>354</v>
      </c>
      <c r="B1028" s="46">
        <f ca="1">Expense!A995</f>
        <v>6978.4025171722697</v>
      </c>
      <c r="C1028" s="46">
        <f ca="1">Income!A995</f>
        <v>4834</v>
      </c>
    </row>
    <row r="1029" spans="1:3">
      <c r="A1029" s="40" t="s">
        <v>355</v>
      </c>
      <c r="B1029" s="46">
        <f ca="1">Expense!A996</f>
        <v>5229.3404587721398</v>
      </c>
      <c r="C1029" s="46">
        <f ca="1">Income!A996</f>
        <v>13174.119999999901</v>
      </c>
    </row>
    <row r="1030" spans="1:3">
      <c r="A1030" s="40" t="s">
        <v>356</v>
      </c>
      <c r="B1030" s="46">
        <f ca="1">Expense!A997</f>
        <v>5145.7879829009298</v>
      </c>
      <c r="C1030" s="46">
        <f ca="1">Income!A997</f>
        <v>0</v>
      </c>
    </row>
    <row r="1031" spans="1:3">
      <c r="A1031" s="40" t="s">
        <v>357</v>
      </c>
      <c r="B1031" s="46">
        <f ca="1">Expense!A998</f>
        <v>4887.7662155753696</v>
      </c>
      <c r="C1031" s="46">
        <f ca="1">Income!A998</f>
        <v>0</v>
      </c>
    </row>
    <row r="1032" spans="1:3">
      <c r="A1032" s="40" t="s">
        <v>358</v>
      </c>
      <c r="B1032" s="46">
        <f ca="1">Expense!A999</f>
        <v>4938.9786148195499</v>
      </c>
      <c r="C1032" s="40">
        <f ca="1">Income!A999</f>
        <v>5163</v>
      </c>
    </row>
    <row r="1033" spans="1:3">
      <c r="B1033" s="46">
        <f ca="1">Expense!A1000</f>
        <v>64407.984466679503</v>
      </c>
      <c r="C1033" s="40">
        <f ca="1">Income!A1000</f>
        <v>48811.119999999901</v>
      </c>
    </row>
    <row r="1034" spans="1:3">
      <c r="B1034" s="40">
        <f>Expense!A1001</f>
        <v>0</v>
      </c>
      <c r="C1034" s="46">
        <f ca="1">Income!A1001</f>
        <v>-15596.864466679501</v>
      </c>
    </row>
    <row r="1035" spans="1:3">
      <c r="B1035" s="40">
        <f>Expense!A1002</f>
        <v>0</v>
      </c>
      <c r="C1035" s="40">
        <f>Income!A1002</f>
        <v>0</v>
      </c>
    </row>
    <row r="1036" spans="1:3">
      <c r="B1036" s="40">
        <f>Expense!A1003</f>
        <v>0</v>
      </c>
      <c r="C1036" s="40">
        <f>Income!A1003</f>
        <v>0</v>
      </c>
    </row>
    <row r="1037" spans="1:3">
      <c r="B1037" s="40" t="str">
        <f ca="1">Expense!A1004</f>
        <v>T12</v>
      </c>
      <c r="C1037" s="40">
        <f>Income!A1004</f>
        <v>0</v>
      </c>
    </row>
    <row r="1038" spans="1:3">
      <c r="A1038" s="40" t="s">
        <v>347</v>
      </c>
      <c r="B1038" s="46">
        <f ca="1">Expense!A1005</f>
        <v>5470.8304828903001</v>
      </c>
      <c r="C1038" s="40">
        <f>Income!A1005</f>
        <v>0</v>
      </c>
    </row>
    <row r="1039" spans="1:3">
      <c r="A1039" s="40" t="s">
        <v>348</v>
      </c>
      <c r="B1039" s="46">
        <f ca="1">Expense!A1006</f>
        <v>4212.2071024441402</v>
      </c>
      <c r="C1039" s="46">
        <f ca="1">Income!A1006</f>
        <v>6103</v>
      </c>
    </row>
    <row r="1040" spans="1:3">
      <c r="A1040" s="40" t="s">
        <v>349</v>
      </c>
      <c r="B1040" s="46">
        <f ca="1">Expense!A1007</f>
        <v>4410.3982673169003</v>
      </c>
      <c r="C1040" s="46">
        <f ca="1">Income!A1007</f>
        <v>4195</v>
      </c>
    </row>
    <row r="1041" spans="1:3">
      <c r="A1041" s="40" t="s">
        <v>350</v>
      </c>
      <c r="B1041" s="46">
        <f ca="1">Expense!A1008</f>
        <v>5218.6984599151701</v>
      </c>
      <c r="C1041" s="46">
        <f ca="1">Income!A1008</f>
        <v>4410.3999999999996</v>
      </c>
    </row>
    <row r="1042" spans="1:3">
      <c r="A1042" s="40" t="s">
        <v>351</v>
      </c>
      <c r="B1042" s="46">
        <f ca="1">Expense!A1009</f>
        <v>5695.2247197937804</v>
      </c>
      <c r="C1042" s="46">
        <f ca="1">Income!A1009</f>
        <v>5218.7</v>
      </c>
    </row>
    <row r="1043" spans="1:3">
      <c r="A1043" s="40" t="s">
        <v>352</v>
      </c>
      <c r="B1043" s="46">
        <f ca="1">Expense!A1010</f>
        <v>4826.8209004683304</v>
      </c>
      <c r="C1043" s="46">
        <f ca="1">Income!A1010</f>
        <v>5695.22</v>
      </c>
    </row>
    <row r="1044" spans="1:3">
      <c r="A1044" s="40" t="s">
        <v>353</v>
      </c>
      <c r="B1044" s="46">
        <f ca="1">Expense!A1011</f>
        <v>6263.6156670149803</v>
      </c>
      <c r="C1044" s="46">
        <f ca="1">Income!A1011</f>
        <v>4826.82</v>
      </c>
    </row>
    <row r="1045" spans="1:3">
      <c r="A1045" s="40" t="s">
        <v>354</v>
      </c>
      <c r="B1045" s="46">
        <f ca="1">Expense!A1012</f>
        <v>6898.6071929380696</v>
      </c>
      <c r="C1045" s="46">
        <f ca="1">Income!A1012</f>
        <v>6114</v>
      </c>
    </row>
    <row r="1046" spans="1:3">
      <c r="A1046" s="40" t="s">
        <v>355</v>
      </c>
      <c r="B1046" s="46">
        <f ca="1">Expense!A1013</f>
        <v>4994.4784995984301</v>
      </c>
      <c r="C1046" s="46">
        <f ca="1">Income!A1013</f>
        <v>6980.33</v>
      </c>
    </row>
    <row r="1047" spans="1:3">
      <c r="A1047" s="40" t="s">
        <v>356</v>
      </c>
      <c r="B1047" s="46">
        <f ca="1">Expense!A1014</f>
        <v>4964.7023143951001</v>
      </c>
      <c r="C1047" s="46">
        <f ca="1">Income!A1014</f>
        <v>16977.41</v>
      </c>
    </row>
    <row r="1048" spans="1:3">
      <c r="A1048" s="40" t="s">
        <v>357</v>
      </c>
      <c r="B1048" s="46">
        <f ca="1">Expense!A1015</f>
        <v>4604.3412142335801</v>
      </c>
      <c r="C1048" s="46">
        <f ca="1">Income!A1015</f>
        <v>4982</v>
      </c>
    </row>
    <row r="1049" spans="1:3">
      <c r="A1049" s="40" t="s">
        <v>358</v>
      </c>
      <c r="B1049" s="46">
        <f ca="1">Expense!A1016</f>
        <v>4805.6262381672695</v>
      </c>
      <c r="C1049" s="40">
        <f ca="1">Income!A1016</f>
        <v>4604</v>
      </c>
    </row>
    <row r="1050" spans="1:3">
      <c r="B1050" s="46">
        <f ca="1">Expense!A1017</f>
        <v>62365.551059176098</v>
      </c>
      <c r="C1050" s="40">
        <f ca="1">Income!A1017</f>
        <v>70106.880000000005</v>
      </c>
    </row>
    <row r="1051" spans="1:3">
      <c r="B1051" s="40">
        <f>Expense!A1018</f>
        <v>0</v>
      </c>
      <c r="C1051" s="46">
        <f ca="1">Income!A1018</f>
        <v>7741.3289408238998</v>
      </c>
    </row>
    <row r="1052" spans="1:3">
      <c r="B1052" s="40">
        <f>Expense!A1019</f>
        <v>0</v>
      </c>
      <c r="C1052" s="40">
        <f>Income!A1019</f>
        <v>0</v>
      </c>
    </row>
    <row r="1053" spans="1:3">
      <c r="B1053" s="40">
        <f>Expense!A1020</f>
        <v>0</v>
      </c>
      <c r="C1053" s="40">
        <f>Income!A1020</f>
        <v>0</v>
      </c>
    </row>
    <row r="1054" spans="1:3">
      <c r="B1054" s="40" t="str">
        <f ca="1">Expense!A1021</f>
        <v>T13</v>
      </c>
      <c r="C1054" s="40">
        <f>Income!A1021</f>
        <v>0</v>
      </c>
    </row>
    <row r="1055" spans="1:3">
      <c r="A1055" s="40" t="s">
        <v>347</v>
      </c>
      <c r="B1055" s="46">
        <f ca="1">Expense!A1022</f>
        <v>5694.2020286194402</v>
      </c>
      <c r="C1055" s="40">
        <f>Income!A1022</f>
        <v>0</v>
      </c>
    </row>
    <row r="1056" spans="1:3">
      <c r="A1056" s="40" t="s">
        <v>348</v>
      </c>
      <c r="B1056" s="46">
        <f ca="1">Expense!A1023</f>
        <v>4543.6113733886696</v>
      </c>
      <c r="C1056" s="46">
        <f ca="1">Income!A1023</f>
        <v>12000</v>
      </c>
    </row>
    <row r="1057" spans="1:3">
      <c r="A1057" s="40" t="s">
        <v>349</v>
      </c>
      <c r="B1057" s="46">
        <f ca="1">Expense!A1024</f>
        <v>4891.4016491574703</v>
      </c>
      <c r="C1057" s="40">
        <f ca="1">Income!A1024</f>
        <v>0</v>
      </c>
    </row>
    <row r="1058" spans="1:3">
      <c r="A1058" s="40" t="s">
        <v>350</v>
      </c>
      <c r="B1058" s="46">
        <f ca="1">Expense!A1025</f>
        <v>5534.94515844135</v>
      </c>
      <c r="C1058" s="40">
        <f ca="1">Income!A1025</f>
        <v>12000</v>
      </c>
    </row>
    <row r="1059" spans="1:3">
      <c r="A1059" s="40" t="s">
        <v>351</v>
      </c>
      <c r="B1059" s="46">
        <f ca="1">Expense!A1026</f>
        <v>6092.1415184490797</v>
      </c>
      <c r="C1059" s="40">
        <f ca="1">Income!A1026</f>
        <v>0</v>
      </c>
    </row>
    <row r="1060" spans="1:3">
      <c r="A1060" s="40" t="s">
        <v>352</v>
      </c>
      <c r="B1060" s="46">
        <f ca="1">Expense!A1027</f>
        <v>5042.0688181881997</v>
      </c>
      <c r="C1060" s="40">
        <f ca="1">Income!A1027</f>
        <v>12000</v>
      </c>
    </row>
    <row r="1061" spans="1:3">
      <c r="A1061" s="40" t="s">
        <v>353</v>
      </c>
      <c r="B1061" s="46">
        <f ca="1">Expense!A1028</f>
        <v>6302.6360708500197</v>
      </c>
      <c r="C1061" s="40">
        <f ca="1">Income!A1028</f>
        <v>12000</v>
      </c>
    </row>
    <row r="1062" spans="1:3">
      <c r="A1062" s="40" t="s">
        <v>354</v>
      </c>
      <c r="B1062" s="46">
        <f ca="1">Expense!A1029</f>
        <v>7071.9075907562701</v>
      </c>
      <c r="C1062" s="46">
        <f ca="1">Income!A1029</f>
        <v>12000</v>
      </c>
    </row>
    <row r="1063" spans="1:3">
      <c r="A1063" s="40" t="s">
        <v>355</v>
      </c>
      <c r="B1063" s="46">
        <f ca="1">Expense!A1030</f>
        <v>5485.1453090456898</v>
      </c>
      <c r="C1063" s="40">
        <f ca="1">Income!A1030</f>
        <v>0</v>
      </c>
    </row>
    <row r="1064" spans="1:3">
      <c r="A1064" s="40" t="s">
        <v>356</v>
      </c>
      <c r="B1064" s="46">
        <f ca="1">Expense!A1031</f>
        <v>5204.73473715605</v>
      </c>
      <c r="C1064" s="40">
        <f ca="1">Income!A1031</f>
        <v>0</v>
      </c>
    </row>
    <row r="1065" spans="1:3">
      <c r="A1065" s="40" t="s">
        <v>357</v>
      </c>
      <c r="B1065" s="46">
        <f ca="1">Expense!A1032</f>
        <v>4990.8881636824199</v>
      </c>
      <c r="C1065" s="40">
        <f ca="1">Income!A1032</f>
        <v>12000</v>
      </c>
    </row>
    <row r="1066" spans="1:3">
      <c r="A1066" s="40" t="s">
        <v>358</v>
      </c>
      <c r="B1066" s="46">
        <f ca="1">Expense!A1033</f>
        <v>5788.2584672491803</v>
      </c>
      <c r="C1066" s="40">
        <f ca="1">Income!A1033</f>
        <v>0</v>
      </c>
    </row>
    <row r="1067" spans="1:3">
      <c r="B1067" s="46">
        <f ca="1">Expense!A1034</f>
        <v>66641.940884983895</v>
      </c>
      <c r="C1067" s="40">
        <f ca="1">Income!A1034</f>
        <v>72000</v>
      </c>
    </row>
    <row r="1068" spans="1:3">
      <c r="B1068" s="40">
        <f>Expense!A1035</f>
        <v>0</v>
      </c>
      <c r="C1068" s="46">
        <f ca="1">Income!A1035</f>
        <v>5358.0591150160999</v>
      </c>
    </row>
    <row r="1069" spans="1:3">
      <c r="B1069" s="40">
        <f>Expense!A1036</f>
        <v>0</v>
      </c>
      <c r="C1069" s="40">
        <f>Income!A1036</f>
        <v>0</v>
      </c>
    </row>
    <row r="1070" spans="1:3">
      <c r="B1070" s="40">
        <f>Expense!A1037</f>
        <v>0</v>
      </c>
      <c r="C1070" s="40">
        <f>Income!A1037</f>
        <v>0</v>
      </c>
    </row>
    <row r="1071" spans="1:3">
      <c r="B1071" s="40" t="str">
        <f ca="1">Expense!A1038</f>
        <v>T14</v>
      </c>
      <c r="C1071" s="40">
        <f>Income!A1038</f>
        <v>0</v>
      </c>
    </row>
    <row r="1072" spans="1:3">
      <c r="A1072" s="40" t="s">
        <v>347</v>
      </c>
      <c r="B1072" s="46">
        <f ca="1">Expense!A1039</f>
        <v>6372.3337534446</v>
      </c>
      <c r="C1072" s="40">
        <f>Income!A1039</f>
        <v>0</v>
      </c>
    </row>
    <row r="1073" spans="1:3">
      <c r="A1073" s="40" t="s">
        <v>348</v>
      </c>
      <c r="B1073" s="46">
        <f ca="1">Expense!A1040</f>
        <v>4561.1556129590899</v>
      </c>
      <c r="C1073" s="46">
        <f ca="1">Income!A1040</f>
        <v>11709</v>
      </c>
    </row>
    <row r="1074" spans="1:3">
      <c r="A1074" s="40" t="s">
        <v>349</v>
      </c>
      <c r="B1074" s="46">
        <f ca="1">Expense!A1041</f>
        <v>4851.7716131016596</v>
      </c>
      <c r="C1074" s="46">
        <f ca="1">Income!A1041</f>
        <v>5262</v>
      </c>
    </row>
    <row r="1075" spans="1:3">
      <c r="A1075" s="40" t="s">
        <v>350</v>
      </c>
      <c r="B1075" s="46">
        <f ca="1">Expense!A1042</f>
        <v>5513.3927955934696</v>
      </c>
      <c r="C1075" s="46">
        <f ca="1">Income!A1042</f>
        <v>4875</v>
      </c>
    </row>
    <row r="1076" spans="1:3">
      <c r="A1076" s="40" t="s">
        <v>351</v>
      </c>
      <c r="B1076" s="46">
        <f ca="1">Expense!A1043</f>
        <v>6276.29932331087</v>
      </c>
      <c r="C1076" s="46">
        <f ca="1">Income!A1043</f>
        <v>5514</v>
      </c>
    </row>
    <row r="1077" spans="1:3">
      <c r="A1077" s="40" t="s">
        <v>352</v>
      </c>
      <c r="B1077" s="46">
        <f ca="1">Expense!A1044</f>
        <v>5236.5867354142301</v>
      </c>
      <c r="C1077" s="46">
        <f ca="1">Income!A1044</f>
        <v>0</v>
      </c>
    </row>
    <row r="1078" spans="1:3">
      <c r="A1078" s="40" t="s">
        <v>353</v>
      </c>
      <c r="B1078" s="46">
        <f ca="1">Expense!A1045</f>
        <v>6525.6211672271902</v>
      </c>
      <c r="C1078" s="46">
        <f ca="1">Income!A1045</f>
        <v>5237</v>
      </c>
    </row>
    <row r="1079" spans="1:3">
      <c r="A1079" s="40" t="s">
        <v>354</v>
      </c>
      <c r="B1079" s="46">
        <f ca="1">Expense!A1046</f>
        <v>6963.3510877628996</v>
      </c>
      <c r="C1079" s="46">
        <f ca="1">Income!A1046</f>
        <v>6231</v>
      </c>
    </row>
    <row r="1080" spans="1:3">
      <c r="A1080" s="40" t="s">
        <v>355</v>
      </c>
      <c r="B1080" s="46">
        <f ca="1">Expense!A1047</f>
        <v>5511.1782009059098</v>
      </c>
      <c r="C1080" s="46">
        <f ca="1">Income!A1047</f>
        <v>7045</v>
      </c>
    </row>
    <row r="1081" spans="1:3">
      <c r="A1081" s="40" t="s">
        <v>356</v>
      </c>
      <c r="B1081" s="46">
        <f ca="1">Expense!A1048</f>
        <v>5164.61307131166</v>
      </c>
      <c r="C1081" s="46">
        <f ca="1">Income!A1048</f>
        <v>5556</v>
      </c>
    </row>
    <row r="1082" spans="1:3">
      <c r="A1082" s="40" t="s">
        <v>357</v>
      </c>
      <c r="B1082" s="46">
        <f ca="1">Expense!A1049</f>
        <v>4936.4879714863</v>
      </c>
      <c r="C1082" s="46">
        <f ca="1">Income!A1049</f>
        <v>1489</v>
      </c>
    </row>
    <row r="1083" spans="1:3">
      <c r="A1083" s="40" t="s">
        <v>358</v>
      </c>
      <c r="B1083" s="46">
        <f ca="1">Expense!A1050</f>
        <v>5178.1105283045199</v>
      </c>
      <c r="C1083" s="40">
        <f ca="1">Income!A1050</f>
        <v>3631</v>
      </c>
    </row>
    <row r="1084" spans="1:3">
      <c r="B1084" s="46">
        <f ca="1">Expense!A1051</f>
        <v>67090.9018608224</v>
      </c>
      <c r="C1084" s="40">
        <f ca="1">Income!A1051</f>
        <v>56549</v>
      </c>
    </row>
    <row r="1085" spans="1:3">
      <c r="B1085" s="40">
        <f>Expense!A1052</f>
        <v>0</v>
      </c>
      <c r="C1085" s="46">
        <f ca="1">Income!A1052</f>
        <v>-10541.9018608224</v>
      </c>
    </row>
    <row r="1086" spans="1:3">
      <c r="B1086" s="40">
        <f>Expense!A1053</f>
        <v>0</v>
      </c>
      <c r="C1086" s="40">
        <f>Income!A1053</f>
        <v>0</v>
      </c>
    </row>
    <row r="1087" spans="1:3">
      <c r="B1087" s="40">
        <f>Expense!A1054</f>
        <v>0</v>
      </c>
      <c r="C1087" s="40">
        <f>Income!A1054</f>
        <v>0</v>
      </c>
    </row>
    <row r="1088" spans="1:3">
      <c r="B1088" s="40" t="str">
        <f ca="1">Expense!A1055</f>
        <v>T15</v>
      </c>
      <c r="C1088" s="40">
        <f>Income!A1055</f>
        <v>0</v>
      </c>
    </row>
    <row r="1089" spans="1:3">
      <c r="A1089" s="40" t="s">
        <v>347</v>
      </c>
      <c r="B1089" s="46">
        <f ca="1">Expense!A1056</f>
        <v>6270.6371426595497</v>
      </c>
      <c r="C1089" s="40">
        <f>Income!A1056</f>
        <v>0</v>
      </c>
    </row>
    <row r="1090" spans="1:3">
      <c r="A1090" s="40" t="s">
        <v>348</v>
      </c>
      <c r="B1090" s="46">
        <f ca="1">Expense!A1057</f>
        <v>5213.6944071750504</v>
      </c>
      <c r="C1090" s="46">
        <f ca="1">Income!A1057</f>
        <v>6247</v>
      </c>
    </row>
    <row r="1091" spans="1:3">
      <c r="A1091" s="40" t="s">
        <v>349</v>
      </c>
      <c r="B1091" s="46">
        <f ca="1">Expense!A1058</f>
        <v>5151.58872132134</v>
      </c>
      <c r="C1091" s="46">
        <f ca="1">Income!A1058</f>
        <v>0</v>
      </c>
    </row>
    <row r="1092" spans="1:3">
      <c r="A1092" s="40" t="s">
        <v>350</v>
      </c>
      <c r="B1092" s="46">
        <f ca="1">Expense!A1059</f>
        <v>6160.9556307843504</v>
      </c>
      <c r="C1092" s="46">
        <f ca="1">Income!A1059</f>
        <v>5152</v>
      </c>
    </row>
    <row r="1093" spans="1:3">
      <c r="A1093" s="40" t="s">
        <v>351</v>
      </c>
      <c r="B1093" s="46">
        <f ca="1">Expense!A1060</f>
        <v>7579.28583007817</v>
      </c>
      <c r="C1093" s="46">
        <f ca="1">Income!A1060</f>
        <v>6161</v>
      </c>
    </row>
    <row r="1094" spans="1:3">
      <c r="A1094" s="40" t="s">
        <v>352</v>
      </c>
      <c r="B1094" s="46">
        <f ca="1">Expense!A1061</f>
        <v>5511.4807010787999</v>
      </c>
      <c r="C1094" s="46">
        <f ca="1">Income!A1061</f>
        <v>0</v>
      </c>
    </row>
    <row r="1095" spans="1:3">
      <c r="A1095" s="40" t="s">
        <v>353</v>
      </c>
      <c r="B1095" s="46">
        <f ca="1">Expense!A1062</f>
        <v>7138.0465200838898</v>
      </c>
      <c r="C1095" s="46">
        <f ca="1">Income!A1062</f>
        <v>5511</v>
      </c>
    </row>
    <row r="1096" spans="1:3">
      <c r="A1096" s="40" t="s">
        <v>354</v>
      </c>
      <c r="B1096" s="46">
        <f ca="1">Expense!A1063</f>
        <v>7376.3693618634597</v>
      </c>
      <c r="C1096" s="46">
        <f ca="1">Income!A1063</f>
        <v>0</v>
      </c>
    </row>
    <row r="1097" spans="1:3">
      <c r="A1097" s="40" t="s">
        <v>355</v>
      </c>
      <c r="B1097" s="46">
        <f ca="1">Expense!A1064</f>
        <v>5804.0953953693397</v>
      </c>
      <c r="C1097" s="46">
        <f ca="1">Income!A1064</f>
        <v>6231</v>
      </c>
    </row>
    <row r="1098" spans="1:3">
      <c r="A1098" s="40" t="s">
        <v>356</v>
      </c>
      <c r="B1098" s="46">
        <f ca="1">Expense!A1065</f>
        <v>11613.9945580067</v>
      </c>
      <c r="C1098" s="46">
        <f ca="1">Income!A1065</f>
        <v>0</v>
      </c>
    </row>
    <row r="1099" spans="1:3">
      <c r="A1099" s="40" t="s">
        <v>357</v>
      </c>
      <c r="B1099" s="46">
        <f ca="1">Expense!A1066</f>
        <v>5352.8967153875201</v>
      </c>
      <c r="C1099" s="46">
        <f ca="1">Income!A1066</f>
        <v>5781</v>
      </c>
    </row>
    <row r="1100" spans="1:3">
      <c r="A1100" s="40" t="s">
        <v>358</v>
      </c>
      <c r="B1100" s="46">
        <f ca="1">Expense!A1067</f>
        <v>5419.7813031065198</v>
      </c>
      <c r="C1100" s="40">
        <f ca="1">Income!A1067</f>
        <v>5832</v>
      </c>
    </row>
    <row r="1101" spans="1:3">
      <c r="B1101" s="46">
        <f ca="1">Expense!A1068</f>
        <v>78592.8262869147</v>
      </c>
      <c r="C1101" s="40">
        <f ca="1">Income!A1068</f>
        <v>40915</v>
      </c>
    </row>
    <row r="1102" spans="1:3">
      <c r="B1102" s="40">
        <f>Expense!A1069</f>
        <v>0</v>
      </c>
      <c r="C1102" s="46">
        <f ca="1">Income!A1069</f>
        <v>-37677.8262869147</v>
      </c>
    </row>
    <row r="1103" spans="1:3">
      <c r="B1103" s="40">
        <f>Expense!A1070</f>
        <v>0</v>
      </c>
      <c r="C1103" s="40">
        <f>Income!A1070</f>
        <v>0</v>
      </c>
    </row>
    <row r="1104" spans="1:3">
      <c r="B1104" s="40">
        <f>Expense!A1071</f>
        <v>0</v>
      </c>
      <c r="C1104" s="40">
        <f>Income!A1071</f>
        <v>0</v>
      </c>
    </row>
    <row r="1105" spans="1:3">
      <c r="B1105" s="40" t="str">
        <f ca="1">Expense!A1072</f>
        <v>T16</v>
      </c>
      <c r="C1105" s="40">
        <f>Income!A1072</f>
        <v>0</v>
      </c>
    </row>
    <row r="1106" spans="1:3">
      <c r="A1106" s="40" t="s">
        <v>347</v>
      </c>
      <c r="B1106" s="46">
        <f ca="1">Expense!A1073</f>
        <v>5663.8842918312803</v>
      </c>
      <c r="C1106" s="40">
        <f>Income!A1073</f>
        <v>0</v>
      </c>
    </row>
    <row r="1107" spans="1:3">
      <c r="A1107" s="40" t="s">
        <v>348</v>
      </c>
      <c r="B1107" s="46">
        <f ca="1">Expense!A1074</f>
        <v>4136.1982639728703</v>
      </c>
      <c r="C1107" s="40">
        <f ca="1">Income!A1074</f>
        <v>5625</v>
      </c>
    </row>
    <row r="1108" spans="1:3">
      <c r="A1108" s="40" t="s">
        <v>349</v>
      </c>
      <c r="B1108" s="46">
        <f ca="1">Expense!A1075</f>
        <v>4961.7490537515496</v>
      </c>
      <c r="C1108" s="40">
        <f ca="1">Income!A1075</f>
        <v>4119</v>
      </c>
    </row>
    <row r="1109" spans="1:3">
      <c r="A1109" s="40" t="s">
        <v>350</v>
      </c>
      <c r="B1109" s="46">
        <f ca="1">Expense!A1076</f>
        <v>5875.2339315217996</v>
      </c>
      <c r="C1109" s="40">
        <f ca="1">Income!A1076</f>
        <v>4962</v>
      </c>
    </row>
    <row r="1110" spans="1:3">
      <c r="A1110" s="40" t="s">
        <v>351</v>
      </c>
      <c r="B1110" s="46">
        <f ca="1">Expense!A1077</f>
        <v>6217.0125788721198</v>
      </c>
      <c r="C1110" s="40">
        <f ca="1">Income!A1077</f>
        <v>5875</v>
      </c>
    </row>
    <row r="1111" spans="1:3">
      <c r="A1111" s="40" t="s">
        <v>352</v>
      </c>
      <c r="B1111" s="46">
        <f ca="1">Expense!A1078</f>
        <v>5153.9592976179702</v>
      </c>
      <c r="C1111" s="40">
        <f ca="1">Income!A1078</f>
        <v>0</v>
      </c>
    </row>
    <row r="1112" spans="1:3">
      <c r="A1112" s="40" t="s">
        <v>353</v>
      </c>
      <c r="B1112" s="46">
        <f ca="1">Expense!A1079</f>
        <v>6593.1788199402999</v>
      </c>
      <c r="C1112" s="46">
        <f ca="1">Income!A1079</f>
        <v>5154</v>
      </c>
    </row>
    <row r="1113" spans="1:3">
      <c r="A1113" s="40" t="s">
        <v>354</v>
      </c>
      <c r="B1113" s="46">
        <f ca="1">Expense!A1080</f>
        <v>7142.9803734053103</v>
      </c>
      <c r="C1113" s="46">
        <f ca="1">Income!A1080</f>
        <v>0</v>
      </c>
    </row>
    <row r="1114" spans="1:3">
      <c r="A1114" s="40" t="s">
        <v>355</v>
      </c>
      <c r="B1114" s="46">
        <f ca="1">Expense!A1081</f>
        <v>5476.3699652283403</v>
      </c>
      <c r="C1114" s="40">
        <f ca="1">Income!A1081</f>
        <v>6114</v>
      </c>
    </row>
    <row r="1115" spans="1:3">
      <c r="A1115" s="40" t="s">
        <v>356</v>
      </c>
      <c r="B1115" s="46">
        <f ca="1">Expense!A1082</f>
        <v>5369.9274278910398</v>
      </c>
      <c r="C1115" s="40">
        <f ca="1">Income!A1082</f>
        <v>5460</v>
      </c>
    </row>
    <row r="1116" spans="1:3">
      <c r="A1116" s="40" t="s">
        <v>357</v>
      </c>
      <c r="B1116" s="46">
        <f ca="1">Expense!A1083</f>
        <v>5365.5977219380402</v>
      </c>
      <c r="C1116" s="40">
        <f ca="1">Income!A1083</f>
        <v>5387</v>
      </c>
    </row>
    <row r="1117" spans="1:3">
      <c r="A1117" s="40" t="s">
        <v>358</v>
      </c>
      <c r="B1117" s="46">
        <f ca="1">Expense!A1084</f>
        <v>5231.1154134226299</v>
      </c>
      <c r="C1117" s="40">
        <f ca="1">Income!A1084</f>
        <v>5366</v>
      </c>
    </row>
    <row r="1118" spans="1:3">
      <c r="B1118" s="46">
        <f ca="1">Expense!A1085</f>
        <v>67187.2071393933</v>
      </c>
      <c r="C1118" s="40">
        <f ca="1">Income!A1085</f>
        <v>48062</v>
      </c>
    </row>
    <row r="1119" spans="1:3">
      <c r="C1119" s="46">
        <f ca="1">Income!A1086</f>
        <v>-19125.2071393933</v>
      </c>
    </row>
  </sheetData>
  <conditionalFormatting sqref="C32:C1119">
    <cfRule type="cellIs" dxfId="4" priority="1" operator="lessThan">
      <formula>0</formula>
    </cfRule>
  </conditionalFormatting>
  <hyperlinks>
    <hyperlink ref="A1" location="'Flatwise Income Expense'!B34" display="F1" xr:uid="{00000000-0004-0000-2000-000000000000}"/>
    <hyperlink ref="B1" location="'Flatwise Income Expense'!A306" display="G1" xr:uid="{00000000-0004-0000-2000-000001000000}"/>
    <hyperlink ref="C1" location="'Flatwise Income Expense'!A578" display="S1" xr:uid="{00000000-0004-0000-2000-000002000000}"/>
    <hyperlink ref="D1" location="'Flatwise Income Expense'!A850" display="T1" xr:uid="{00000000-0004-0000-2000-000003000000}"/>
    <hyperlink ref="A3" location="'Flatwise Income Expense'!B51" display="F2" xr:uid="{00000000-0004-0000-2000-000004000000}"/>
    <hyperlink ref="B3" location="'Flatwise Income Expense'!A323" display="G2" xr:uid="{00000000-0004-0000-2000-000005000000}"/>
    <hyperlink ref="C3" location="'Flatwise Income Expense'!A595" display="S2" xr:uid="{00000000-0004-0000-2000-000006000000}"/>
    <hyperlink ref="D3" location="'Flatwise Income Expense'!A867" display="T2" xr:uid="{00000000-0004-0000-2000-000007000000}"/>
    <hyperlink ref="A5" location="'Flatwise Income Expense'!B68" display="F3" xr:uid="{00000000-0004-0000-2000-000008000000}"/>
    <hyperlink ref="B5" location="'Flatwise Income Expense'!A340" display="G3" xr:uid="{00000000-0004-0000-2000-000009000000}"/>
    <hyperlink ref="C5" location="'Flatwise Income Expense'!A612" display="S3" xr:uid="{00000000-0004-0000-2000-00000A000000}"/>
    <hyperlink ref="D5" location="'Flatwise Income Expense'!A884" display="T3" xr:uid="{00000000-0004-0000-2000-00000B000000}"/>
    <hyperlink ref="A7" location="'Flatwise Income Expense'!B85" display="F4" xr:uid="{00000000-0004-0000-2000-00000C000000}"/>
    <hyperlink ref="B7" location="'Flatwise Income Expense'!A357" display="G4" xr:uid="{00000000-0004-0000-2000-00000D000000}"/>
    <hyperlink ref="C7" location="'Flatwise Income Expense'!A629" display="S4" xr:uid="{00000000-0004-0000-2000-00000E000000}"/>
    <hyperlink ref="D7" location="'Flatwise Income Expense'!A901" display="T4" xr:uid="{00000000-0004-0000-2000-00000F000000}"/>
    <hyperlink ref="A9" location="'Flatwise Income Expense'!A102" display="F5" xr:uid="{00000000-0004-0000-2000-000010000000}"/>
    <hyperlink ref="B9" location="'Flatwise Income Expense'!A374" display="G5" xr:uid="{00000000-0004-0000-2000-000011000000}"/>
    <hyperlink ref="C9" location="'Flatwise Income Expense'!A646" display="S5" xr:uid="{00000000-0004-0000-2000-000012000000}"/>
    <hyperlink ref="D9" location="'Flatwise Income Expense'!A918" display="T5" xr:uid="{00000000-0004-0000-2000-000013000000}"/>
    <hyperlink ref="A11" location="'Flatwise Income Expense'!A119" display="F6" xr:uid="{00000000-0004-0000-2000-000014000000}"/>
    <hyperlink ref="B11" location="'Flatwise Income Expense'!A391" display="G6" xr:uid="{00000000-0004-0000-2000-000015000000}"/>
    <hyperlink ref="C11" location="'Flatwise Income Expense'!A663" display="S6" xr:uid="{00000000-0004-0000-2000-000016000000}"/>
    <hyperlink ref="D11" location="'Flatwise Income Expense'!A935" display="T6" xr:uid="{00000000-0004-0000-2000-000017000000}"/>
    <hyperlink ref="A13" location="'Flatwise Income Expense'!A136" display="F7" xr:uid="{00000000-0004-0000-2000-000018000000}"/>
    <hyperlink ref="B13" location="'Flatwise Income Expense'!A408" display="G7" xr:uid="{00000000-0004-0000-2000-000019000000}"/>
    <hyperlink ref="C13" location="'Flatwise Income Expense'!A680" display="S7" xr:uid="{00000000-0004-0000-2000-00001A000000}"/>
    <hyperlink ref="D13" location="'Flatwise Income Expense'!A952" display="T7" xr:uid="{00000000-0004-0000-2000-00001B000000}"/>
    <hyperlink ref="A15" location="'Flatwise Income Expense'!A153" display="F8" xr:uid="{00000000-0004-0000-2000-00001C000000}"/>
    <hyperlink ref="B15" location="'Flatwise Income Expense'!A425" display="G8" xr:uid="{00000000-0004-0000-2000-00001D000000}"/>
    <hyperlink ref="C15" location="'Flatwise Income Expense'!A697" display="S8" xr:uid="{00000000-0004-0000-2000-00001E000000}"/>
    <hyperlink ref="D15" location="'Flatwise Income Expense'!A969" display="T8" xr:uid="{00000000-0004-0000-2000-00001F000000}"/>
    <hyperlink ref="A17" location="'Flatwise Income Expense'!A170" display="F9" xr:uid="{00000000-0004-0000-2000-000020000000}"/>
    <hyperlink ref="B17" location="'Flatwise Income Expense'!A442" display="G9" xr:uid="{00000000-0004-0000-2000-000021000000}"/>
    <hyperlink ref="C17" location="'Flatwise Income Expense'!A714" display="S9" xr:uid="{00000000-0004-0000-2000-000022000000}"/>
    <hyperlink ref="D17" location="'Flatwise Income Expense'!A986" display="T9" xr:uid="{00000000-0004-0000-2000-000023000000}"/>
    <hyperlink ref="A19" location="'Flatwise Income Expense'!A187" display="F10" xr:uid="{00000000-0004-0000-2000-000024000000}"/>
    <hyperlink ref="B19" location="'Flatwise Income Expense'!A459" display="G10" xr:uid="{00000000-0004-0000-2000-000025000000}"/>
    <hyperlink ref="C19" location="'Flatwise Income Expense'!A731" display="S10" xr:uid="{00000000-0004-0000-2000-000026000000}"/>
    <hyperlink ref="D19" location="'Flatwise Income Expense'!A1003" display="T10" xr:uid="{00000000-0004-0000-2000-000027000000}"/>
    <hyperlink ref="A21" location="'Flatwise Income Expense'!A204" display="F11" xr:uid="{00000000-0004-0000-2000-000028000000}"/>
    <hyperlink ref="B21" location="'Flatwise Income Expense'!A476" display="G11" xr:uid="{00000000-0004-0000-2000-000029000000}"/>
    <hyperlink ref="C21" location="'Flatwise Income Expense'!A748" display="S11" xr:uid="{00000000-0004-0000-2000-00002A000000}"/>
    <hyperlink ref="D21" location="'Flatwise Income Expense'!A1020" display="T11" xr:uid="{00000000-0004-0000-2000-00002B000000}"/>
    <hyperlink ref="A23" location="'Flatwise Income Expense'!A221" display="F12" xr:uid="{00000000-0004-0000-2000-00002C000000}"/>
    <hyperlink ref="B23" location="'Flatwise Income Expense'!A493" display="G12" xr:uid="{00000000-0004-0000-2000-00002D000000}"/>
    <hyperlink ref="C23" location="'Flatwise Income Expense'!A765" display="S12" xr:uid="{00000000-0004-0000-2000-00002E000000}"/>
    <hyperlink ref="D23" location="'Flatwise Income Expense'!A1037" display="T12" xr:uid="{00000000-0004-0000-2000-00002F000000}"/>
    <hyperlink ref="A25" location="'Flatwise Income Expense'!A238" display="F13" xr:uid="{00000000-0004-0000-2000-000030000000}"/>
    <hyperlink ref="B25" location="'Flatwise Income Expense'!A510" display="G13" xr:uid="{00000000-0004-0000-2000-000031000000}"/>
    <hyperlink ref="C25" location="'Flatwise Income Expense'!A782" display="S13" xr:uid="{00000000-0004-0000-2000-000032000000}"/>
    <hyperlink ref="D25" location="'Flatwise Income Expense'!A1054" display="T13" xr:uid="{00000000-0004-0000-2000-000033000000}"/>
    <hyperlink ref="A27" location="'Flatwise Income Expense'!A255" display="F14" xr:uid="{00000000-0004-0000-2000-000034000000}"/>
    <hyperlink ref="B27" location="'Flatwise Income Expense'!A527" display="G14" xr:uid="{00000000-0004-0000-2000-000035000000}"/>
    <hyperlink ref="C27" location="'Flatwise Income Expense'!A799" display="S14" xr:uid="{00000000-0004-0000-2000-000036000000}"/>
    <hyperlink ref="D27" location="'Flatwise Income Expense'!A1071" display="T14" xr:uid="{00000000-0004-0000-2000-000037000000}"/>
    <hyperlink ref="A29" location="'Flatwise Income Expense'!A272" display="F15" xr:uid="{00000000-0004-0000-2000-000038000000}"/>
    <hyperlink ref="B29" location="'Flatwise Income Expense'!A544" display="G15" xr:uid="{00000000-0004-0000-2000-000039000000}"/>
    <hyperlink ref="C29" location="'Flatwise Income Expense'!A816" display="S15" xr:uid="{00000000-0004-0000-2000-00003A000000}"/>
    <hyperlink ref="D29" location="'Flatwise Income Expense'!A1088" display="T15" xr:uid="{00000000-0004-0000-2000-00003B000000}"/>
    <hyperlink ref="A31" location="'Flatwise Income Expense'!A289" display="F16" xr:uid="{00000000-0004-0000-2000-00003C000000}"/>
    <hyperlink ref="B31" location="'Flatwise Income Expense'!A561" display="G16" xr:uid="{00000000-0004-0000-2000-00003D000000}"/>
    <hyperlink ref="C31" location="'Flatwise Income Expense'!A833" display="S16" xr:uid="{00000000-0004-0000-2000-00003E000000}"/>
    <hyperlink ref="D31" location="'Flatwise Income Expense'!A1105" display="T16" xr:uid="{00000000-0004-0000-2000-00003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585"/>
  <sheetViews>
    <sheetView workbookViewId="0"/>
  </sheetViews>
  <sheetFormatPr baseColWidth="10" defaultColWidth="14.5" defaultRowHeight="15" customHeight="1"/>
  <sheetData>
    <row r="1" spans="1:15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F1")</f>
        <v>F1</v>
      </c>
      <c r="B1" s="161" t="s">
        <v>24</v>
      </c>
      <c r="C1" s="46">
        <f>'Apr2025-EXPENSE'!R6</f>
        <v>5554.8317805190336</v>
      </c>
      <c r="D1" s="46">
        <f>'May2025-EXPENSE'!R6</f>
        <v>4390.7598342494257</v>
      </c>
      <c r="E1" s="46">
        <f>'June2025-EXPENSE'!R6</f>
        <v>4546.3443403691026</v>
      </c>
      <c r="F1" s="46">
        <f>'July2025-EXPENSE'!R6</f>
        <v>5496.7149229277738</v>
      </c>
      <c r="G1" s="46">
        <f>'Aug2025-EXPENSE'!R6</f>
        <v>5912.5585020588342</v>
      </c>
      <c r="H1" s="46">
        <f>'Sep2025-EXPENSE'!R6</f>
        <v>4939.9383686384699</v>
      </c>
      <c r="I1" s="46">
        <f>'Oct2025-EXPENSE'!R6</f>
        <v>6395.8022097327339</v>
      </c>
      <c r="J1" s="46">
        <f>'Nov2025-EXPENSE'!R6</f>
        <v>6623.2939565329443</v>
      </c>
      <c r="K1" s="46">
        <f>'Dec2025-EXPENSE'!R6</f>
        <v>5110.5418091419069</v>
      </c>
      <c r="L1" s="46">
        <f>'Jan2026-EXPENSE'!R6</f>
        <v>5091.3398017781528</v>
      </c>
      <c r="M1" s="46">
        <f>'Feb2026-EXPENSE'!R6</f>
        <v>4755.0297466168404</v>
      </c>
      <c r="N1" s="46">
        <f>'Mar2026-EXPENSE'!R6</f>
        <v>4967.5509648418965</v>
      </c>
      <c r="O1" s="122">
        <f t="shared" ref="O1:O255" si="0">SUM(C1:N1)</f>
        <v>63784.70623740711</v>
      </c>
    </row>
    <row r="2" spans="1:15">
      <c r="A2" s="46">
        <f ca="1">IFERROR(__xludf.DUMMYFUNCTION("""COMPUTED_VALUE"""),5554.83178051903)</f>
        <v>5554.83178051903</v>
      </c>
      <c r="B2" s="161" t="s">
        <v>26</v>
      </c>
      <c r="C2" s="46">
        <f>'Apr2025-EXPENSE'!R7</f>
        <v>6880.662487778387</v>
      </c>
      <c r="D2" s="46">
        <f>'May2025-EXPENSE'!R7</f>
        <v>5570.8484697871882</v>
      </c>
      <c r="E2" s="46">
        <f>'June2025-EXPENSE'!R7</f>
        <v>5614.1063573144438</v>
      </c>
      <c r="F2" s="46">
        <f>'July2025-EXPENSE'!R7</f>
        <v>6759.7325735036775</v>
      </c>
      <c r="G2" s="46">
        <f>'Aug2025-EXPENSE'!R7</f>
        <v>7197.266234898143</v>
      </c>
      <c r="H2" s="46">
        <f>'Sep2025-EXPENSE'!R7</f>
        <v>5914.7005440788471</v>
      </c>
      <c r="I2" s="46">
        <f>'Oct2025-EXPENSE'!R7</f>
        <v>7049.7450594742113</v>
      </c>
      <c r="J2" s="46">
        <f>'Nov2025-EXPENSE'!R7</f>
        <v>7177.8978606280371</v>
      </c>
      <c r="K2" s="46">
        <f>'Dec2025-EXPENSE'!R7</f>
        <v>5885.353860360573</v>
      </c>
      <c r="L2" s="46">
        <f>'Jan2026-EXPENSE'!R7</f>
        <v>5677.1014727727388</v>
      </c>
      <c r="M2" s="46">
        <f>'Feb2026-EXPENSE'!R7</f>
        <v>5234.6504794412285</v>
      </c>
      <c r="N2" s="46">
        <f>'Mar2026-EXPENSE'!R7</f>
        <v>5467.4166296917683</v>
      </c>
      <c r="O2" s="122">
        <f t="shared" si="0"/>
        <v>74429.482029729232</v>
      </c>
    </row>
    <row r="3" spans="1:15">
      <c r="A3" s="46">
        <f ca="1">IFERROR(__xludf.DUMMYFUNCTION("""COMPUTED_VALUE"""),4390.75983424942)</f>
        <v>4390.7598342494202</v>
      </c>
      <c r="B3" s="161" t="s">
        <v>29</v>
      </c>
      <c r="C3" s="46">
        <f>'Apr2025-EXPENSE'!R8</f>
        <v>7497.9990789697631</v>
      </c>
      <c r="D3" s="46">
        <f>'May2025-EXPENSE'!R8</f>
        <v>5970.6440644010081</v>
      </c>
      <c r="E3" s="46">
        <f>'June2025-EXPENSE'!R8</f>
        <v>6093.3847186040921</v>
      </c>
      <c r="F3" s="46">
        <f>'July2025-EXPENSE'!R8</f>
        <v>7529.5715685937757</v>
      </c>
      <c r="G3" s="46">
        <f>'Aug2025-EXPENSE'!R8</f>
        <v>7722.728017861873</v>
      </c>
      <c r="H3" s="46">
        <f>'Sep2025-EXPENSE'!R8</f>
        <v>6599.6905049006118</v>
      </c>
      <c r="I3" s="46">
        <f>'Oct2025-EXPENSE'!R8</f>
        <v>8217.5034137305029</v>
      </c>
      <c r="J3" s="46">
        <f>'Nov2025-EXPENSE'!R8</f>
        <v>8585.2408957029729</v>
      </c>
      <c r="K3" s="46">
        <f>'Dec2025-EXPENSE'!R8</f>
        <v>6916.4336347933668</v>
      </c>
      <c r="L3" s="46">
        <f>'Jan2026-EXPENSE'!R8</f>
        <v>6594.2688945702976</v>
      </c>
      <c r="M3" s="46">
        <f>'Feb2026-EXPENSE'!R8</f>
        <v>6667.5707103832701</v>
      </c>
      <c r="N3" s="46">
        <f>'Mar2026-EXPENSE'!R8</f>
        <v>6559.2233185039722</v>
      </c>
      <c r="O3" s="122">
        <f t="shared" si="0"/>
        <v>84954.258821015508</v>
      </c>
    </row>
    <row r="4" spans="1:15">
      <c r="A4" s="46">
        <f ca="1">IFERROR(__xludf.DUMMYFUNCTION("""COMPUTED_VALUE"""),4546.3443403691)</f>
        <v>4546.3443403690999</v>
      </c>
      <c r="B4" s="161" t="s">
        <v>32</v>
      </c>
      <c r="C4" s="46">
        <f>'Apr2025-EXPENSE'!R9</f>
        <v>5749.6027619606166</v>
      </c>
      <c r="D4" s="46">
        <f>'May2025-EXPENSE'!R9</f>
        <v>4456.7649575650421</v>
      </c>
      <c r="E4" s="46">
        <f>'June2025-EXPENSE'!R9</f>
        <v>4663.6125495075776</v>
      </c>
      <c r="F4" s="46">
        <f>'July2025-EXPENSE'!R9</f>
        <v>5553.5667606509269</v>
      </c>
      <c r="G4" s="46">
        <f>'Aug2025-EXPENSE'!R9</f>
        <v>6049.9822334915916</v>
      </c>
      <c r="H4" s="46">
        <f>'Sep2025-EXPENSE'!R9</f>
        <v>5147.5820817756676</v>
      </c>
      <c r="I4" s="46">
        <f>'Oct2025-EXPENSE'!R9</f>
        <v>6692.7138830018375</v>
      </c>
      <c r="J4" s="46">
        <f>'Nov2025-EXPENSE'!R9</f>
        <v>6982.2831094713838</v>
      </c>
      <c r="K4" s="46">
        <f>'Dec2025-EXPENSE'!R9</f>
        <v>5286.8803137914201</v>
      </c>
      <c r="L4" s="46">
        <f>'Jan2026-EXPENSE'!R9</f>
        <v>5176.1559372483944</v>
      </c>
      <c r="M4" s="46">
        <f>'Feb2026-EXPENSE'!R9</f>
        <v>4924.6682933636912</v>
      </c>
      <c r="N4" s="46">
        <f>'Mar2026-EXPENSE'!R9</f>
        <v>5011.4090000781798</v>
      </c>
      <c r="O4" s="122">
        <f t="shared" si="0"/>
        <v>65695.221881906327</v>
      </c>
    </row>
    <row r="5" spans="1:15">
      <c r="A5" s="46">
        <f ca="1">IFERROR(__xludf.DUMMYFUNCTION("""COMPUTED_VALUE"""),5496.71492292777)</f>
        <v>5496.7149229277702</v>
      </c>
      <c r="B5" s="161" t="s">
        <v>35</v>
      </c>
      <c r="C5" s="46">
        <f>'Apr2025-EXPENSE'!R10</f>
        <v>5400.9237079500517</v>
      </c>
      <c r="D5" s="46">
        <f>'May2025-EXPENSE'!R10</f>
        <v>4039.0488598142633</v>
      </c>
      <c r="E5" s="46">
        <f>'June2025-EXPENSE'!R10</f>
        <v>4272.8636485156248</v>
      </c>
      <c r="F5" s="46">
        <f>'July2025-EXPENSE'!R10</f>
        <v>5172.3924418298766</v>
      </c>
      <c r="G5" s="46">
        <f>'Aug2025-EXPENSE'!R10</f>
        <v>7049.5761781706869</v>
      </c>
      <c r="H5" s="46">
        <f>'Sep2025-EXPENSE'!R10</f>
        <v>5209.9861313824858</v>
      </c>
      <c r="I5" s="46">
        <f>'Oct2025-EXPENSE'!R10</f>
        <v>6530.4327158608585</v>
      </c>
      <c r="J5" s="46">
        <f>'Nov2025-EXPENSE'!R10</f>
        <v>6987.9895767586668</v>
      </c>
      <c r="K5" s="46">
        <f>'Dec2025-EXPENSE'!R10</f>
        <v>5357.4769935261529</v>
      </c>
      <c r="L5" s="46">
        <f>'Jan2026-EXPENSE'!R10</f>
        <v>5143.8208706995001</v>
      </c>
      <c r="M5" s="46">
        <f>'Feb2026-EXPENSE'!R10</f>
        <v>4698.8491844943001</v>
      </c>
      <c r="N5" s="46">
        <f>'Mar2026-EXPENSE'!R10</f>
        <v>5020.4938487068302</v>
      </c>
      <c r="O5" s="122">
        <f t="shared" si="0"/>
        <v>64883.854157709284</v>
      </c>
    </row>
    <row r="6" spans="1:15">
      <c r="A6" s="46">
        <f ca="1">IFERROR(__xludf.DUMMYFUNCTION("""COMPUTED_VALUE"""),5912.55850205883)</f>
        <v>5912.5585020588296</v>
      </c>
      <c r="B6" s="161" t="s">
        <v>37</v>
      </c>
      <c r="C6" s="46">
        <f>'Apr2025-EXPENSE'!R11</f>
        <v>5895.4151189144977</v>
      </c>
      <c r="D6" s="46">
        <f>'May2025-EXPENSE'!R11</f>
        <v>4348.4787028747414</v>
      </c>
      <c r="E6" s="46">
        <f>'June2025-EXPENSE'!R11</f>
        <v>4628.2798579528408</v>
      </c>
      <c r="F6" s="46">
        <f>'July2025-EXPENSE'!R11</f>
        <v>5465.1979739096405</v>
      </c>
      <c r="G6" s="46">
        <f>'Aug2025-EXPENSE'!R11</f>
        <v>6089.5563439689849</v>
      </c>
      <c r="H6" s="46">
        <f>'Sep2025-EXPENSE'!R11</f>
        <v>5134.8502861019433</v>
      </c>
      <c r="I6" s="46">
        <f>'Oct2025-EXPENSE'!R11</f>
        <v>6606.8862668941538</v>
      </c>
      <c r="J6" s="46">
        <f>'Nov2025-EXPENSE'!R11</f>
        <v>6993.2188819876064</v>
      </c>
      <c r="K6" s="46">
        <f>'Dec2025-EXPENSE'!R11</f>
        <v>5157.9386503004571</v>
      </c>
      <c r="L6" s="46">
        <f>'Jan2026-EXPENSE'!R11</f>
        <v>5083.582698946072</v>
      </c>
      <c r="M6" s="46">
        <f>'Feb2026-EXPENSE'!R11</f>
        <v>4867.3414161417422</v>
      </c>
      <c r="N6" s="46">
        <f>'Mar2026-EXPENSE'!R11</f>
        <v>4863.0805457199467</v>
      </c>
      <c r="O6" s="122">
        <f t="shared" si="0"/>
        <v>65133.82674371262</v>
      </c>
    </row>
    <row r="7" spans="1:15">
      <c r="A7" s="46">
        <f ca="1">IFERROR(__xludf.DUMMYFUNCTION("""COMPUTED_VALUE"""),4939.93836863847)</f>
        <v>4939.9383686384699</v>
      </c>
      <c r="B7" s="161" t="s">
        <v>40</v>
      </c>
      <c r="C7" s="46">
        <f>'Apr2025-EXPENSE'!R12</f>
        <v>6181.0160282885727</v>
      </c>
      <c r="D7" s="46">
        <f>'May2025-EXPENSE'!R12</f>
        <v>4817.23628073072</v>
      </c>
      <c r="E7" s="46">
        <f>'June2025-EXPENSE'!R12</f>
        <v>5050.9140221374046</v>
      </c>
      <c r="F7" s="46">
        <f>'July2025-EXPENSE'!R12</f>
        <v>5938.6243469035935</v>
      </c>
      <c r="G7" s="46">
        <f>'Aug2025-EXPENSE'!R12</f>
        <v>6331.9105235156248</v>
      </c>
      <c r="H7" s="46">
        <f>'Sep2025-EXPENSE'!R12</f>
        <v>5504.8370570873485</v>
      </c>
      <c r="I7" s="46">
        <f>'Oct2025-EXPENSE'!R12</f>
        <v>6883.1824023959862</v>
      </c>
      <c r="J7" s="46">
        <f>'Nov2025-EXPENSE'!R12</f>
        <v>7220.6757150364656</v>
      </c>
      <c r="K7" s="46">
        <f>'Dec2025-EXPENSE'!R12</f>
        <v>5568.9922847218513</v>
      </c>
      <c r="L7" s="46">
        <f>'Jan2026-EXPENSE'!R12</f>
        <v>5486.7399909757823</v>
      </c>
      <c r="M7" s="46">
        <f>'Feb2026-EXPENSE'!R12</f>
        <v>5213.0985334043789</v>
      </c>
      <c r="N7" s="46">
        <f>'Mar2026-EXPENSE'!R12</f>
        <v>5384.1479083892063</v>
      </c>
      <c r="O7" s="122">
        <f t="shared" si="0"/>
        <v>69581.375093586932</v>
      </c>
    </row>
    <row r="8" spans="1:15">
      <c r="A8" s="46">
        <f ca="1">IFERROR(__xludf.DUMMYFUNCTION("""COMPUTED_VALUE"""),6395.80220973273)</f>
        <v>6395.8022097327303</v>
      </c>
      <c r="B8" s="161" t="s">
        <v>43</v>
      </c>
      <c r="C8" s="46">
        <f>'Apr2025-EXPENSE'!R13</f>
        <v>5360.1318959356122</v>
      </c>
      <c r="D8" s="46">
        <f>'May2025-EXPENSE'!R13</f>
        <v>4061.2586035363679</v>
      </c>
      <c r="E8" s="46">
        <f>'June2025-EXPENSE'!R13</f>
        <v>4291.2991399719658</v>
      </c>
      <c r="F8" s="46">
        <f>'July2025-EXPENSE'!R13</f>
        <v>5121.2619408476694</v>
      </c>
      <c r="G8" s="46">
        <f>'Aug2025-EXPENSE'!R13</f>
        <v>5608.3712561629964</v>
      </c>
      <c r="H8" s="46">
        <f>'Sep2025-EXPENSE'!R13</f>
        <v>4769.0998656828151</v>
      </c>
      <c r="I8" s="46">
        <f>'Oct2025-EXPENSE'!R13</f>
        <v>6140.6205519058276</v>
      </c>
      <c r="J8" s="46">
        <f>'Nov2025-EXPENSE'!R13</f>
        <v>7447.3937250196404</v>
      </c>
      <c r="K8" s="46">
        <f>'Dec2025-EXPENSE'!R13</f>
        <v>6953.6894172597667</v>
      </c>
      <c r="L8" s="46">
        <f>'Jan2026-EXPENSE'!R13</f>
        <v>6136.3588799602257</v>
      </c>
      <c r="M8" s="46">
        <f>'Feb2026-EXPENSE'!R13</f>
        <v>6094.9064804073205</v>
      </c>
      <c r="N8" s="46">
        <f>'Mar2026-EXPENSE'!R13</f>
        <v>6070.1075304100395</v>
      </c>
      <c r="O8" s="122">
        <f t="shared" si="0"/>
        <v>68054.499287100247</v>
      </c>
    </row>
    <row r="9" spans="1:15">
      <c r="A9" s="46">
        <f ca="1">IFERROR(__xludf.DUMMYFUNCTION("""COMPUTED_VALUE"""),6623.29395653294)</f>
        <v>6623.2939565329398</v>
      </c>
      <c r="B9" s="161" t="s">
        <v>46</v>
      </c>
      <c r="C9" s="46">
        <f>'Apr2025-EXPENSE'!R14</f>
        <v>5560.8699015810726</v>
      </c>
      <c r="D9" s="46">
        <f>'May2025-EXPENSE'!R14</f>
        <v>4332.2057165152537</v>
      </c>
      <c r="E9" s="46">
        <f>'June2025-EXPENSE'!R14</f>
        <v>4566.8366703206621</v>
      </c>
      <c r="F9" s="46">
        <f>'July2025-EXPENSE'!R14</f>
        <v>5433.8113721070631</v>
      </c>
      <c r="G9" s="46">
        <f>'Aug2025-EXPENSE'!R14</f>
        <v>5943.9169438042272</v>
      </c>
      <c r="H9" s="46">
        <f>'Sep2025-EXPENSE'!R14</f>
        <v>5031.0762115635207</v>
      </c>
      <c r="I9" s="46">
        <f>'Oct2025-EXPENSE'!R14</f>
        <v>6457.3495806547216</v>
      </c>
      <c r="J9" s="46">
        <f>'Nov2025-EXPENSE'!R14</f>
        <v>6751.7579039622669</v>
      </c>
      <c r="K9" s="46">
        <f>'Dec2025-EXPENSE'!R14</f>
        <v>5113.0447351740913</v>
      </c>
      <c r="L9" s="46">
        <f>'Jan2026-EXPENSE'!R14</f>
        <v>5018.7498458089085</v>
      </c>
      <c r="M9" s="46">
        <f>'Feb2026-EXPENSE'!R14</f>
        <v>4824.3741208421134</v>
      </c>
      <c r="N9" s="46">
        <f>'Mar2026-EXPENSE'!R14</f>
        <v>4867.2645902905278</v>
      </c>
      <c r="O9" s="122">
        <f t="shared" si="0"/>
        <v>63901.257592624424</v>
      </c>
    </row>
    <row r="10" spans="1:15">
      <c r="A10" s="46">
        <f ca="1">IFERROR(__xludf.DUMMYFUNCTION("""COMPUTED_VALUE"""),5110.5418091419)</f>
        <v>5110.5418091418996</v>
      </c>
      <c r="B10" s="161" t="s">
        <v>49</v>
      </c>
      <c r="C10" s="46">
        <f>'Apr2025-EXPENSE'!R15</f>
        <v>6639.1417173307182</v>
      </c>
      <c r="D10" s="46">
        <f>'May2025-EXPENSE'!R15</f>
        <v>4263.0902570985108</v>
      </c>
      <c r="E10" s="46">
        <f>'June2025-EXPENSE'!R15</f>
        <v>4536.4368313551504</v>
      </c>
      <c r="F10" s="46">
        <f>'July2025-EXPENSE'!R15</f>
        <v>5398.3315427309699</v>
      </c>
      <c r="G10" s="46">
        <f>'Aug2025-EXPENSE'!R15</f>
        <v>5793.8187437924762</v>
      </c>
      <c r="H10" s="46">
        <f>'Sep2025-EXPENSE'!R15</f>
        <v>5053.9620373547205</v>
      </c>
      <c r="I10" s="46">
        <f>'Oct2025-EXPENSE'!R15</f>
        <v>6328.3275677506035</v>
      </c>
      <c r="J10" s="46">
        <f>'Nov2025-EXPENSE'!R15</f>
        <v>6735.5787604765783</v>
      </c>
      <c r="K10" s="46">
        <f>'Dec2025-EXPENSE'!R15</f>
        <v>5048.5722078659519</v>
      </c>
      <c r="L10" s="46">
        <f>'Jan2026-EXPENSE'!R15</f>
        <v>5596.4422536527027</v>
      </c>
      <c r="M10" s="46">
        <f>'Feb2026-EXPENSE'!R15</f>
        <v>5596.5512651706667</v>
      </c>
      <c r="N10" s="46">
        <f>'Mar2026-EXPENSE'!R15</f>
        <v>5107.2724102298043</v>
      </c>
      <c r="O10" s="122">
        <f t="shared" si="0"/>
        <v>66097.52559480886</v>
      </c>
    </row>
    <row r="11" spans="1:15">
      <c r="A11" s="46">
        <f ca="1">IFERROR(__xludf.DUMMYFUNCTION("""COMPUTED_VALUE"""),5091.33980177815)</f>
        <v>5091.3398017781501</v>
      </c>
      <c r="B11" s="161" t="s">
        <v>52</v>
      </c>
      <c r="C11" s="46">
        <f>'Apr2025-EXPENSE'!R16</f>
        <v>5386.8806251254091</v>
      </c>
      <c r="D11" s="46">
        <f>'May2025-EXPENSE'!R16</f>
        <v>4288.7505299328022</v>
      </c>
      <c r="E11" s="46">
        <f>'June2025-EXPENSE'!R16</f>
        <v>4584.2604191693326</v>
      </c>
      <c r="F11" s="46">
        <f>'July2025-EXPENSE'!R16</f>
        <v>5217.931953286693</v>
      </c>
      <c r="G11" s="46">
        <f>'Aug2025-EXPENSE'!R16</f>
        <v>5706.2982028680599</v>
      </c>
      <c r="H11" s="46">
        <f>'Sep2025-EXPENSE'!R16</f>
        <v>4795.7736817577643</v>
      </c>
      <c r="I11" s="46">
        <f>'Oct2025-EXPENSE'!R16</f>
        <v>6113.683824752331</v>
      </c>
      <c r="J11" s="46">
        <f>'Nov2025-EXPENSE'!R16</f>
        <v>6521.8551189900754</v>
      </c>
      <c r="K11" s="46">
        <f>'Dec2025-EXPENSE'!R16</f>
        <v>4910.8619828082747</v>
      </c>
      <c r="L11" s="46">
        <f>'Jan2026-EXPENSE'!R16</f>
        <v>4777.6410786358429</v>
      </c>
      <c r="M11" s="46">
        <f>'Feb2026-EXPENSE'!R16</f>
        <v>4568.9316345859252</v>
      </c>
      <c r="N11" s="46">
        <f>'Mar2026-EXPENSE'!R16</f>
        <v>4690.0984080459657</v>
      </c>
      <c r="O11" s="122">
        <f t="shared" si="0"/>
        <v>61562.967459958476</v>
      </c>
    </row>
    <row r="12" spans="1:15">
      <c r="A12" s="46">
        <f ca="1">IFERROR(__xludf.DUMMYFUNCTION("""COMPUTED_VALUE"""),4755.02974661684)</f>
        <v>4755.0297466168404</v>
      </c>
      <c r="B12" s="161" t="s">
        <v>55</v>
      </c>
      <c r="C12" s="46">
        <f>'Apr2025-EXPENSE'!R17</f>
        <v>5334.5148437500002</v>
      </c>
      <c r="D12" s="46">
        <f>'May2025-EXPENSE'!R17</f>
        <v>4030.495435536166</v>
      </c>
      <c r="E12" s="46">
        <f>'June2025-EXPENSE'!R17</f>
        <v>4272.8636485156248</v>
      </c>
      <c r="F12" s="46">
        <f>'July2025-EXPENSE'!R17</f>
        <v>5108.005885037468</v>
      </c>
      <c r="G12" s="46">
        <f>'Aug2025-EXPENSE'!R17</f>
        <v>5588.0031627974568</v>
      </c>
      <c r="H12" s="46">
        <f>'Sep2025-EXPENSE'!R17</f>
        <v>4740.6530485393696</v>
      </c>
      <c r="I12" s="46">
        <f>'Oct2025-EXPENSE'!R17</f>
        <v>6113.683824752331</v>
      </c>
      <c r="J12" s="46">
        <f>'Nov2025-EXPENSE'!R17</f>
        <v>7232.8469521545085</v>
      </c>
      <c r="K12" s="46">
        <f>'Dec2025-EXPENSE'!R17</f>
        <v>4867.992601103676</v>
      </c>
      <c r="L12" s="46">
        <f>'Jan2026-EXPENSE'!R17</f>
        <v>4735.218262669011</v>
      </c>
      <c r="M12" s="46">
        <f>'Feb2026-EXPENSE'!R17</f>
        <v>4448.9544834333874</v>
      </c>
      <c r="N12" s="46">
        <f>'Mar2026-EXPENSE'!R17</f>
        <v>5959.1596246376102</v>
      </c>
      <c r="O12" s="122">
        <f t="shared" si="0"/>
        <v>62432.39177292661</v>
      </c>
    </row>
    <row r="13" spans="1:15">
      <c r="A13" s="46">
        <f ca="1">IFERROR(__xludf.DUMMYFUNCTION("""COMPUTED_VALUE"""),4967.55096484189)</f>
        <v>4967.5509648418902</v>
      </c>
      <c r="B13" s="161" t="s">
        <v>58</v>
      </c>
      <c r="C13" s="46">
        <f>'Apr2025-EXPENSE'!R18</f>
        <v>5473.6278925312763</v>
      </c>
      <c r="D13" s="46">
        <f>'May2025-EXPENSE'!R18</f>
        <v>6298.0136749165231</v>
      </c>
      <c r="E13" s="46">
        <f>'June2025-EXPENSE'!R18</f>
        <v>5598.2208998237193</v>
      </c>
      <c r="F13" s="46">
        <f>'July2025-EXPENSE'!R18</f>
        <v>6235.7125713738633</v>
      </c>
      <c r="G13" s="46">
        <f>'Aug2025-EXPENSE'!R18</f>
        <v>6252.7737307554835</v>
      </c>
      <c r="H13" s="46">
        <f>'Sep2025-EXPENSE'!R18</f>
        <v>5225.7911289082722</v>
      </c>
      <c r="I13" s="46">
        <f>'Oct2025-EXPENSE'!R18</f>
        <v>6402.9448299541691</v>
      </c>
      <c r="J13" s="46">
        <f>'Nov2025-EXPENSE'!R18</f>
        <v>7071.9560102491369</v>
      </c>
      <c r="K13" s="46">
        <f>'Dec2025-EXPENSE'!R18</f>
        <v>5145.8688162152366</v>
      </c>
      <c r="L13" s="46">
        <f>'Jan2026-EXPENSE'!R18</f>
        <v>4968.0131971416658</v>
      </c>
      <c r="M13" s="46">
        <f>'Feb2026-EXPENSE'!R18</f>
        <v>4751.230589698419</v>
      </c>
      <c r="N13" s="46">
        <f>'Mar2026-EXPENSE'!R18</f>
        <v>4933.6975155746804</v>
      </c>
      <c r="O13" s="122">
        <f t="shared" si="0"/>
        <v>68357.850857142446</v>
      </c>
    </row>
    <row r="14" spans="1:15">
      <c r="A14" s="46">
        <f ca="1">IFERROR(__xludf.DUMMYFUNCTION("""COMPUTED_VALUE"""),63784.7062374071)</f>
        <v>63784.706237407103</v>
      </c>
      <c r="B14" s="161" t="s">
        <v>61</v>
      </c>
      <c r="C14" s="46">
        <f>'Apr2025-EXPENSE'!R19</f>
        <v>6196.8277234776533</v>
      </c>
      <c r="D14" s="46">
        <f>'May2025-EXPENSE'!R19</f>
        <v>4914.1017700496977</v>
      </c>
      <c r="E14" s="46">
        <f>'June2025-EXPENSE'!R19</f>
        <v>5391.2056936785557</v>
      </c>
      <c r="F14" s="46">
        <f>'July2025-EXPENSE'!R19</f>
        <v>5438.8162095047919</v>
      </c>
      <c r="G14" s="46">
        <f>'Aug2025-EXPENSE'!R19</f>
        <v>5882.5458327901551</v>
      </c>
      <c r="H14" s="46">
        <f>'Sep2025-EXPENSE'!R19</f>
        <v>4974.8523776802831</v>
      </c>
      <c r="I14" s="46">
        <f>'Oct2025-EXPENSE'!R19</f>
        <v>6442.6326705531073</v>
      </c>
      <c r="J14" s="46">
        <f>'Nov2025-EXPENSE'!R19</f>
        <v>7102.4602907512881</v>
      </c>
      <c r="K14" s="46">
        <f>'Dec2025-EXPENSE'!R19</f>
        <v>5657.0944462238749</v>
      </c>
      <c r="L14" s="46">
        <f>'Jan2026-EXPENSE'!R19</f>
        <v>5455.2631779050644</v>
      </c>
      <c r="M14" s="46">
        <f>'Feb2026-EXPENSE'!R19</f>
        <v>5270.0106043687083</v>
      </c>
      <c r="N14" s="46">
        <f>'Mar2026-EXPENSE'!R19</f>
        <v>5305.4476733731499</v>
      </c>
      <c r="O14" s="122">
        <f t="shared" si="0"/>
        <v>68031.258470356348</v>
      </c>
    </row>
    <row r="15" spans="1:15">
      <c r="A15" s="40"/>
      <c r="B15" s="161" t="s">
        <v>63</v>
      </c>
      <c r="C15" s="46">
        <f>'Apr2025-EXPENSE'!R20</f>
        <v>6504.5924287517901</v>
      </c>
      <c r="D15" s="46">
        <f>'May2025-EXPENSE'!R20</f>
        <v>5488.3475727201248</v>
      </c>
      <c r="E15" s="46">
        <f>'June2025-EXPENSE'!R20</f>
        <v>5711.6738966361772</v>
      </c>
      <c r="F15" s="46">
        <f>'July2025-EXPENSE'!R20</f>
        <v>6486.5364017318761</v>
      </c>
      <c r="G15" s="46">
        <f>'Aug2025-EXPENSE'!R20</f>
        <v>6873.5386230693275</v>
      </c>
      <c r="H15" s="46">
        <f>'Sep2025-EXPENSE'!R20</f>
        <v>5910.584089611315</v>
      </c>
      <c r="I15" s="46">
        <f>'Oct2025-EXPENSE'!R20</f>
        <v>6982.398687621383</v>
      </c>
      <c r="J15" s="46">
        <f>'Nov2025-EXPENSE'!R20</f>
        <v>7556.7140283589997</v>
      </c>
      <c r="K15" s="46">
        <f>'Dec2025-EXPENSE'!R20</f>
        <v>6043.3413757204962</v>
      </c>
      <c r="L15" s="46">
        <f>'Jan2026-EXPENSE'!R20</f>
        <v>5888.9292667193204</v>
      </c>
      <c r="M15" s="46">
        <f>'Feb2026-EXPENSE'!R20</f>
        <v>5520.0233833661696</v>
      </c>
      <c r="N15" s="46">
        <f>'Mar2026-EXPENSE'!R20</f>
        <v>5764.1512380060203</v>
      </c>
      <c r="O15" s="122">
        <f t="shared" si="0"/>
        <v>74730.830992312985</v>
      </c>
    </row>
    <row r="16" spans="1:15">
      <c r="A16" s="40"/>
      <c r="B16" s="161" t="s">
        <v>65</v>
      </c>
      <c r="C16" s="46">
        <f>'Apr2025-EXPENSE'!R21</f>
        <v>6525.0390521512418</v>
      </c>
      <c r="D16" s="46">
        <f>'May2025-EXPENSE'!R21</f>
        <v>5395.8357859274129</v>
      </c>
      <c r="E16" s="46">
        <f>'June2025-EXPENSE'!R21</f>
        <v>5474.6821153599576</v>
      </c>
      <c r="F16" s="46">
        <f>'July2025-EXPENSE'!R21</f>
        <v>6265.0701850422265</v>
      </c>
      <c r="G16" s="46">
        <f>'Aug2025-EXPENSE'!R21</f>
        <v>7143.8497706433427</v>
      </c>
      <c r="H16" s="46">
        <f>'Sep2025-EXPENSE'!R21</f>
        <v>5924.5843620343994</v>
      </c>
      <c r="I16" s="46">
        <f>'Oct2025-EXPENSE'!R21</f>
        <v>7483.5784459076422</v>
      </c>
      <c r="J16" s="46">
        <f>'Nov2025-EXPENSE'!R21</f>
        <v>7797.611916880056</v>
      </c>
      <c r="K16" s="46">
        <f>'Dec2025-EXPENSE'!R21</f>
        <v>6641.7663252969314</v>
      </c>
      <c r="L16" s="46">
        <f>'Jan2026-EXPENSE'!R21</f>
        <v>6039.747690142498</v>
      </c>
      <c r="M16" s="46">
        <f>'Feb2026-EXPENSE'!R21</f>
        <v>5903.1210755559023</v>
      </c>
      <c r="N16" s="46">
        <f>'Mar2026-EXPENSE'!R21</f>
        <v>6071.9209458139348</v>
      </c>
      <c r="O16" s="122">
        <f t="shared" si="0"/>
        <v>76666.807670755545</v>
      </c>
    </row>
    <row r="17" spans="1:15">
      <c r="A17" s="40"/>
      <c r="B17" s="161" t="s">
        <v>67</v>
      </c>
      <c r="C17" s="46">
        <f>'Apr2025-EXPENSE'!R22</f>
        <v>6324.8865420022075</v>
      </c>
      <c r="D17" s="46">
        <f>'May2025-EXPENSE'!R22</f>
        <v>5006.4119862660955</v>
      </c>
      <c r="E17" s="46">
        <f>'June2025-EXPENSE'!R22</f>
        <v>5172.2731693391606</v>
      </c>
      <c r="F17" s="46">
        <f>'July2025-EXPENSE'!R22</f>
        <v>6041.7462244030103</v>
      </c>
      <c r="G17" s="46">
        <f>'Aug2025-EXPENSE'!R22</f>
        <v>6533.4740469707749</v>
      </c>
      <c r="H17" s="46">
        <f>'Sep2025-EXPENSE'!R22</f>
        <v>5603.4347684939157</v>
      </c>
      <c r="I17" s="46">
        <f>'Oct2025-EXPENSE'!R22</f>
        <v>7205.1260060428049</v>
      </c>
      <c r="J17" s="46">
        <f>'Nov2025-EXPENSE'!R22</f>
        <v>7153.9231787917988</v>
      </c>
      <c r="K17" s="46">
        <f>'Dec2025-EXPENSE'!R22</f>
        <v>5557.7227522915291</v>
      </c>
      <c r="L17" s="46">
        <f>'Jan2026-EXPENSE'!R22</f>
        <v>5447.7211481591821</v>
      </c>
      <c r="M17" s="46">
        <f>'Feb2026-EXPENSE'!R22</f>
        <v>5468.3151757483538</v>
      </c>
      <c r="N17" s="46">
        <f>'Mar2026-EXPENSE'!R22</f>
        <v>7334.1912902983604</v>
      </c>
      <c r="O17" s="122">
        <f t="shared" si="0"/>
        <v>72849.226288807185</v>
      </c>
    </row>
    <row r="18" spans="1:15">
      <c r="A18" s="40" t="str">
        <f ca="1">IFERROR(__xludf.DUMMYFUNCTION("""COMPUTED_VALUE"""),"F2")</f>
        <v>F2</v>
      </c>
      <c r="B18" s="161" t="s">
        <v>69</v>
      </c>
      <c r="C18" s="46">
        <f>'Apr2025-EXPENSE'!R23</f>
        <v>7311.2141480064547</v>
      </c>
      <c r="D18" s="46">
        <f>'May2025-EXPENSE'!R23</f>
        <v>5182.056457146411</v>
      </c>
      <c r="E18" s="46">
        <f>'June2025-EXPENSE'!R23</f>
        <v>6087.9528327285634</v>
      </c>
      <c r="F18" s="46">
        <f>'July2025-EXPENSE'!R23</f>
        <v>6478.8755271031769</v>
      </c>
      <c r="G18" s="46">
        <f>'Aug2025-EXPENSE'!R23</f>
        <v>6772.9161325095347</v>
      </c>
      <c r="H18" s="46">
        <f>'Sep2025-EXPENSE'!R23</f>
        <v>5693.2330106116578</v>
      </c>
      <c r="I18" s="46">
        <f>'Oct2025-EXPENSE'!R23</f>
        <v>7449.9706327430195</v>
      </c>
      <c r="J18" s="46">
        <f>'Nov2025-EXPENSE'!R23</f>
        <v>8138.6858574600883</v>
      </c>
      <c r="K18" s="46">
        <f>'Dec2025-EXPENSE'!R23</f>
        <v>5650.3504180789269</v>
      </c>
      <c r="L18" s="46">
        <f>'Jan2026-EXPENSE'!R23</f>
        <v>5794.0889757713858</v>
      </c>
      <c r="M18" s="46">
        <f>'Feb2026-EXPENSE'!R23</f>
        <v>5984.5818562248569</v>
      </c>
      <c r="N18" s="46">
        <f>'Mar2026-EXPENSE'!R23</f>
        <v>6120.5115529579434</v>
      </c>
      <c r="O18" s="122">
        <f t="shared" si="0"/>
        <v>76664.437401342017</v>
      </c>
    </row>
    <row r="19" spans="1:15">
      <c r="A19" s="46">
        <f ca="1">IFERROR(__xludf.DUMMYFUNCTION("""COMPUTED_VALUE"""),6880.66248777838)</f>
        <v>6880.6624877783797</v>
      </c>
      <c r="B19" s="161" t="s">
        <v>71</v>
      </c>
      <c r="C19" s="46">
        <f>'Apr2025-EXPENSE'!R24</f>
        <v>6559.26621859022</v>
      </c>
      <c r="D19" s="46">
        <f>'May2025-EXPENSE'!R24</f>
        <v>5171.8020678130106</v>
      </c>
      <c r="E19" s="46">
        <f>'June2025-EXPENSE'!R24</f>
        <v>5119.190748807363</v>
      </c>
      <c r="F19" s="46">
        <f>'July2025-EXPENSE'!R24</f>
        <v>6557.6904439611117</v>
      </c>
      <c r="G19" s="46">
        <f>'Aug2025-EXPENSE'!R24</f>
        <v>6768.8691969281717</v>
      </c>
      <c r="H19" s="46">
        <f>'Sep2025-EXPENSE'!R24</f>
        <v>5741.0646394373416</v>
      </c>
      <c r="I19" s="46">
        <f>'Oct2025-EXPENSE'!R24</f>
        <v>7976.4291931423122</v>
      </c>
      <c r="J19" s="46">
        <f>'Nov2025-EXPENSE'!R24</f>
        <v>7286.5996220999896</v>
      </c>
      <c r="K19" s="46">
        <f>'Dec2025-EXPENSE'!R24</f>
        <v>5820.7432410698129</v>
      </c>
      <c r="L19" s="46">
        <f>'Jan2026-EXPENSE'!R24</f>
        <v>5764.3224854779482</v>
      </c>
      <c r="M19" s="46">
        <f>'Feb2026-EXPENSE'!R24</f>
        <v>5355.0232683551931</v>
      </c>
      <c r="N19" s="46">
        <f>'Mar2026-EXPENSE'!R24</f>
        <v>5796.4409513887131</v>
      </c>
      <c r="O19" s="122">
        <f t="shared" si="0"/>
        <v>73917.442077071188</v>
      </c>
    </row>
    <row r="20" spans="1:15">
      <c r="A20" s="46">
        <f ca="1">IFERROR(__xludf.DUMMYFUNCTION("""COMPUTED_VALUE"""),5570.84846978718)</f>
        <v>5570.84846978718</v>
      </c>
      <c r="B20" s="161" t="s">
        <v>73</v>
      </c>
      <c r="C20" s="46">
        <f>'Apr2025-EXPENSE'!R25</f>
        <v>6911.9379249849189</v>
      </c>
      <c r="D20" s="46">
        <f>'May2025-EXPENSE'!R25</f>
        <v>5128.9863474209451</v>
      </c>
      <c r="E20" s="46">
        <f>'June2025-EXPENSE'!R25</f>
        <v>5139.9254512163097</v>
      </c>
      <c r="F20" s="46">
        <f>'July2025-EXPENSE'!R25</f>
        <v>7081.1693825884686</v>
      </c>
      <c r="G20" s="46">
        <f>'Aug2025-EXPENSE'!R25</f>
        <v>7397.3894229875086</v>
      </c>
      <c r="H20" s="46">
        <f>'Sep2025-EXPENSE'!R25</f>
        <v>6286.8337683445652</v>
      </c>
      <c r="I20" s="46">
        <f>'Oct2025-EXPENSE'!R25</f>
        <v>8237.0331101629235</v>
      </c>
      <c r="J20" s="46">
        <f>'Nov2025-EXPENSE'!R25</f>
        <v>7944.0879156535066</v>
      </c>
      <c r="K20" s="46">
        <f>'Dec2025-EXPENSE'!R25</f>
        <v>6521.7920408925447</v>
      </c>
      <c r="L20" s="46">
        <f>'Jan2026-EXPENSE'!R25</f>
        <v>6265.3422516514038</v>
      </c>
      <c r="M20" s="46">
        <f>'Feb2026-EXPENSE'!R25</f>
        <v>5479.0062518421728</v>
      </c>
      <c r="N20" s="46">
        <f>'Mar2026-EXPENSE'!R25</f>
        <v>5603.6881628478768</v>
      </c>
      <c r="O20" s="122">
        <f t="shared" si="0"/>
        <v>77997.192030593142</v>
      </c>
    </row>
    <row r="21" spans="1:15">
      <c r="A21" s="46">
        <f ca="1">IFERROR(__xludf.DUMMYFUNCTION("""COMPUTED_VALUE"""),5614.10635731444)</f>
        <v>5614.1063573144402</v>
      </c>
      <c r="B21" s="161" t="s">
        <v>75</v>
      </c>
      <c r="C21" s="46">
        <f>'Apr2025-EXPENSE'!R26</f>
        <v>5526.7456148697474</v>
      </c>
      <c r="D21" s="46">
        <f>'May2025-EXPENSE'!R26</f>
        <v>4343.0356146977701</v>
      </c>
      <c r="E21" s="46">
        <f>'June2025-EXPENSE'!R26</f>
        <v>4523.9374845400798</v>
      </c>
      <c r="F21" s="46">
        <f>'July2025-EXPENSE'!R26</f>
        <v>5495.9484162992921</v>
      </c>
      <c r="G21" s="46">
        <f>'Aug2025-EXPENSE'!R26</f>
        <v>5873.4233008324691</v>
      </c>
      <c r="H21" s="46">
        <f>'Sep2025-EXPENSE'!R26</f>
        <v>5078.5476521712171</v>
      </c>
      <c r="I21" s="46">
        <f>'Oct2025-EXPENSE'!R26</f>
        <v>6417.4259729506293</v>
      </c>
      <c r="J21" s="46">
        <f>'Nov2025-EXPENSE'!R26</f>
        <v>6927.3199522043869</v>
      </c>
      <c r="K21" s="46">
        <f>'Dec2025-EXPENSE'!R26</f>
        <v>6053.6682066430831</v>
      </c>
      <c r="L21" s="46">
        <f>'Jan2026-EXPENSE'!R26</f>
        <v>5518.240264814458</v>
      </c>
      <c r="M21" s="46">
        <f>'Feb2026-EXPENSE'!R26</f>
        <v>5353.9264079759632</v>
      </c>
      <c r="N21" s="46">
        <f>'Mar2026-EXPENSE'!R26</f>
        <v>5740.0659269011549</v>
      </c>
      <c r="O21" s="122">
        <f t="shared" si="0"/>
        <v>66852.284814900238</v>
      </c>
    </row>
    <row r="22" spans="1:15">
      <c r="A22" s="46">
        <f ca="1">IFERROR(__xludf.DUMMYFUNCTION("""COMPUTED_VALUE"""),6759.73257350367)</f>
        <v>6759.7325735036702</v>
      </c>
      <c r="B22" s="161" t="s">
        <v>77</v>
      </c>
      <c r="C22" s="46">
        <f>'Apr2025-EXPENSE'!R27</f>
        <v>6489.0825873364956</v>
      </c>
      <c r="D22" s="46">
        <f>'May2025-EXPENSE'!R27</f>
        <v>4470.4135978392051</v>
      </c>
      <c r="E22" s="46">
        <f>'June2025-EXPENSE'!R27</f>
        <v>5155.6352428094015</v>
      </c>
      <c r="F22" s="46">
        <f>'July2025-EXPENSE'!R27</f>
        <v>5781.8103000975225</v>
      </c>
      <c r="G22" s="46">
        <f>'Aug2025-EXPENSE'!R27</f>
        <v>6108.7236982059885</v>
      </c>
      <c r="H22" s="46">
        <f>'Sep2025-EXPENSE'!R27</f>
        <v>5213.2563333532698</v>
      </c>
      <c r="I22" s="46">
        <f>'Oct2025-EXPENSE'!R27</f>
        <v>6615.1213609943352</v>
      </c>
      <c r="J22" s="46">
        <f>'Nov2025-EXPENSE'!R27</f>
        <v>6806.6101565030167</v>
      </c>
      <c r="K22" s="46">
        <f>'Dec2025-EXPENSE'!R27</f>
        <v>5801.733952445099</v>
      </c>
      <c r="L22" s="46">
        <f>'Jan2026-EXPENSE'!R27</f>
        <v>5377.053570205685</v>
      </c>
      <c r="M22" s="46">
        <f>'Feb2026-EXPENSE'!R27</f>
        <v>5260.061349077564</v>
      </c>
      <c r="N22" s="46">
        <f>'Mar2026-EXPENSE'!R27</f>
        <v>5487.4262003877866</v>
      </c>
      <c r="O22" s="122">
        <f t="shared" si="0"/>
        <v>68566.92834925538</v>
      </c>
    </row>
    <row r="23" spans="1:15">
      <c r="A23" s="46">
        <f ca="1">IFERROR(__xludf.DUMMYFUNCTION("""COMPUTED_VALUE"""),7197.26623489814)</f>
        <v>7197.2662348981403</v>
      </c>
      <c r="B23" s="161" t="s">
        <v>79</v>
      </c>
      <c r="C23" s="46">
        <f>'Apr2025-EXPENSE'!R28</f>
        <v>5787.4428447426089</v>
      </c>
      <c r="D23" s="46">
        <f>'May2025-EXPENSE'!R28</f>
        <v>4099.8462107909645</v>
      </c>
      <c r="E23" s="46">
        <f>'June2025-EXPENSE'!R28</f>
        <v>4603.8246141842246</v>
      </c>
      <c r="F23" s="46">
        <f>'July2025-EXPENSE'!R28</f>
        <v>5634.7762933047734</v>
      </c>
      <c r="G23" s="46">
        <f>'Aug2025-EXPENSE'!R28</f>
        <v>6103.3426080373629</v>
      </c>
      <c r="H23" s="46">
        <f>'Sep2025-EXPENSE'!R28</f>
        <v>5263.8065638173157</v>
      </c>
      <c r="I23" s="46">
        <f>'Oct2025-EXPENSE'!R28</f>
        <v>6635.0449757528386</v>
      </c>
      <c r="J23" s="46">
        <f>'Nov2025-EXPENSE'!R28</f>
        <v>6756.0602059565936</v>
      </c>
      <c r="K23" s="46">
        <f>'Dec2025-EXPENSE'!R28</f>
        <v>5367.9467435134147</v>
      </c>
      <c r="L23" s="46">
        <f>'Jan2026-EXPENSE'!R28</f>
        <v>5046.98698893444</v>
      </c>
      <c r="M23" s="46">
        <f>'Feb2026-EXPENSE'!R28</f>
        <v>4840.6358672454644</v>
      </c>
      <c r="N23" s="46">
        <f>'Mar2026-EXPENSE'!R28</f>
        <v>4816.9932566746156</v>
      </c>
      <c r="O23" s="122">
        <f t="shared" si="0"/>
        <v>64956.707172954615</v>
      </c>
    </row>
    <row r="24" spans="1:15">
      <c r="A24" s="46">
        <f ca="1">IFERROR(__xludf.DUMMYFUNCTION("""COMPUTED_VALUE"""),5914.70054407884)</f>
        <v>5914.7005440788398</v>
      </c>
      <c r="B24" s="161" t="s">
        <v>81</v>
      </c>
      <c r="C24" s="46">
        <f>'Apr2025-EXPENSE'!R29</f>
        <v>6345.8225665796062</v>
      </c>
      <c r="D24" s="46">
        <f>'May2025-EXPENSE'!R29</f>
        <v>4789.4174442109615</v>
      </c>
      <c r="E24" s="46">
        <f>'June2025-EXPENSE'!R29</f>
        <v>4713.9359168962492</v>
      </c>
      <c r="F24" s="46">
        <f>'July2025-EXPENSE'!R29</f>
        <v>5956.9345203928406</v>
      </c>
      <c r="G24" s="46">
        <f>'Aug2025-EXPENSE'!R29</f>
        <v>6522.133732979044</v>
      </c>
      <c r="H24" s="46">
        <f>'Sep2025-EXPENSE'!R29</f>
        <v>5666.6718066036537</v>
      </c>
      <c r="I24" s="46">
        <f>'Oct2025-EXPENSE'!R29</f>
        <v>7022.8382134123412</v>
      </c>
      <c r="J24" s="46">
        <f>'Nov2025-EXPENSE'!R29</f>
        <v>7338.4014465905238</v>
      </c>
      <c r="K24" s="46">
        <f>'Dec2025-EXPENSE'!R29</f>
        <v>5251.8362729339624</v>
      </c>
      <c r="L24" s="46">
        <f>'Jan2026-EXPENSE'!R29</f>
        <v>5180.8248492812418</v>
      </c>
      <c r="M24" s="46">
        <f>'Feb2026-EXPENSE'!R29</f>
        <v>5744.1241501826917</v>
      </c>
      <c r="N24" s="46">
        <f>'Mar2026-EXPENSE'!R29</f>
        <v>5066.8907452601434</v>
      </c>
      <c r="O24" s="122">
        <f t="shared" si="0"/>
        <v>69599.831665323261</v>
      </c>
    </row>
    <row r="25" spans="1:15">
      <c r="A25" s="46">
        <f ca="1">IFERROR(__xludf.DUMMYFUNCTION("""COMPUTED_VALUE"""),7049.74505947421)</f>
        <v>7049.7450594742104</v>
      </c>
      <c r="B25" s="161" t="s">
        <v>83</v>
      </c>
      <c r="C25" s="46">
        <f>'Apr2025-EXPENSE'!R30</f>
        <v>6245.5027062427134</v>
      </c>
      <c r="D25" s="46">
        <f>'May2025-EXPENSE'!R30</f>
        <v>4729.6074316055519</v>
      </c>
      <c r="E25" s="46">
        <f>'June2025-EXPENSE'!R30</f>
        <v>5202.5978511892936</v>
      </c>
      <c r="F25" s="46">
        <f>'July2025-EXPENSE'!R30</f>
        <v>5869.0920411738352</v>
      </c>
      <c r="G25" s="46">
        <f>'Aug2025-EXPENSE'!R30</f>
        <v>6284.6658343357822</v>
      </c>
      <c r="H25" s="46">
        <f>'Sep2025-EXPENSE'!R30</f>
        <v>5381.7814109165811</v>
      </c>
      <c r="I25" s="46">
        <f>'Oct2025-EXPENSE'!R30</f>
        <v>6907.6996523839753</v>
      </c>
      <c r="J25" s="46">
        <f>'Nov2025-EXPENSE'!R30</f>
        <v>7029.2570504163868</v>
      </c>
      <c r="K25" s="46">
        <f>'Dec2025-EXPENSE'!R30</f>
        <v>5714.5399791711943</v>
      </c>
      <c r="L25" s="46">
        <f>'Jan2026-EXPENSE'!R30</f>
        <v>5562.9052379768827</v>
      </c>
      <c r="M25" s="46">
        <f>'Feb2026-EXPENSE'!R30</f>
        <v>5123.5345797359123</v>
      </c>
      <c r="N25" s="46">
        <f>'Mar2026-EXPENSE'!R30</f>
        <v>5589.9149719554971</v>
      </c>
      <c r="O25" s="122">
        <f t="shared" si="0"/>
        <v>69641.098747103606</v>
      </c>
    </row>
    <row r="26" spans="1:15">
      <c r="A26" s="46">
        <f ca="1">IFERROR(__xludf.DUMMYFUNCTION("""COMPUTED_VALUE"""),7177.89786062803)</f>
        <v>7177.8978606280298</v>
      </c>
      <c r="B26" s="161" t="s">
        <v>85</v>
      </c>
      <c r="C26" s="46">
        <f>'Apr2025-EXPENSE'!R31</f>
        <v>6258.9920764404214</v>
      </c>
      <c r="D26" s="46">
        <f>'May2025-EXPENSE'!R31</f>
        <v>4807.3018767924377</v>
      </c>
      <c r="E26" s="46">
        <f>'June2025-EXPENSE'!R31</f>
        <v>5061.3257899170985</v>
      </c>
      <c r="F26" s="46">
        <f>'July2025-EXPENSE'!R31</f>
        <v>6007.7944896238196</v>
      </c>
      <c r="G26" s="46">
        <f>'Aug2025-EXPENSE'!R31</f>
        <v>6373.4199683188572</v>
      </c>
      <c r="H26" s="46">
        <f>'Sep2025-EXPENSE'!R31</f>
        <v>5248.4011545332614</v>
      </c>
      <c r="I26" s="46">
        <f>'Oct2025-EXPENSE'!R31</f>
        <v>6161.1285926972469</v>
      </c>
      <c r="J26" s="46">
        <f>'Nov2025-EXPENSE'!R31</f>
        <v>7838.4450265672394</v>
      </c>
      <c r="K26" s="46">
        <f>'Dec2025-EXPENSE'!R31</f>
        <v>5226.1806693615727</v>
      </c>
      <c r="L26" s="46">
        <f>'Jan2026-EXPENSE'!R31</f>
        <v>5363.2466694710729</v>
      </c>
      <c r="M26" s="46">
        <f>'Feb2026-EXPENSE'!R31</f>
        <v>4723.6754540238026</v>
      </c>
      <c r="N26" s="46">
        <f>'Mar2026-EXPENSE'!R31</f>
        <v>4896.297008362023</v>
      </c>
      <c r="O26" s="122">
        <f t="shared" si="0"/>
        <v>67966.208776108862</v>
      </c>
    </row>
    <row r="27" spans="1:15">
      <c r="A27" s="46">
        <f ca="1">IFERROR(__xludf.DUMMYFUNCTION("""COMPUTED_VALUE"""),5885.35386036057)</f>
        <v>5885.3538603605703</v>
      </c>
      <c r="B27" s="161" t="s">
        <v>87</v>
      </c>
      <c r="C27" s="46">
        <f>'Apr2025-EXPENSE'!R32</f>
        <v>5638.7301984201058</v>
      </c>
      <c r="D27" s="46">
        <f>'May2025-EXPENSE'!R32</f>
        <v>4416.4687060852975</v>
      </c>
      <c r="E27" s="46">
        <f>'June2025-EXPENSE'!R32</f>
        <v>4540.9934494248582</v>
      </c>
      <c r="F27" s="46">
        <f>'July2025-EXPENSE'!R32</f>
        <v>5376.7791798830904</v>
      </c>
      <c r="G27" s="46">
        <f>'Aug2025-EXPENSE'!R32</f>
        <v>5757.3963235602114</v>
      </c>
      <c r="H27" s="46">
        <f>'Sep2025-EXPENSE'!R32</f>
        <v>4934.6193654329772</v>
      </c>
      <c r="I27" s="46">
        <f>'Oct2025-EXPENSE'!R32</f>
        <v>6180.9459481770373</v>
      </c>
      <c r="J27" s="46">
        <f>'Nov2025-EXPENSE'!R32</f>
        <v>6627.6517108903945</v>
      </c>
      <c r="K27" s="46">
        <f>'Dec2025-EXPENSE'!R32</f>
        <v>4919.9169017161767</v>
      </c>
      <c r="L27" s="46">
        <f>'Jan2026-EXPENSE'!R32</f>
        <v>4755.1863072798205</v>
      </c>
      <c r="M27" s="46">
        <f>'Feb2026-EXPENSE'!R32</f>
        <v>4530.2580434065003</v>
      </c>
      <c r="N27" s="46">
        <f>'Mar2026-EXPENSE'!R32</f>
        <v>4928.0538927521839</v>
      </c>
      <c r="O27" s="122">
        <f t="shared" si="0"/>
        <v>62607.000027028662</v>
      </c>
    </row>
    <row r="28" spans="1:15">
      <c r="A28" s="46">
        <f ca="1">IFERROR(__xludf.DUMMYFUNCTION("""COMPUTED_VALUE"""),5677.10147277273)</f>
        <v>5677.1014727727297</v>
      </c>
      <c r="B28" s="161" t="s">
        <v>89</v>
      </c>
      <c r="C28" s="46">
        <f>'Apr2025-EXPENSE'!R33</f>
        <v>5836.516474833119</v>
      </c>
      <c r="D28" s="46">
        <f>'May2025-EXPENSE'!R33</f>
        <v>5143.6069677267096</v>
      </c>
      <c r="E28" s="46">
        <f>'June2025-EXPENSE'!R33</f>
        <v>5032.2303204077707</v>
      </c>
      <c r="F28" s="46">
        <f>'July2025-EXPENSE'!R33</f>
        <v>6120.0200777584869</v>
      </c>
      <c r="G28" s="46">
        <f>'Aug2025-EXPENSE'!R33</f>
        <v>6118.640913971306</v>
      </c>
      <c r="H28" s="46">
        <f>'Sep2025-EXPENSE'!R33</f>
        <v>4977.8411914805683</v>
      </c>
      <c r="I28" s="46">
        <f>'Oct2025-EXPENSE'!R33</f>
        <v>6565.7107963932476</v>
      </c>
      <c r="J28" s="46">
        <f>'Nov2025-EXPENSE'!R33</f>
        <v>7853.4395921482792</v>
      </c>
      <c r="K28" s="46">
        <f>'Dec2025-EXPENSE'!R33</f>
        <v>5975.6638531343851</v>
      </c>
      <c r="L28" s="46">
        <f>'Jan2026-EXPENSE'!R33</f>
        <v>5622.5343268151546</v>
      </c>
      <c r="M28" s="46">
        <f>'Feb2026-EXPENSE'!R33</f>
        <v>5468.5129946290672</v>
      </c>
      <c r="N28" s="46">
        <f>'Mar2026-EXPENSE'!R33</f>
        <v>5550.5861320161293</v>
      </c>
      <c r="O28" s="122">
        <f t="shared" si="0"/>
        <v>70265.303641314225</v>
      </c>
    </row>
    <row r="29" spans="1:15">
      <c r="A29" s="46">
        <f ca="1">IFERROR(__xludf.DUMMYFUNCTION("""COMPUTED_VALUE"""),5234.65047944122)</f>
        <v>5234.6504794412203</v>
      </c>
      <c r="B29" s="161" t="s">
        <v>91</v>
      </c>
      <c r="C29" s="46">
        <f>'Apr2025-EXPENSE'!R34</f>
        <v>6399.1853623620545</v>
      </c>
      <c r="D29" s="46">
        <f>'May2025-EXPENSE'!R34</f>
        <v>4704.571266621957</v>
      </c>
      <c r="E29" s="46">
        <f>'June2025-EXPENSE'!R34</f>
        <v>4724.9387761888756</v>
      </c>
      <c r="F29" s="46">
        <f>'July2025-EXPENSE'!R34</f>
        <v>5925.0068550878068</v>
      </c>
      <c r="G29" s="46">
        <f>'Aug2025-EXPENSE'!R34</f>
        <v>6282.7477371493133</v>
      </c>
      <c r="H29" s="46">
        <f>'Sep2025-EXPENSE'!R34</f>
        <v>5187.0215055437975</v>
      </c>
      <c r="I29" s="46">
        <f>'Oct2025-EXPENSE'!R34</f>
        <v>6825.9630185067053</v>
      </c>
      <c r="J29" s="46">
        <f>'Nov2025-EXPENSE'!R34</f>
        <v>7750.7004611684379</v>
      </c>
      <c r="K29" s="46">
        <f>'Dec2025-EXPENSE'!R34</f>
        <v>5575.2228877649268</v>
      </c>
      <c r="L29" s="46">
        <f>'Jan2026-EXPENSE'!R34</f>
        <v>5381.9232965835781</v>
      </c>
      <c r="M29" s="46">
        <f>'Feb2026-EXPENSE'!R34</f>
        <v>5345.1323243195347</v>
      </c>
      <c r="N29" s="46">
        <f>'Mar2026-EXPENSE'!R34</f>
        <v>4936.7051313665061</v>
      </c>
      <c r="O29" s="122">
        <f t="shared" si="0"/>
        <v>69039.118622663489</v>
      </c>
    </row>
    <row r="30" spans="1:15">
      <c r="A30" s="46">
        <f ca="1">IFERROR(__xludf.DUMMYFUNCTION("""COMPUTED_VALUE"""),5467.41662969176)</f>
        <v>5467.4166296917601</v>
      </c>
      <c r="B30" s="161" t="s">
        <v>93</v>
      </c>
      <c r="C30" s="46">
        <f>'Apr2025-EXPENSE'!R35</f>
        <v>5772.4935013634231</v>
      </c>
      <c r="D30" s="46">
        <f>'May2025-EXPENSE'!R35</f>
        <v>5458.0771306077049</v>
      </c>
      <c r="E30" s="46">
        <f>'June2025-EXPENSE'!R35</f>
        <v>4968.6133333294929</v>
      </c>
      <c r="F30" s="46">
        <f>'July2025-EXPENSE'!R35</f>
        <v>5790.2369543507548</v>
      </c>
      <c r="G30" s="46">
        <f>'Aug2025-EXPENSE'!R35</f>
        <v>6613.1733565946452</v>
      </c>
      <c r="H30" s="46">
        <f>'Sep2025-EXPENSE'!R35</f>
        <v>5303.5667757796891</v>
      </c>
      <c r="I30" s="46">
        <f>'Oct2025-EXPENSE'!R35</f>
        <v>6947.0454665990474</v>
      </c>
      <c r="J30" s="46">
        <f>'Nov2025-EXPENSE'!R35</f>
        <v>7284.5175839069861</v>
      </c>
      <c r="K30" s="46">
        <f>'Dec2025-EXPENSE'!R35</f>
        <v>6027.402900728287</v>
      </c>
      <c r="L30" s="46">
        <f>'Jan2026-EXPENSE'!R35</f>
        <v>5568.1679952026161</v>
      </c>
      <c r="M30" s="46">
        <f>'Feb2026-EXPENSE'!R35</f>
        <v>5193.3063333721766</v>
      </c>
      <c r="N30" s="46">
        <f>'Mar2026-EXPENSE'!R35</f>
        <v>5969.9980744346612</v>
      </c>
      <c r="O30" s="122">
        <f t="shared" si="0"/>
        <v>70896.599406269495</v>
      </c>
    </row>
    <row r="31" spans="1:15">
      <c r="A31" s="46">
        <f ca="1">IFERROR(__xludf.DUMMYFUNCTION("""COMPUTED_VALUE"""),74429.4820297292)</f>
        <v>74429.482029729203</v>
      </c>
      <c r="B31" s="161" t="s">
        <v>95</v>
      </c>
      <c r="C31" s="46">
        <f>'Apr2025-EXPENSE'!R36</f>
        <v>6113.6941181248058</v>
      </c>
      <c r="D31" s="46">
        <f>'May2025-EXPENSE'!R36</f>
        <v>4590.2178159039886</v>
      </c>
      <c r="E31" s="46">
        <f>'June2025-EXPENSE'!R36</f>
        <v>4414.4616899162102</v>
      </c>
      <c r="F31" s="46">
        <f>'July2025-EXPENSE'!R36</f>
        <v>5225.6822781618539</v>
      </c>
      <c r="G31" s="46">
        <f>'Aug2025-EXPENSE'!R36</f>
        <v>5699.7221825156248</v>
      </c>
      <c r="H31" s="46">
        <f>'Sep2025-EXPENSE'!R36</f>
        <v>5011.2185995963509</v>
      </c>
      <c r="I31" s="46">
        <f>'Oct2025-EXPENSE'!R36</f>
        <v>6578.5914176651322</v>
      </c>
      <c r="J31" s="46">
        <f>'Nov2025-EXPENSE'!R36</f>
        <v>7575.1313800560547</v>
      </c>
      <c r="K31" s="46">
        <f>'Dec2025-EXPENSE'!R36</f>
        <v>5604.8400183595231</v>
      </c>
      <c r="L31" s="46">
        <f>'Jan2026-EXPENSE'!R36</f>
        <v>5258.1436891912917</v>
      </c>
      <c r="M31" s="46">
        <f>'Feb2026-EXPENSE'!R36</f>
        <v>4807.0649687797113</v>
      </c>
      <c r="N31" s="46">
        <f>'Mar2026-EXPENSE'!R36</f>
        <v>4867.9280349504897</v>
      </c>
      <c r="O31" s="122">
        <f t="shared" si="0"/>
        <v>65746.69619322104</v>
      </c>
    </row>
    <row r="32" spans="1:15">
      <c r="A32" s="40"/>
      <c r="B32" s="161" t="s">
        <v>97</v>
      </c>
      <c r="C32" s="46">
        <f>'Apr2025-EXPENSE'!R37</f>
        <v>5469.9560052052566</v>
      </c>
      <c r="D32" s="46">
        <f>'May2025-EXPENSE'!R37</f>
        <v>4750.1008519326633</v>
      </c>
      <c r="E32" s="46">
        <f>'June2025-EXPENSE'!R37</f>
        <v>4519.0464357863566</v>
      </c>
      <c r="F32" s="46">
        <f>'July2025-EXPENSE'!R37</f>
        <v>5297.3781108974936</v>
      </c>
      <c r="G32" s="46">
        <f>'Aug2025-EXPENSE'!R37</f>
        <v>5766.2017438361436</v>
      </c>
      <c r="H32" s="46">
        <f>'Sep2025-EXPENSE'!R37</f>
        <v>4944.2329712266073</v>
      </c>
      <c r="I32" s="46">
        <f>'Oct2025-EXPENSE'!R37</f>
        <v>6366.6340377262859</v>
      </c>
      <c r="J32" s="46">
        <f>'Nov2025-EXPENSE'!R37</f>
        <v>6756.0117864637332</v>
      </c>
      <c r="K32" s="46">
        <f>'Dec2025-EXPENSE'!R37</f>
        <v>5298.9973089126188</v>
      </c>
      <c r="L32" s="46">
        <f>'Jan2026-EXPENSE'!R37</f>
        <v>5126.3766681584584</v>
      </c>
      <c r="M32" s="46">
        <f>'Feb2026-EXPENSE'!R37</f>
        <v>5165.7017429773823</v>
      </c>
      <c r="N32" s="46">
        <f>'Mar2026-EXPENSE'!R37</f>
        <v>4819.0278202984982</v>
      </c>
      <c r="O32" s="122">
        <f t="shared" si="0"/>
        <v>64279.665483421508</v>
      </c>
    </row>
    <row r="33" spans="1:15">
      <c r="A33" s="40"/>
      <c r="B33" s="161" t="s">
        <v>99</v>
      </c>
      <c r="C33" s="46">
        <f>'Apr2025-EXPENSE'!R38</f>
        <v>5334.5148437500002</v>
      </c>
      <c r="D33" s="46">
        <f>'May2025-EXPENSE'!R38</f>
        <v>4029.8636485156248</v>
      </c>
      <c r="E33" s="46">
        <f>'June2025-EXPENSE'!R38</f>
        <v>4365.1665173038364</v>
      </c>
      <c r="F33" s="46">
        <f>'July2025-EXPENSE'!R38</f>
        <v>5177.8030768544486</v>
      </c>
      <c r="G33" s="46">
        <f>'Aug2025-EXPENSE'!R38</f>
        <v>5581.9105235156248</v>
      </c>
      <c r="H33" s="46">
        <f>'Sep2025-EXPENSE'!R38</f>
        <v>4841.0443090400631</v>
      </c>
      <c r="I33" s="46">
        <f>'Oct2025-EXPENSE'!R38</f>
        <v>6315.5233246658063</v>
      </c>
      <c r="J33" s="46">
        <f>'Nov2025-EXPENSE'!R38</f>
        <v>7163.7523358424914</v>
      </c>
      <c r="K33" s="46">
        <f>'Dec2025-EXPENSE'!R38</f>
        <v>5209.3913405531712</v>
      </c>
      <c r="L33" s="46">
        <f>'Jan2026-EXPENSE'!R38</f>
        <v>4877.1101484443361</v>
      </c>
      <c r="M33" s="46">
        <f>'Feb2026-EXPENSE'!R38</f>
        <v>4572.7891027598325</v>
      </c>
      <c r="N33" s="46">
        <f>'Mar2026-EXPENSE'!R38</f>
        <v>4890.0163989143866</v>
      </c>
      <c r="O33" s="122">
        <f t="shared" si="0"/>
        <v>62358.885570159611</v>
      </c>
    </row>
    <row r="34" spans="1:15">
      <c r="A34" s="40"/>
      <c r="B34" s="161" t="s">
        <v>101</v>
      </c>
      <c r="C34" s="46">
        <f>'Apr2025-EXPENSE'!R39</f>
        <v>8208.6854521879468</v>
      </c>
      <c r="D34" s="46">
        <f>'May2025-EXPENSE'!R39</f>
        <v>7121.8856052159854</v>
      </c>
      <c r="E34" s="46">
        <f>'June2025-EXPENSE'!R39</f>
        <v>7058.387070069839</v>
      </c>
      <c r="F34" s="46">
        <f>'July2025-EXPENSE'!R39</f>
        <v>8300.9970488782637</v>
      </c>
      <c r="G34" s="46">
        <f>'Aug2025-EXPENSE'!R39</f>
        <v>9210.8168098141978</v>
      </c>
      <c r="H34" s="46">
        <f>'Sep2025-EXPENSE'!R39</f>
        <v>7566.3495394434731</v>
      </c>
      <c r="I34" s="46">
        <f>'Oct2025-EXPENSE'!R39</f>
        <v>9405.9914352738124</v>
      </c>
      <c r="J34" s="46">
        <f>'Nov2025-EXPENSE'!R39</f>
        <v>8947.7271636671503</v>
      </c>
      <c r="K34" s="46">
        <f>'Dec2025-EXPENSE'!R39</f>
        <v>5831.9204065967551</v>
      </c>
      <c r="L34" s="46">
        <f>'Jan2026-EXPENSE'!R39</f>
        <v>5791.7878256489503</v>
      </c>
      <c r="M34" s="46">
        <f>'Feb2026-EXPENSE'!R39</f>
        <v>5653.4330499110101</v>
      </c>
      <c r="N34" s="46">
        <f>'Mar2026-EXPENSE'!R39</f>
        <v>6948.1808810820075</v>
      </c>
      <c r="O34" s="122">
        <f t="shared" si="0"/>
        <v>90046.162287789382</v>
      </c>
    </row>
    <row r="35" spans="1:15">
      <c r="A35" s="40" t="str">
        <f ca="1">IFERROR(__xludf.DUMMYFUNCTION("""COMPUTED_VALUE"""),"F3")</f>
        <v>F3</v>
      </c>
      <c r="B35" s="161" t="s">
        <v>103</v>
      </c>
      <c r="C35" s="46">
        <f>'Apr2025-EXPENSE'!R40</f>
        <v>5597.3407650340832</v>
      </c>
      <c r="D35" s="46">
        <f>'May2025-EXPENSE'!R40</f>
        <v>4294.7358862969986</v>
      </c>
      <c r="E35" s="46">
        <f>'June2025-EXPENSE'!R40</f>
        <v>4516.2540293633547</v>
      </c>
      <c r="F35" s="46">
        <f>'July2025-EXPENSE'!R40</f>
        <v>5457.3476344639521</v>
      </c>
      <c r="G35" s="46">
        <f>'Aug2025-EXPENSE'!R40</f>
        <v>5849.8145735826502</v>
      </c>
      <c r="H35" s="46">
        <f>'Sep2025-EXPENSE'!R40</f>
        <v>4996.7193908584168</v>
      </c>
      <c r="I35" s="46">
        <f>'Oct2025-EXPENSE'!R40</f>
        <v>6407.5139789387858</v>
      </c>
      <c r="J35" s="46">
        <f>'Nov2025-EXPENSE'!R40</f>
        <v>6763.1849042773583</v>
      </c>
      <c r="K35" s="46">
        <f>'Dec2025-EXPENSE'!R40</f>
        <v>5152.707166432142</v>
      </c>
      <c r="L35" s="46">
        <f>'Jan2026-EXPENSE'!R40</f>
        <v>5275.2167384867789</v>
      </c>
      <c r="M35" s="46">
        <f>'Feb2026-EXPENSE'!R40</f>
        <v>4829.0228645388734</v>
      </c>
      <c r="N35" s="46">
        <f>'Mar2026-EXPENSE'!R40</f>
        <v>5092.1723300175017</v>
      </c>
      <c r="O35" s="122">
        <f t="shared" si="0"/>
        <v>64232.030262290893</v>
      </c>
    </row>
    <row r="36" spans="1:15">
      <c r="A36" s="46">
        <f ca="1">IFERROR(__xludf.DUMMYFUNCTION("""COMPUTED_VALUE"""),7497.99907896976)</f>
        <v>7497.9990789697604</v>
      </c>
      <c r="B36" s="161" t="s">
        <v>105</v>
      </c>
      <c r="C36" s="46">
        <f>'Apr2025-EXPENSE'!R41</f>
        <v>6855.8488164196642</v>
      </c>
      <c r="D36" s="46">
        <f>'May2025-EXPENSE'!R41</f>
        <v>4913.9280862591713</v>
      </c>
      <c r="E36" s="46">
        <f>'June2025-EXPENSE'!R41</f>
        <v>4515.5349136041968</v>
      </c>
      <c r="F36" s="46">
        <f>'July2025-EXPENSE'!R41</f>
        <v>5289.848310488298</v>
      </c>
      <c r="G36" s="46">
        <f>'Aug2025-EXPENSE'!R41</f>
        <v>6420.737984347099</v>
      </c>
      <c r="H36" s="46">
        <f>'Sep2025-EXPENSE'!R41</f>
        <v>5637.2005888428539</v>
      </c>
      <c r="I36" s="46">
        <f>'Oct2025-EXPENSE'!R41</f>
        <v>7696.3095218890994</v>
      </c>
      <c r="J36" s="46">
        <f>'Nov2025-EXPENSE'!R41</f>
        <v>7688.1354435223348</v>
      </c>
      <c r="K36" s="46">
        <f>'Dec2025-EXPENSE'!R41</f>
        <v>6321.071280642067</v>
      </c>
      <c r="L36" s="46">
        <f>'Jan2026-EXPENSE'!R41</f>
        <v>5842.1085868849495</v>
      </c>
      <c r="M36" s="46">
        <f>'Feb2026-EXPENSE'!R41</f>
        <v>5361.1962518421724</v>
      </c>
      <c r="N36" s="46">
        <f>'Mar2026-EXPENSE'!R41</f>
        <v>5779.8283768548517</v>
      </c>
      <c r="O36" s="122">
        <f t="shared" si="0"/>
        <v>72321.748161596755</v>
      </c>
    </row>
    <row r="37" spans="1:15">
      <c r="A37" s="46">
        <f ca="1">IFERROR(__xludf.DUMMYFUNCTION("""COMPUTED_VALUE"""),5970.644064401)</f>
        <v>5970.6440644009999</v>
      </c>
      <c r="B37" s="161" t="s">
        <v>107</v>
      </c>
      <c r="C37" s="46">
        <f>'Apr2025-EXPENSE'!R42</f>
        <v>6332.9111607591467</v>
      </c>
      <c r="D37" s="46">
        <f>'May2025-EXPENSE'!R42</f>
        <v>4812.3075739551878</v>
      </c>
      <c r="E37" s="46">
        <f>'June2025-EXPENSE'!R42</f>
        <v>4999.9159555647966</v>
      </c>
      <c r="F37" s="46">
        <f>'July2025-EXPENSE'!R42</f>
        <v>5848.8570857770119</v>
      </c>
      <c r="G37" s="46">
        <f>'Aug2025-EXPENSE'!R42</f>
        <v>6298.0402341385288</v>
      </c>
      <c r="H37" s="46">
        <f>'Sep2025-EXPENSE'!R42</f>
        <v>4935.0527656941658</v>
      </c>
      <c r="I37" s="46">
        <f>'Oct2025-EXPENSE'!R42</f>
        <v>6242.6294594693627</v>
      </c>
      <c r="J37" s="46">
        <f>'Nov2025-EXPENSE'!R42</f>
        <v>6546.452221363239</v>
      </c>
      <c r="K37" s="46">
        <f>'Dec2025-EXPENSE'!R42</f>
        <v>5094.6957010530787</v>
      </c>
      <c r="L37" s="46">
        <f>'Jan2026-EXPENSE'!R42</f>
        <v>4874.6976523482354</v>
      </c>
      <c r="M37" s="46">
        <f>'Feb2026-EXPENSE'!R42</f>
        <v>4619.1776302870703</v>
      </c>
      <c r="N37" s="46">
        <f>'Mar2026-EXPENSE'!R42</f>
        <v>5329.7917491809167</v>
      </c>
      <c r="O37" s="122">
        <f t="shared" si="0"/>
        <v>65934.529189590728</v>
      </c>
    </row>
    <row r="38" spans="1:15">
      <c r="A38" s="46">
        <f ca="1">IFERROR(__xludf.DUMMYFUNCTION("""COMPUTED_VALUE"""),6093.38471860409)</f>
        <v>6093.3847186040903</v>
      </c>
      <c r="B38" s="161" t="s">
        <v>109</v>
      </c>
      <c r="C38" s="46">
        <f>'Apr2025-EXPENSE'!R43</f>
        <v>5368.2079545563784</v>
      </c>
      <c r="D38" s="46">
        <f>'May2025-EXPENSE'!R43</f>
        <v>4093.0909495713313</v>
      </c>
      <c r="E38" s="46">
        <f>'June2025-EXPENSE'!R43</f>
        <v>4299.4508878948382</v>
      </c>
      <c r="F38" s="46">
        <f>'July2025-EXPENSE'!R43</f>
        <v>5134.9237942847149</v>
      </c>
      <c r="G38" s="46">
        <f>'Aug2025-EXPENSE'!R43</f>
        <v>5582.266298072228</v>
      </c>
      <c r="H38" s="46">
        <f>'Sep2025-EXPENSE'!R43</f>
        <v>4758.1466590818764</v>
      </c>
      <c r="I38" s="46">
        <f>'Oct2025-EXPENSE'!R43</f>
        <v>6130.2071425920494</v>
      </c>
      <c r="J38" s="46">
        <f>'Nov2025-EXPENSE'!R43</f>
        <v>6464.2843419788715</v>
      </c>
      <c r="K38" s="46">
        <f>'Dec2025-EXPENSE'!R43</f>
        <v>5014.8049061052343</v>
      </c>
      <c r="L38" s="46">
        <f>'Jan2026-EXPENSE'!R43</f>
        <v>4793.3779762473359</v>
      </c>
      <c r="M38" s="46">
        <f>'Feb2026-EXPENSE'!R43</f>
        <v>4559.8319660731195</v>
      </c>
      <c r="N38" s="46">
        <f>'Mar2026-EXPENSE'!R43</f>
        <v>4903.4622106896077</v>
      </c>
      <c r="O38" s="122">
        <f t="shared" si="0"/>
        <v>61102.055087147586</v>
      </c>
    </row>
    <row r="39" spans="1:15">
      <c r="A39" s="46">
        <f ca="1">IFERROR(__xludf.DUMMYFUNCTION("""COMPUTED_VALUE"""),7529.57156859377)</f>
        <v>7529.5715685937703</v>
      </c>
      <c r="B39" s="161" t="s">
        <v>111</v>
      </c>
      <c r="C39" s="46">
        <f>'Apr2025-EXPENSE'!R44</f>
        <v>5447.3739049854094</v>
      </c>
      <c r="D39" s="46">
        <f>'May2025-EXPENSE'!R44</f>
        <v>4077.49067006412</v>
      </c>
      <c r="E39" s="46">
        <f>'June2025-EXPENSE'!R44</f>
        <v>4377.7494717899108</v>
      </c>
      <c r="F39" s="46">
        <f>'July2025-EXPENSE'!R44</f>
        <v>5167.9286679346051</v>
      </c>
      <c r="G39" s="46">
        <f>'Aug2025-EXPENSE'!R44</f>
        <v>5581.9105235156248</v>
      </c>
      <c r="H39" s="46">
        <f>'Sep2025-EXPENSE'!R44</f>
        <v>4740.6136485156248</v>
      </c>
      <c r="I39" s="46">
        <f>'Oct2025-EXPENSE'!R44</f>
        <v>6113.6306951129754</v>
      </c>
      <c r="J39" s="46">
        <f>'Nov2025-EXPENSE'!R44</f>
        <v>6464.1390835002903</v>
      </c>
      <c r="K39" s="46">
        <f>'Dec2025-EXPENSE'!R44</f>
        <v>4817.2001653546622</v>
      </c>
      <c r="L39" s="46">
        <f>'Jan2026-EXPENSE'!R44</f>
        <v>5254.9812677429472</v>
      </c>
      <c r="M39" s="46">
        <f>'Feb2026-EXPENSE'!R44</f>
        <v>4875.2047166500915</v>
      </c>
      <c r="N39" s="46">
        <f>'Mar2026-EXPENSE'!R44</f>
        <v>4936.2806065357072</v>
      </c>
      <c r="O39" s="122">
        <f t="shared" si="0"/>
        <v>61854.503421701971</v>
      </c>
    </row>
    <row r="40" spans="1:15">
      <c r="A40" s="46">
        <f ca="1">IFERROR(__xludf.DUMMYFUNCTION("""COMPUTED_VALUE"""),7722.72801786187)</f>
        <v>7722.7280178618703</v>
      </c>
      <c r="B40" s="161" t="s">
        <v>113</v>
      </c>
      <c r="C40" s="46">
        <f>'Apr2025-EXPENSE'!R45</f>
        <v>5475.7172699538287</v>
      </c>
      <c r="D40" s="46">
        <f>'May2025-EXPENSE'!R45</f>
        <v>6855.9494773741153</v>
      </c>
      <c r="E40" s="46">
        <f>'June2025-EXPENSE'!R45</f>
        <v>5922.8610357759062</v>
      </c>
      <c r="F40" s="46">
        <f>'July2025-EXPENSE'!R45</f>
        <v>6830.0306588579697</v>
      </c>
      <c r="G40" s="46">
        <f>'Aug2025-EXPENSE'!R45</f>
        <v>6981.2607982756272</v>
      </c>
      <c r="H40" s="46">
        <f>'Sep2025-EXPENSE'!R45</f>
        <v>5862.4505245895034</v>
      </c>
      <c r="I40" s="46">
        <f>'Oct2025-EXPENSE'!R45</f>
        <v>7718.7833593366904</v>
      </c>
      <c r="J40" s="46">
        <f>'Nov2025-EXPENSE'!R45</f>
        <v>7866.1739187706062</v>
      </c>
      <c r="K40" s="46">
        <f>'Dec2025-EXPENSE'!R45</f>
        <v>6148.6033720681189</v>
      </c>
      <c r="L40" s="46">
        <f>'Jan2026-EXPENSE'!R45</f>
        <v>5726.086082324744</v>
      </c>
      <c r="M40" s="46">
        <f>'Feb2026-EXPENSE'!R45</f>
        <v>5558.9162231149858</v>
      </c>
      <c r="N40" s="46">
        <f>'Mar2026-EXPENSE'!R45</f>
        <v>5436.8717172987144</v>
      </c>
      <c r="O40" s="122">
        <f t="shared" si="0"/>
        <v>76383.704437740802</v>
      </c>
    </row>
    <row r="41" spans="1:15">
      <c r="A41" s="46">
        <f ca="1">IFERROR(__xludf.DUMMYFUNCTION("""COMPUTED_VALUE"""),6599.69050490061)</f>
        <v>6599.69050490061</v>
      </c>
      <c r="B41" s="161" t="s">
        <v>115</v>
      </c>
      <c r="C41" s="46">
        <f>'Apr2025-EXPENSE'!R46</f>
        <v>6428.4032050155238</v>
      </c>
      <c r="D41" s="46">
        <f>'May2025-EXPENSE'!R46</f>
        <v>5047.9718117869234</v>
      </c>
      <c r="E41" s="46">
        <f>'June2025-EXPENSE'!R46</f>
        <v>4957.3262977439781</v>
      </c>
      <c r="F41" s="46">
        <f>'July2025-EXPENSE'!R46</f>
        <v>5443.1447175244502</v>
      </c>
      <c r="G41" s="46">
        <f>'Aug2025-EXPENSE'!R46</f>
        <v>6057.2756119019596</v>
      </c>
      <c r="H41" s="46">
        <f>'Sep2025-EXPENSE'!R46</f>
        <v>5203.7665156351613</v>
      </c>
      <c r="I41" s="46">
        <f>'Oct2025-EXPENSE'!R46</f>
        <v>6547.0855415270189</v>
      </c>
      <c r="J41" s="46">
        <f>'Nov2025-EXPENSE'!R46</f>
        <v>7519.8847387021578</v>
      </c>
      <c r="K41" s="46">
        <f>'Dec2025-EXPENSE'!R46</f>
        <v>5318.2424027172265</v>
      </c>
      <c r="L41" s="46">
        <f>'Jan2026-EXPENSE'!R46</f>
        <v>5491.8217725921413</v>
      </c>
      <c r="M41" s="46">
        <f>'Feb2026-EXPENSE'!R46</f>
        <v>5410.1158266338107</v>
      </c>
      <c r="N41" s="46">
        <f>'Mar2026-EXPENSE'!R46</f>
        <v>5266.7467348753908</v>
      </c>
      <c r="O41" s="122">
        <f t="shared" si="0"/>
        <v>68691.785176655743</v>
      </c>
    </row>
    <row r="42" spans="1:15">
      <c r="A42" s="46">
        <f ca="1">IFERROR(__xludf.DUMMYFUNCTION("""COMPUTED_VALUE"""),8217.5034137305)</f>
        <v>8217.5034137304992</v>
      </c>
      <c r="B42" s="161" t="s">
        <v>117</v>
      </c>
      <c r="C42" s="46">
        <f>'Apr2025-EXPENSE'!R47</f>
        <v>5399.9463505373478</v>
      </c>
      <c r="D42" s="46">
        <f>'May2025-EXPENSE'!R47</f>
        <v>4099.2144237704233</v>
      </c>
      <c r="E42" s="46">
        <f>'June2025-EXPENSE'!R47</f>
        <v>4325.0766390575072</v>
      </c>
      <c r="F42" s="46">
        <f>'July2025-EXPENSE'!R47</f>
        <v>5156.5212457577982</v>
      </c>
      <c r="G42" s="46">
        <f>'Aug2025-EXPENSE'!R47</f>
        <v>5645.6386409671941</v>
      </c>
      <c r="H42" s="46">
        <f>'Sep2025-EXPENSE'!R47</f>
        <v>4795.9312818527414</v>
      </c>
      <c r="I42" s="46">
        <f>'Oct2025-EXPENSE'!R47</f>
        <v>6185.9401342765022</v>
      </c>
      <c r="J42" s="46">
        <f>'Nov2025-EXPENSE'!R47</f>
        <v>6507.571368596211</v>
      </c>
      <c r="K42" s="46">
        <f>'Dec2025-EXPENSE'!R47</f>
        <v>4871.6240008740324</v>
      </c>
      <c r="L42" s="46">
        <f>'Jan2026-EXPENSE'!R47</f>
        <v>4780.981457845829</v>
      </c>
      <c r="M42" s="46">
        <f>'Feb2026-EXPENSE'!R47</f>
        <v>4461.8127106797438</v>
      </c>
      <c r="N42" s="46">
        <f>'Mar2026-EXPENSE'!R47</f>
        <v>4632.2460336973163</v>
      </c>
      <c r="O42" s="122">
        <f t="shared" si="0"/>
        <v>60862.504287912656</v>
      </c>
    </row>
    <row r="43" spans="1:15">
      <c r="A43" s="46">
        <f ca="1">IFERROR(__xludf.DUMMYFUNCTION("""COMPUTED_VALUE"""),8585.24089570297)</f>
        <v>8585.2408957029693</v>
      </c>
      <c r="B43" s="161" t="s">
        <v>119</v>
      </c>
      <c r="C43" s="46">
        <f>'Apr2025-EXPENSE'!R48</f>
        <v>5377.5185699089798</v>
      </c>
      <c r="D43" s="46">
        <f>'May2025-EXPENSE'!R48</f>
        <v>4364.9537644103948</v>
      </c>
      <c r="E43" s="46">
        <f>'June2025-EXPENSE'!R48</f>
        <v>5104.9271903455883</v>
      </c>
      <c r="F43" s="46">
        <f>'July2025-EXPENSE'!R48</f>
        <v>5912.2967814401209</v>
      </c>
      <c r="G43" s="46">
        <f>'Aug2025-EXPENSE'!R48</f>
        <v>6392.9430971124639</v>
      </c>
      <c r="H43" s="46">
        <f>'Sep2025-EXPENSE'!R48</f>
        <v>5150.9648958133967</v>
      </c>
      <c r="I43" s="46">
        <f>'Oct2025-EXPENSE'!R48</f>
        <v>6370.03433464507</v>
      </c>
      <c r="J43" s="46">
        <f>'Nov2025-EXPENSE'!R48</f>
        <v>7191.3998662658705</v>
      </c>
      <c r="K43" s="46">
        <f>'Dec2025-EXPENSE'!R48</f>
        <v>5517.8716768895647</v>
      </c>
      <c r="L43" s="46">
        <f>'Jan2026-EXPENSE'!R48</f>
        <v>5052.257365021308</v>
      </c>
      <c r="M43" s="46">
        <f>'Feb2026-EXPENSE'!R48</f>
        <v>5055.8133547412162</v>
      </c>
      <c r="N43" s="46">
        <f>'Mar2026-EXPENSE'!R48</f>
        <v>5146.2387265915477</v>
      </c>
      <c r="O43" s="122">
        <f t="shared" si="0"/>
        <v>66637.21962318552</v>
      </c>
    </row>
    <row r="44" spans="1:15">
      <c r="A44" s="46">
        <f ca="1">IFERROR(__xludf.DUMMYFUNCTION("""COMPUTED_VALUE"""),6916.43363479336)</f>
        <v>6916.4336347933604</v>
      </c>
      <c r="B44" s="161" t="s">
        <v>121</v>
      </c>
      <c r="C44" s="46">
        <f>'Apr2025-EXPENSE'!R49</f>
        <v>6202.8711850056752</v>
      </c>
      <c r="D44" s="46">
        <f>'May2025-EXPENSE'!R49</f>
        <v>5987.6527716561777</v>
      </c>
      <c r="E44" s="46">
        <f>'June2025-EXPENSE'!R49</f>
        <v>5118.6388483902138</v>
      </c>
      <c r="F44" s="46">
        <f>'July2025-EXPENSE'!R49</f>
        <v>5904.9473355317441</v>
      </c>
      <c r="G44" s="46">
        <f>'Aug2025-EXPENSE'!R49</f>
        <v>6760.1469113466646</v>
      </c>
      <c r="H44" s="46">
        <f>'Sep2025-EXPENSE'!R49</f>
        <v>5234.7687463177035</v>
      </c>
      <c r="I44" s="46">
        <f>'Oct2025-EXPENSE'!R49</f>
        <v>6313.6637872883457</v>
      </c>
      <c r="J44" s="46">
        <f>'Nov2025-EXPENSE'!R49</f>
        <v>6717.1309336967051</v>
      </c>
      <c r="K44" s="46">
        <f>'Dec2025-EXPENSE'!R49</f>
        <v>5914.3073453261532</v>
      </c>
      <c r="L44" s="46">
        <f>'Jan2026-EXPENSE'!R49</f>
        <v>5003.0795599853918</v>
      </c>
      <c r="M44" s="46">
        <f>'Feb2026-EXPENSE'!R49</f>
        <v>4687.7713271743623</v>
      </c>
      <c r="N44" s="46">
        <f>'Mar2026-EXPENSE'!R49</f>
        <v>4851.6692975686074</v>
      </c>
      <c r="O44" s="122">
        <f t="shared" si="0"/>
        <v>68696.648049287745</v>
      </c>
    </row>
    <row r="45" spans="1:15">
      <c r="A45" s="46">
        <f ca="1">IFERROR(__xludf.DUMMYFUNCTION("""COMPUTED_VALUE"""),6594.26889457029)</f>
        <v>6594.2688945702903</v>
      </c>
      <c r="B45" s="161" t="s">
        <v>123</v>
      </c>
      <c r="C45" s="46">
        <f>'Apr2025-EXPENSE'!R50</f>
        <v>5705.9303175718915</v>
      </c>
      <c r="D45" s="46">
        <f>'May2025-EXPENSE'!R50</f>
        <v>4461.4304617167318</v>
      </c>
      <c r="E45" s="46">
        <f>'June2025-EXPENSE'!R50</f>
        <v>4778.5312933023206</v>
      </c>
      <c r="F45" s="46">
        <f>'July2025-EXPENSE'!R50</f>
        <v>5522.3203433840226</v>
      </c>
      <c r="G45" s="46">
        <f>'Aug2025-EXPENSE'!R50</f>
        <v>6028.013154621337</v>
      </c>
      <c r="H45" s="46">
        <f>'Sep2025-EXPENSE'!R50</f>
        <v>5066.5756329572123</v>
      </c>
      <c r="I45" s="46">
        <f>'Oct2025-EXPENSE'!R50</f>
        <v>6354.5968581402021</v>
      </c>
      <c r="J45" s="46">
        <f>'Nov2025-EXPENSE'!R50</f>
        <v>6854.2619703480677</v>
      </c>
      <c r="K45" s="46">
        <f>'Dec2025-EXPENSE'!R50</f>
        <v>5227.8818577821203</v>
      </c>
      <c r="L45" s="46">
        <f>'Jan2026-EXPENSE'!R50</f>
        <v>4854.2547273793398</v>
      </c>
      <c r="M45" s="46">
        <f>'Feb2026-EXPENSE'!R50</f>
        <v>4566.5172098324965</v>
      </c>
      <c r="N45" s="46">
        <f>'Mar2026-EXPENSE'!R50</f>
        <v>4739.2197709179436</v>
      </c>
      <c r="O45" s="122">
        <f t="shared" si="0"/>
        <v>64159.53359795369</v>
      </c>
    </row>
    <row r="46" spans="1:15">
      <c r="A46" s="46">
        <f ca="1">IFERROR(__xludf.DUMMYFUNCTION("""COMPUTED_VALUE"""),6667.57071038327)</f>
        <v>6667.5707103832701</v>
      </c>
      <c r="B46" s="161" t="s">
        <v>125</v>
      </c>
      <c r="C46" s="46">
        <f>'Apr2025-EXPENSE'!R51</f>
        <v>5716.526929520157</v>
      </c>
      <c r="D46" s="46">
        <f>'May2025-EXPENSE'!R51</f>
        <v>4339.3497697475277</v>
      </c>
      <c r="E46" s="46">
        <f>'June2025-EXPENSE'!R51</f>
        <v>4763.774539370148</v>
      </c>
      <c r="F46" s="46">
        <f>'July2025-EXPENSE'!R51</f>
        <v>5695.641018671151</v>
      </c>
      <c r="G46" s="46">
        <f>'Aug2025-EXPENSE'!R51</f>
        <v>5962.2393334692988</v>
      </c>
      <c r="H46" s="46">
        <f>'Sep2025-EXPENSE'!R51</f>
        <v>4938.4861557642162</v>
      </c>
      <c r="I46" s="46">
        <f>'Oct2025-EXPENSE'!R51</f>
        <v>6317.3529809516403</v>
      </c>
      <c r="J46" s="46">
        <f>'Nov2025-EXPENSE'!R51</f>
        <v>6939.6739557540923</v>
      </c>
      <c r="K46" s="46">
        <f>'Dec2025-EXPENSE'!R51</f>
        <v>5090.2659547964004</v>
      </c>
      <c r="L46" s="46">
        <f>'Jan2026-EXPENSE'!R51</f>
        <v>4970.3514625886564</v>
      </c>
      <c r="M46" s="46">
        <f>'Feb2026-EXPENSE'!R51</f>
        <v>4701.8747789604831</v>
      </c>
      <c r="N46" s="46">
        <f>'Mar2026-EXPENSE'!R51</f>
        <v>5462.9494356480282</v>
      </c>
      <c r="O46" s="122">
        <f t="shared" si="0"/>
        <v>64898.486315241797</v>
      </c>
    </row>
    <row r="47" spans="1:15">
      <c r="A47" s="46">
        <f ca="1">IFERROR(__xludf.DUMMYFUNCTION("""COMPUTED_VALUE"""),6559.22331850397)</f>
        <v>6559.2233185039704</v>
      </c>
      <c r="B47" s="161" t="s">
        <v>127</v>
      </c>
      <c r="C47" s="46">
        <f>'Apr2025-EXPENSE'!R52</f>
        <v>7055.8666639715539</v>
      </c>
      <c r="D47" s="46">
        <f>'May2025-EXPENSE'!R52</f>
        <v>5462.6184932683118</v>
      </c>
      <c r="E47" s="46">
        <f>'June2025-EXPENSE'!R52</f>
        <v>5274.3665861904428</v>
      </c>
      <c r="F47" s="46">
        <f>'July2025-EXPENSE'!R52</f>
        <v>6502.3667008348621</v>
      </c>
      <c r="G47" s="46">
        <f>'Aug2025-EXPENSE'!R52</f>
        <v>6787.6363047889972</v>
      </c>
      <c r="H47" s="46">
        <f>'Sep2025-EXPENSE'!R52</f>
        <v>6032.1520148608597</v>
      </c>
      <c r="I47" s="46">
        <f>'Oct2025-EXPENSE'!R52</f>
        <v>7878.3549148705133</v>
      </c>
      <c r="J47" s="46">
        <f>'Nov2025-EXPENSE'!R52</f>
        <v>7991.5390186568529</v>
      </c>
      <c r="K47" s="46">
        <f>'Dec2025-EXPENSE'!R52</f>
        <v>6351.7765061894879</v>
      </c>
      <c r="L47" s="46">
        <f>'Jan2026-EXPENSE'!R52</f>
        <v>5896.6757328425338</v>
      </c>
      <c r="M47" s="46">
        <f>'Feb2026-EXPENSE'!R52</f>
        <v>5683.8971575408386</v>
      </c>
      <c r="N47" s="46">
        <f>'Mar2026-EXPENSE'!R52</f>
        <v>6096.8044637753164</v>
      </c>
      <c r="O47" s="122">
        <f t="shared" si="0"/>
        <v>77014.054557790572</v>
      </c>
    </row>
    <row r="48" spans="1:15">
      <c r="A48" s="46">
        <f ca="1">IFERROR(__xludf.DUMMYFUNCTION("""COMPUTED_VALUE"""),84954.2588210155)</f>
        <v>84954.258821015494</v>
      </c>
      <c r="B48" s="161" t="s">
        <v>129</v>
      </c>
      <c r="C48" s="46">
        <f>'Apr2025-EXPENSE'!R53</f>
        <v>5801.4859275672516</v>
      </c>
      <c r="D48" s="46">
        <f>'May2025-EXPENSE'!R53</f>
        <v>4388.4270821735809</v>
      </c>
      <c r="E48" s="46">
        <f>'June2025-EXPENSE'!R53</f>
        <v>4590.3637791526107</v>
      </c>
      <c r="F48" s="46">
        <f>'July2025-EXPENSE'!R53</f>
        <v>5525.932352060463</v>
      </c>
      <c r="G48" s="46">
        <f>'Aug2025-EXPENSE'!R53</f>
        <v>5931.5924408371111</v>
      </c>
      <c r="H48" s="46">
        <f>'Sep2025-EXPENSE'!R53</f>
        <v>5083.9454554241975</v>
      </c>
      <c r="I48" s="46">
        <f>'Oct2025-EXPENSE'!R53</f>
        <v>6532.6110310744543</v>
      </c>
      <c r="J48" s="46">
        <f>'Nov2025-EXPENSE'!R53</f>
        <v>6944.8478086199093</v>
      </c>
      <c r="K48" s="46">
        <f>'Dec2025-EXPENSE'!R53</f>
        <v>5376.8130182774021</v>
      </c>
      <c r="L48" s="46">
        <f>'Jan2026-EXPENSE'!R53</f>
        <v>5083.3600069987397</v>
      </c>
      <c r="M48" s="46">
        <f>'Feb2026-EXPENSE'!R53</f>
        <v>4792.466969791808</v>
      </c>
      <c r="N48" s="46">
        <f>'Mar2026-EXPENSE'!R53</f>
        <v>4839.3734565373197</v>
      </c>
      <c r="O48" s="122">
        <f t="shared" si="0"/>
        <v>64891.219328514839</v>
      </c>
    </row>
    <row r="49" spans="1:15">
      <c r="A49" s="40"/>
      <c r="B49" s="161" t="s">
        <v>131</v>
      </c>
      <c r="C49" s="46">
        <f>'Apr2025-EXPENSE'!R54</f>
        <v>6826.4766541747149</v>
      </c>
      <c r="D49" s="46">
        <f>'May2025-EXPENSE'!R54</f>
        <v>5607.5816358118964</v>
      </c>
      <c r="E49" s="46">
        <f>'June2025-EXPENSE'!R54</f>
        <v>5410.8894623840479</v>
      </c>
      <c r="F49" s="46">
        <f>'July2025-EXPENSE'!R54</f>
        <v>6417.8304472359796</v>
      </c>
      <c r="G49" s="46">
        <f>'Aug2025-EXPENSE'!R54</f>
        <v>6872.5716712333124</v>
      </c>
      <c r="H49" s="46">
        <f>'Sep2025-EXPENSE'!R54</f>
        <v>6025.9606231287025</v>
      </c>
      <c r="I49" s="46">
        <f>'Oct2025-EXPENSE'!R54</f>
        <v>7597.063355572076</v>
      </c>
      <c r="J49" s="46">
        <f>'Nov2025-EXPENSE'!R54</f>
        <v>7704.0654566734574</v>
      </c>
      <c r="K49" s="46">
        <f>'Dec2025-EXPENSE'!R54</f>
        <v>6297.8208899045885</v>
      </c>
      <c r="L49" s="46">
        <f>'Jan2026-EXPENSE'!R54</f>
        <v>6032.3988558805268</v>
      </c>
      <c r="M49" s="46">
        <f>'Feb2026-EXPENSE'!R54</f>
        <v>5932.8928171032348</v>
      </c>
      <c r="N49" s="46">
        <f>'Mar2026-EXPENSE'!R54</f>
        <v>5878.725860833124</v>
      </c>
      <c r="O49" s="122">
        <f t="shared" si="0"/>
        <v>76604.277729935653</v>
      </c>
    </row>
    <row r="50" spans="1:15">
      <c r="A50" s="40"/>
      <c r="B50" s="161" t="s">
        <v>133</v>
      </c>
      <c r="C50" s="46">
        <f>'Apr2025-EXPENSE'!R55</f>
        <v>6778.7601175380287</v>
      </c>
      <c r="D50" s="46">
        <f>'May2025-EXPENSE'!R55</f>
        <v>5525.1168093003162</v>
      </c>
      <c r="E50" s="46">
        <f>'June2025-EXPENSE'!R55</f>
        <v>5694.2443099716002</v>
      </c>
      <c r="F50" s="46">
        <f>'July2025-EXPENSE'!R55</f>
        <v>6598.9014473982697</v>
      </c>
      <c r="G50" s="46">
        <f>'Aug2025-EXPENSE'!R55</f>
        <v>6902.2401838348405</v>
      </c>
      <c r="H50" s="46">
        <f>'Sep2025-EXPENSE'!R55</f>
        <v>5775.3820601187008</v>
      </c>
      <c r="I50" s="46">
        <f>'Oct2025-EXPENSE'!R55</f>
        <v>7544.3288722392899</v>
      </c>
      <c r="J50" s="46">
        <f>'Nov2025-EXPENSE'!R55</f>
        <v>7835.5314126601352</v>
      </c>
      <c r="K50" s="46">
        <f>'Dec2025-EXPENSE'!R55</f>
        <v>5933.4109560228244</v>
      </c>
      <c r="L50" s="46">
        <f>'Jan2026-EXPENSE'!R55</f>
        <v>5895.8963110268705</v>
      </c>
      <c r="M50" s="46">
        <f>'Feb2026-EXPENSE'!R55</f>
        <v>5861.9341501826912</v>
      </c>
      <c r="N50" s="46">
        <f>'Mar2026-EXPENSE'!R55</f>
        <v>6105.0311775588398</v>
      </c>
      <c r="O50" s="122">
        <f t="shared" si="0"/>
        <v>76450.777807852399</v>
      </c>
    </row>
    <row r="51" spans="1:15">
      <c r="A51" s="40"/>
      <c r="B51" s="161" t="s">
        <v>135</v>
      </c>
      <c r="C51" s="46">
        <f>'Apr2025-EXPENSE'!R56</f>
        <v>6552.0646376545055</v>
      </c>
      <c r="D51" s="46">
        <f>'May2025-EXPENSE'!R56</f>
        <v>4927.494886869863</v>
      </c>
      <c r="E51" s="46">
        <f>'June2025-EXPENSE'!R56</f>
        <v>4859.0454804789943</v>
      </c>
      <c r="F51" s="46">
        <f>'July2025-EXPENSE'!R56</f>
        <v>6114.8750558250849</v>
      </c>
      <c r="G51" s="46">
        <f>'Aug2025-EXPENSE'!R56</f>
        <v>6343.0070526740001</v>
      </c>
      <c r="H51" s="46">
        <f>'Sep2025-EXPENSE'!R56</f>
        <v>5604.7405572817688</v>
      </c>
      <c r="I51" s="46">
        <f>'Oct2025-EXPENSE'!R56</f>
        <v>6652.494746009339</v>
      </c>
      <c r="J51" s="46">
        <f>'Nov2025-EXPENSE'!R56</f>
        <v>6769.4794383492308</v>
      </c>
      <c r="K51" s="46">
        <f>'Dec2025-EXPENSE'!R56</f>
        <v>5340.3609285912171</v>
      </c>
      <c r="L51" s="46">
        <f>'Jan2026-EXPENSE'!R56</f>
        <v>5404.5265292378208</v>
      </c>
      <c r="M51" s="46">
        <f>'Feb2026-EXPENSE'!R56</f>
        <v>5275.8462613497468</v>
      </c>
      <c r="N51" s="46">
        <f>'Mar2026-EXPENSE'!R56</f>
        <v>5430.7502548178927</v>
      </c>
      <c r="O51" s="122">
        <f t="shared" si="0"/>
        <v>69274.685829139475</v>
      </c>
    </row>
    <row r="52" spans="1:15">
      <c r="A52" s="40" t="str">
        <f ca="1">IFERROR(__xludf.DUMMYFUNCTION("""COMPUTED_VALUE"""),"F4")</f>
        <v>F4</v>
      </c>
      <c r="B52" s="161" t="s">
        <v>137</v>
      </c>
      <c r="C52" s="46">
        <f>'Apr2025-EXPENSE'!R57</f>
        <v>5573.9870668568383</v>
      </c>
      <c r="D52" s="46">
        <f>'May2025-EXPENSE'!R57</f>
        <v>4216.0541027388217</v>
      </c>
      <c r="E52" s="46">
        <f>'June2025-EXPENSE'!R57</f>
        <v>4925.9734211175482</v>
      </c>
      <c r="F52" s="46">
        <f>'July2025-EXPENSE'!R57</f>
        <v>6261.4130877405805</v>
      </c>
      <c r="G52" s="46">
        <f>'Aug2025-EXPENSE'!R57</f>
        <v>6562.2086513612194</v>
      </c>
      <c r="H52" s="46">
        <f>'Sep2025-EXPENSE'!R57</f>
        <v>5493.6324903226032</v>
      </c>
      <c r="I52" s="46">
        <f>'Oct2025-EXPENSE'!R57</f>
        <v>6984.5018623450333</v>
      </c>
      <c r="J52" s="46">
        <f>'Nov2025-EXPENSE'!R57</f>
        <v>7106.9148840944599</v>
      </c>
      <c r="K52" s="46">
        <f>'Dec2025-EXPENSE'!R57</f>
        <v>5468.921912669035</v>
      </c>
      <c r="L52" s="46">
        <f>'Jan2026-EXPENSE'!R57</f>
        <v>5364.4419787179804</v>
      </c>
      <c r="M52" s="46">
        <f>'Feb2026-EXPENSE'!R57</f>
        <v>5572.9207654607499</v>
      </c>
      <c r="N52" s="46">
        <f>'Mar2026-EXPENSE'!R57</f>
        <v>5566.2256543820458</v>
      </c>
      <c r="O52" s="122">
        <f t="shared" si="0"/>
        <v>69097.195877806924</v>
      </c>
    </row>
    <row r="53" spans="1:15">
      <c r="A53" s="46">
        <f ca="1">IFERROR(__xludf.DUMMYFUNCTION("""COMPUTED_VALUE"""),5749.60276196061)</f>
        <v>5749.6027619606102</v>
      </c>
      <c r="B53" s="161" t="s">
        <v>139</v>
      </c>
      <c r="C53" s="46">
        <f>'Apr2025-EXPENSE'!R58</f>
        <v>5971.0831586033255</v>
      </c>
      <c r="D53" s="46">
        <f>'May2025-EXPENSE'!R58</f>
        <v>4449.5646261613438</v>
      </c>
      <c r="E53" s="46">
        <f>'June2025-EXPENSE'!R58</f>
        <v>4459.7267932091509</v>
      </c>
      <c r="F53" s="46">
        <f>'July2025-EXPENSE'!R58</f>
        <v>5301.4811757911275</v>
      </c>
      <c r="G53" s="46">
        <f>'Aug2025-EXPENSE'!R58</f>
        <v>5701.7176054517922</v>
      </c>
      <c r="H53" s="46">
        <f>'Sep2025-EXPENSE'!R58</f>
        <v>4776.5464701705041</v>
      </c>
      <c r="I53" s="46">
        <f>'Oct2025-EXPENSE'!R58</f>
        <v>6189.9779868675587</v>
      </c>
      <c r="J53" s="46">
        <f>'Nov2025-EXPENSE'!R58</f>
        <v>6846.604657605837</v>
      </c>
      <c r="K53" s="46">
        <f>'Dec2025-EXPENSE'!R58</f>
        <v>4937.3664850282794</v>
      </c>
      <c r="L53" s="46">
        <f>'Jan2026-EXPENSE'!R58</f>
        <v>4864.639399393719</v>
      </c>
      <c r="M53" s="46">
        <f>'Feb2026-EXPENSE'!R58</f>
        <v>4511.3168855782142</v>
      </c>
      <c r="N53" s="46">
        <f>'Mar2026-EXPENSE'!R58</f>
        <v>4846.980955304879</v>
      </c>
      <c r="O53" s="122">
        <f t="shared" si="0"/>
        <v>62857.006199165728</v>
      </c>
    </row>
    <row r="54" spans="1:15">
      <c r="A54" s="46">
        <f ca="1">IFERROR(__xludf.DUMMYFUNCTION("""COMPUTED_VALUE"""),4456.76495756504)</f>
        <v>4456.7649575650403</v>
      </c>
      <c r="B54" s="161" t="s">
        <v>141</v>
      </c>
      <c r="C54" s="46">
        <f>'Apr2025-EXPENSE'!R59</f>
        <v>6745.2531091926221</v>
      </c>
      <c r="D54" s="46">
        <f>'May2025-EXPENSE'!R59</f>
        <v>5170.0448245862826</v>
      </c>
      <c r="E54" s="46">
        <f>'June2025-EXPENSE'!R59</f>
        <v>5521.6696264641014</v>
      </c>
      <c r="F54" s="46">
        <f>'July2025-EXPENSE'!R59</f>
        <v>6295.5050070554444</v>
      </c>
      <c r="G54" s="46">
        <f>'Aug2025-EXPENSE'!R59</f>
        <v>6709.8937552264451</v>
      </c>
      <c r="H54" s="46">
        <f>'Sep2025-EXPENSE'!R59</f>
        <v>5634.4031871570023</v>
      </c>
      <c r="I54" s="46">
        <f>'Oct2025-EXPENSE'!R59</f>
        <v>7471.8367956099646</v>
      </c>
      <c r="J54" s="46">
        <f>'Nov2025-EXPENSE'!R59</f>
        <v>7632.8888021684379</v>
      </c>
      <c r="K54" s="46">
        <f>'Dec2025-EXPENSE'!R59</f>
        <v>5838.0479501486643</v>
      </c>
      <c r="L54" s="46">
        <f>'Jan2026-EXPENSE'!R59</f>
        <v>5459.7465133151345</v>
      </c>
      <c r="M54" s="46">
        <f>'Feb2026-EXPENSE'!R59</f>
        <v>5952.7736146149082</v>
      </c>
      <c r="N54" s="46">
        <f>'Mar2026-EXPENSE'!R59</f>
        <v>6245.9203652998567</v>
      </c>
      <c r="O54" s="122">
        <f t="shared" si="0"/>
        <v>74677.983550838864</v>
      </c>
    </row>
    <row r="55" spans="1:15">
      <c r="A55" s="46">
        <f ca="1">IFERROR(__xludf.DUMMYFUNCTION("""COMPUTED_VALUE"""),4663.61254950757)</f>
        <v>4663.6125495075703</v>
      </c>
      <c r="B55" s="161" t="s">
        <v>143</v>
      </c>
      <c r="C55" s="46">
        <f>'Apr2025-EXPENSE'!R60</f>
        <v>5378.0844084110722</v>
      </c>
      <c r="D55" s="46">
        <f>'May2025-EXPENSE'!R60</f>
        <v>4092.6049595555305</v>
      </c>
      <c r="E55" s="46">
        <f>'June2025-EXPENSE'!R60</f>
        <v>4403.5006344590856</v>
      </c>
      <c r="F55" s="46">
        <f>'July2025-EXPENSE'!R60</f>
        <v>5248.1413321738873</v>
      </c>
      <c r="G55" s="46">
        <f>'Aug2025-EXPENSE'!R60</f>
        <v>5777.9867760236284</v>
      </c>
      <c r="H55" s="46">
        <f>'Sep2025-EXPENSE'!R60</f>
        <v>4802.8656860317533</v>
      </c>
      <c r="I55" s="46">
        <f>'Oct2025-EXPENSE'!R60</f>
        <v>6308.0320455166084</v>
      </c>
      <c r="J55" s="46">
        <f>'Nov2025-EXPENSE'!R60</f>
        <v>6561.898039585757</v>
      </c>
      <c r="K55" s="46">
        <f>'Dec2025-EXPENSE'!R60</f>
        <v>4916.6627902336495</v>
      </c>
      <c r="L55" s="46">
        <f>'Jan2026-EXPENSE'!R60</f>
        <v>5295.1595118259947</v>
      </c>
      <c r="M55" s="46">
        <f>'Feb2026-EXPENSE'!R60</f>
        <v>4499.0026602538201</v>
      </c>
      <c r="N55" s="46">
        <f>'Mar2026-EXPENSE'!R60</f>
        <v>4712.434378264672</v>
      </c>
      <c r="O55" s="122">
        <f t="shared" si="0"/>
        <v>61996.37322233546</v>
      </c>
    </row>
    <row r="56" spans="1:15">
      <c r="A56" s="46">
        <f ca="1">IFERROR(__xludf.DUMMYFUNCTION("""COMPUTED_VALUE"""),5553.56676065092)</f>
        <v>5553.5667606509196</v>
      </c>
      <c r="B56" s="161" t="s">
        <v>145</v>
      </c>
      <c r="C56" s="46">
        <f>'Apr2025-EXPENSE'!R61</f>
        <v>6035.0743492035308</v>
      </c>
      <c r="D56" s="46">
        <f>'May2025-EXPENSE'!R61</f>
        <v>4795.0063293926733</v>
      </c>
      <c r="E56" s="46">
        <f>'June2025-EXPENSE'!R61</f>
        <v>4529.4555908263319</v>
      </c>
      <c r="F56" s="46">
        <f>'July2025-EXPENSE'!R61</f>
        <v>5200.4826553324474</v>
      </c>
      <c r="G56" s="46">
        <f>'Aug2025-EXPENSE'!R61</f>
        <v>5707.1431674399928</v>
      </c>
      <c r="H56" s="46">
        <f>'Sep2025-EXPENSE'!R61</f>
        <v>4881.0747331643579</v>
      </c>
      <c r="I56" s="46">
        <f>'Oct2025-EXPENSE'!R61</f>
        <v>6140.1955147909794</v>
      </c>
      <c r="J56" s="46">
        <f>'Nov2025-EXPENSE'!R61</f>
        <v>6607.2671043960991</v>
      </c>
      <c r="K56" s="46">
        <f>'Dec2025-EXPENSE'!R61</f>
        <v>4817.4831315705342</v>
      </c>
      <c r="L56" s="46">
        <f>'Jan2026-EXPENSE'!R61</f>
        <v>5288.0139065972608</v>
      </c>
      <c r="M56" s="46">
        <f>'Feb2026-EXPENSE'!R61</f>
        <v>4776.2952762935056</v>
      </c>
      <c r="N56" s="46">
        <f>'Mar2026-EXPENSE'!R61</f>
        <v>4917.6599264127854</v>
      </c>
      <c r="O56" s="122">
        <f t="shared" si="0"/>
        <v>63695.151685420511</v>
      </c>
    </row>
    <row r="57" spans="1:15">
      <c r="A57" s="46">
        <f ca="1">IFERROR(__xludf.DUMMYFUNCTION("""COMPUTED_VALUE"""),6049.98223349159)</f>
        <v>6049.9822334915898</v>
      </c>
      <c r="B57" s="161" t="s">
        <v>147</v>
      </c>
      <c r="C57" s="46">
        <f>'Apr2025-EXPENSE'!R62</f>
        <v>6009.1683148292941</v>
      </c>
      <c r="D57" s="46">
        <f>'May2025-EXPENSE'!R62</f>
        <v>5448.6705798148232</v>
      </c>
      <c r="E57" s="46">
        <f>'June2025-EXPENSE'!R62</f>
        <v>5328.9205915204329</v>
      </c>
      <c r="F57" s="46">
        <f>'July2025-EXPENSE'!R62</f>
        <v>5839.6991762003854</v>
      </c>
      <c r="G57" s="46">
        <f>'Aug2025-EXPENSE'!R62</f>
        <v>6294.2659384193448</v>
      </c>
      <c r="H57" s="46">
        <f>'Sep2025-EXPENSE'!R62</f>
        <v>5244.8607404005543</v>
      </c>
      <c r="I57" s="46">
        <f>'Oct2025-EXPENSE'!R62</f>
        <v>6555.9050616601162</v>
      </c>
      <c r="J57" s="46">
        <f>'Nov2025-EXPENSE'!R62</f>
        <v>7005.5728855373118</v>
      </c>
      <c r="K57" s="46">
        <f>'Dec2025-EXPENSE'!R62</f>
        <v>5478.0711536488943</v>
      </c>
      <c r="L57" s="46">
        <f>'Jan2026-EXPENSE'!R62</f>
        <v>5485.4008214440555</v>
      </c>
      <c r="M57" s="46">
        <f>'Feb2026-EXPENSE'!R62</f>
        <v>4658.4535346439425</v>
      </c>
      <c r="N57" s="46">
        <f>'Mar2026-EXPENSE'!R62</f>
        <v>4785.0859117432874</v>
      </c>
      <c r="O57" s="122">
        <f t="shared" si="0"/>
        <v>68134.074709862442</v>
      </c>
    </row>
    <row r="58" spans="1:15">
      <c r="A58" s="46">
        <f ca="1">IFERROR(__xludf.DUMMYFUNCTION("""COMPUTED_VALUE"""),5147.58208177566)</f>
        <v>5147.5820817756603</v>
      </c>
      <c r="B58" s="161" t="s">
        <v>149</v>
      </c>
      <c r="C58" s="46">
        <f>'Apr2025-EXPENSE'!R63</f>
        <v>6609.6644135550587</v>
      </c>
      <c r="D58" s="46">
        <f>'May2025-EXPENSE'!R63</f>
        <v>4975.9120208897366</v>
      </c>
      <c r="E58" s="46">
        <f>'June2025-EXPENSE'!R63</f>
        <v>5280.4170790428761</v>
      </c>
      <c r="F58" s="46">
        <f>'July2025-EXPENSE'!R63</f>
        <v>5885.059060160329</v>
      </c>
      <c r="G58" s="46">
        <f>'Aug2025-EXPENSE'!R63</f>
        <v>6634.3188966284451</v>
      </c>
      <c r="H58" s="46">
        <f>'Sep2025-EXPENSE'!R63</f>
        <v>5796.1214326295876</v>
      </c>
      <c r="I58" s="46">
        <f>'Oct2025-EXPENSE'!R63</f>
        <v>7141.1268014694051</v>
      </c>
      <c r="J58" s="46">
        <f>'Nov2025-EXPENSE'!R63</f>
        <v>7240.3824486307121</v>
      </c>
      <c r="K58" s="46">
        <f>'Dec2025-EXPENSE'!R63</f>
        <v>5573.6612272837383</v>
      </c>
      <c r="L58" s="46">
        <f>'Jan2026-EXPENSE'!R63</f>
        <v>6779.4296299160942</v>
      </c>
      <c r="M58" s="46">
        <f>'Feb2026-EXPENSE'!R63</f>
        <v>5920.2021225136068</v>
      </c>
      <c r="N58" s="46">
        <f>'Mar2026-EXPENSE'!R63</f>
        <v>5652.9314549616392</v>
      </c>
      <c r="O58" s="122">
        <f t="shared" si="0"/>
        <v>73489.226587681231</v>
      </c>
    </row>
    <row r="59" spans="1:15">
      <c r="A59" s="46">
        <f ca="1">IFERROR(__xludf.DUMMYFUNCTION("""COMPUTED_VALUE"""),6692.71388300183)</f>
        <v>6692.7138830018303</v>
      </c>
      <c r="B59" s="161" t="s">
        <v>150</v>
      </c>
      <c r="C59" s="46">
        <f>'Apr2025-EXPENSE'!R64</f>
        <v>5706.6308186711276</v>
      </c>
      <c r="D59" s="46">
        <f>'May2025-EXPENSE'!R64</f>
        <v>4876.4096570393358</v>
      </c>
      <c r="E59" s="46">
        <f>'June2025-EXPENSE'!R64</f>
        <v>4585.0546920438683</v>
      </c>
      <c r="F59" s="46">
        <f>'July2025-EXPENSE'!R64</f>
        <v>5351.2590180171919</v>
      </c>
      <c r="G59" s="46">
        <f>'Aug2025-EXPENSE'!R64</f>
        <v>5680.5045475143197</v>
      </c>
      <c r="H59" s="46">
        <f>'Sep2025-EXPENSE'!R64</f>
        <v>4833.8341046948408</v>
      </c>
      <c r="I59" s="46">
        <f>'Oct2025-EXPENSE'!R64</f>
        <v>6194.0158394586151</v>
      </c>
      <c r="J59" s="46">
        <f>'Nov2025-EXPENSE'!R64</f>
        <v>6978.402517172276</v>
      </c>
      <c r="K59" s="46">
        <f>'Dec2025-EXPENSE'!R64</f>
        <v>5229.3404587721434</v>
      </c>
      <c r="L59" s="46">
        <f>'Jan2026-EXPENSE'!R64</f>
        <v>5145.7879829009362</v>
      </c>
      <c r="M59" s="46">
        <f>'Feb2026-EXPENSE'!R64</f>
        <v>4887.7662155753778</v>
      </c>
      <c r="N59" s="46">
        <f>'Mar2026-EXPENSE'!R64</f>
        <v>4938.9786148195508</v>
      </c>
      <c r="O59" s="122">
        <f t="shared" si="0"/>
        <v>64407.984466679591</v>
      </c>
    </row>
    <row r="60" spans="1:15">
      <c r="A60" s="46">
        <f ca="1">IFERROR(__xludf.DUMMYFUNCTION("""COMPUTED_VALUE"""),6982.28310947138)</f>
        <v>6982.2831094713802</v>
      </c>
      <c r="B60" s="161" t="s">
        <v>152</v>
      </c>
      <c r="C60" s="46">
        <f>'Apr2025-EXPENSE'!R65</f>
        <v>5470.8304828903083</v>
      </c>
      <c r="D60" s="46">
        <f>'May2025-EXPENSE'!R65</f>
        <v>4212.2071024441493</v>
      </c>
      <c r="E60" s="46">
        <f>'June2025-EXPENSE'!R65</f>
        <v>4410.3982673169003</v>
      </c>
      <c r="F60" s="46">
        <f>'July2025-EXPENSE'!R65</f>
        <v>5218.6984599151738</v>
      </c>
      <c r="G60" s="46">
        <f>'Aug2025-EXPENSE'!R65</f>
        <v>5695.2247197937822</v>
      </c>
      <c r="H60" s="46">
        <f>'Sep2025-EXPENSE'!R65</f>
        <v>4826.8209004683395</v>
      </c>
      <c r="I60" s="46">
        <f>'Oct2025-EXPENSE'!R65</f>
        <v>6263.6156670149858</v>
      </c>
      <c r="J60" s="46">
        <f>'Nov2025-EXPENSE'!R65</f>
        <v>6898.6071929380769</v>
      </c>
      <c r="K60" s="46">
        <f>'Dec2025-EXPENSE'!R65</f>
        <v>4994.4784995984328</v>
      </c>
      <c r="L60" s="46">
        <f>'Jan2026-EXPENSE'!R65</f>
        <v>4964.7023143951001</v>
      </c>
      <c r="M60" s="46">
        <f>'Feb2026-EXPENSE'!R65</f>
        <v>4604.3412142335828</v>
      </c>
      <c r="N60" s="46">
        <f>'Mar2026-EXPENSE'!R65</f>
        <v>4805.6262381672741</v>
      </c>
      <c r="O60" s="122">
        <f t="shared" si="0"/>
        <v>62365.551059176098</v>
      </c>
    </row>
    <row r="61" spans="1:15">
      <c r="A61" s="46">
        <f ca="1">IFERROR(__xludf.DUMMYFUNCTION("""COMPUTED_VALUE"""),5286.88031379142)</f>
        <v>5286.8803137914201</v>
      </c>
      <c r="B61" s="161" t="s">
        <v>154</v>
      </c>
      <c r="C61" s="46">
        <f>'Apr2025-EXPENSE'!R66</f>
        <v>5694.202028619442</v>
      </c>
      <c r="D61" s="46">
        <f>'May2025-EXPENSE'!R66</f>
        <v>4543.6113733886759</v>
      </c>
      <c r="E61" s="46">
        <f>'June2025-EXPENSE'!R66</f>
        <v>4891.4016491574712</v>
      </c>
      <c r="F61" s="46">
        <f>'July2025-EXPENSE'!R66</f>
        <v>5534.9451584413582</v>
      </c>
      <c r="G61" s="46">
        <f>'Aug2025-EXPENSE'!R66</f>
        <v>6092.1415184490852</v>
      </c>
      <c r="H61" s="46">
        <f>'Sep2025-EXPENSE'!R66</f>
        <v>5042.0688181882042</v>
      </c>
      <c r="I61" s="46">
        <f>'Oct2025-EXPENSE'!R66</f>
        <v>6302.636070850026</v>
      </c>
      <c r="J61" s="46">
        <f>'Nov2025-EXPENSE'!R66</f>
        <v>7071.9075907562765</v>
      </c>
      <c r="K61" s="46">
        <f>'Dec2025-EXPENSE'!R66</f>
        <v>5485.1453090456926</v>
      </c>
      <c r="L61" s="46">
        <f>'Jan2026-EXPENSE'!R66</f>
        <v>5204.7347371560591</v>
      </c>
      <c r="M61" s="46">
        <f>'Feb2026-EXPENSE'!R66</f>
        <v>4990.8881636824244</v>
      </c>
      <c r="N61" s="46">
        <f>'Mar2026-EXPENSE'!R66</f>
        <v>5788.2584672491867</v>
      </c>
      <c r="O61" s="122">
        <f t="shared" si="0"/>
        <v>66641.940884983895</v>
      </c>
    </row>
    <row r="62" spans="1:15">
      <c r="A62" s="46">
        <f ca="1">IFERROR(__xludf.DUMMYFUNCTION("""COMPUTED_VALUE"""),5176.15593724839)</f>
        <v>5176.1559372483898</v>
      </c>
      <c r="B62" s="161" t="s">
        <v>156</v>
      </c>
      <c r="C62" s="46">
        <f>'Apr2025-EXPENSE'!R67</f>
        <v>6372.3337534446046</v>
      </c>
      <c r="D62" s="46">
        <f>'May2025-EXPENSE'!R67</f>
        <v>4561.1556129590908</v>
      </c>
      <c r="E62" s="46">
        <f>'June2025-EXPENSE'!R67</f>
        <v>4851.7716131016623</v>
      </c>
      <c r="F62" s="46">
        <f>'July2025-EXPENSE'!R67</f>
        <v>5513.3927955934787</v>
      </c>
      <c r="G62" s="46">
        <f>'Aug2025-EXPENSE'!R67</f>
        <v>6276.2993233108773</v>
      </c>
      <c r="H62" s="46">
        <f>'Sep2025-EXPENSE'!R67</f>
        <v>5236.5867354142338</v>
      </c>
      <c r="I62" s="46">
        <f>'Oct2025-EXPENSE'!R67</f>
        <v>6525.621167227192</v>
      </c>
      <c r="J62" s="46">
        <f>'Nov2025-EXPENSE'!R67</f>
        <v>6963.3510877629051</v>
      </c>
      <c r="K62" s="46">
        <f>'Dec2025-EXPENSE'!R67</f>
        <v>5511.1782009059107</v>
      </c>
      <c r="L62" s="46">
        <f>'Jan2026-EXPENSE'!R67</f>
        <v>5164.6130713116627</v>
      </c>
      <c r="M62" s="46">
        <f>'Feb2026-EXPENSE'!R67</f>
        <v>4936.4879714863027</v>
      </c>
      <c r="N62" s="46">
        <f>'Mar2026-EXPENSE'!R67</f>
        <v>5178.1105283045245</v>
      </c>
      <c r="O62" s="122">
        <f t="shared" si="0"/>
        <v>67090.901860822443</v>
      </c>
    </row>
    <row r="63" spans="1:15">
      <c r="A63" s="46">
        <f ca="1">IFERROR(__xludf.DUMMYFUNCTION("""COMPUTED_VALUE"""),4924.66829336369)</f>
        <v>4924.6682933636903</v>
      </c>
      <c r="B63" s="161" t="s">
        <v>158</v>
      </c>
      <c r="C63" s="46">
        <f>'Apr2025-EXPENSE'!R68</f>
        <v>6270.6371426595524</v>
      </c>
      <c r="D63" s="46">
        <f>'May2025-EXPENSE'!R68</f>
        <v>5213.694407175054</v>
      </c>
      <c r="E63" s="46">
        <f>'June2025-EXPENSE'!R68</f>
        <v>5151.5887213213418</v>
      </c>
      <c r="F63" s="46">
        <f>'July2025-EXPENSE'!R68</f>
        <v>6160.9556307843577</v>
      </c>
      <c r="G63" s="46">
        <f>'Aug2025-EXPENSE'!R68</f>
        <v>7579.2858300781791</v>
      </c>
      <c r="H63" s="46">
        <f>'Sep2025-EXPENSE'!R68</f>
        <v>5511.480701078809</v>
      </c>
      <c r="I63" s="46">
        <f>'Oct2025-EXPENSE'!R68</f>
        <v>7138.0465200838971</v>
      </c>
      <c r="J63" s="46">
        <f>'Nov2025-EXPENSE'!R68</f>
        <v>7376.3693618634643</v>
      </c>
      <c r="K63" s="46">
        <f>'Dec2025-EXPENSE'!R68</f>
        <v>5804.0953953693479</v>
      </c>
      <c r="L63" s="46">
        <f>'Jan2026-EXPENSE'!R68</f>
        <v>11613.994558006725</v>
      </c>
      <c r="M63" s="46">
        <f>'Feb2026-EXPENSE'!R68</f>
        <v>5352.8967153875265</v>
      </c>
      <c r="N63" s="46">
        <f>'Mar2026-EXPENSE'!R68</f>
        <v>5419.781303106528</v>
      </c>
      <c r="O63" s="122">
        <f t="shared" si="0"/>
        <v>78592.826286914787</v>
      </c>
    </row>
    <row r="64" spans="1:15">
      <c r="A64" s="46">
        <f ca="1">IFERROR(__xludf.DUMMYFUNCTION("""COMPUTED_VALUE"""),5011.40900007818)</f>
        <v>5011.4090000781798</v>
      </c>
      <c r="B64" s="161" t="s">
        <v>160</v>
      </c>
      <c r="C64" s="46">
        <f>'Apr2025-EXPENSE'!R69</f>
        <v>5663.8842918312803</v>
      </c>
      <c r="D64" s="46">
        <f>'May2025-EXPENSE'!R69</f>
        <v>4136.1982639728776</v>
      </c>
      <c r="E64" s="46">
        <f>'June2025-EXPENSE'!R69</f>
        <v>4961.749053751555</v>
      </c>
      <c r="F64" s="46">
        <f>'July2025-EXPENSE'!R69</f>
        <v>5875.2339315218014</v>
      </c>
      <c r="G64" s="46">
        <f>'Aug2025-EXPENSE'!R69</f>
        <v>6217.0125788721234</v>
      </c>
      <c r="H64" s="46">
        <f>'Sep2025-EXPENSE'!R69</f>
        <v>5153.9592976179702</v>
      </c>
      <c r="I64" s="46">
        <f>'Oct2025-EXPENSE'!R69</f>
        <v>6593.1788199403036</v>
      </c>
      <c r="J64" s="46">
        <f>'Nov2025-EXPENSE'!R69</f>
        <v>7142.980373405313</v>
      </c>
      <c r="K64" s="46">
        <f>'Dec2025-EXPENSE'!R69</f>
        <v>5476.3699652283467</v>
      </c>
      <c r="L64" s="46">
        <f>'Jan2026-EXPENSE'!R69</f>
        <v>5369.9274278910461</v>
      </c>
      <c r="M64" s="46">
        <f>'Feb2026-EXPENSE'!R69</f>
        <v>5365.5977219380402</v>
      </c>
      <c r="N64" s="46">
        <f>'Mar2026-EXPENSE'!R69</f>
        <v>5231.1154134226317</v>
      </c>
      <c r="O64" s="122">
        <f t="shared" si="0"/>
        <v>67187.2071393933</v>
      </c>
    </row>
    <row r="65" spans="1:15">
      <c r="A65" s="46">
        <f ca="1">IFERROR(__xludf.DUMMYFUNCTION("""COMPUTED_VALUE"""),65695.2218819063)</f>
        <v>65695.221881906298</v>
      </c>
      <c r="B65" s="184"/>
      <c r="O65" s="184">
        <f t="shared" si="0"/>
        <v>0</v>
      </c>
    </row>
    <row r="66" spans="1:15">
      <c r="A66" s="40"/>
      <c r="B66" s="184"/>
      <c r="O66" s="184">
        <f t="shared" si="0"/>
        <v>0</v>
      </c>
    </row>
    <row r="67" spans="1:15">
      <c r="A67" s="40"/>
      <c r="B67" s="184"/>
      <c r="O67" s="184">
        <f t="shared" si="0"/>
        <v>0</v>
      </c>
    </row>
    <row r="68" spans="1:15">
      <c r="A68" s="40"/>
      <c r="B68" s="184"/>
      <c r="O68" s="184">
        <f t="shared" si="0"/>
        <v>0</v>
      </c>
    </row>
    <row r="69" spans="1:15">
      <c r="A69" s="40" t="str">
        <f ca="1">IFERROR(__xludf.DUMMYFUNCTION("""COMPUTED_VALUE"""),"F5")</f>
        <v>F5</v>
      </c>
      <c r="B69" s="184"/>
      <c r="O69" s="184">
        <f t="shared" si="0"/>
        <v>0</v>
      </c>
    </row>
    <row r="70" spans="1:15">
      <c r="A70" s="46">
        <f ca="1">IFERROR(__xludf.DUMMYFUNCTION("""COMPUTED_VALUE"""),5400.92370795005)</f>
        <v>5400.9237079500499</v>
      </c>
      <c r="B70" s="184"/>
      <c r="O70" s="184">
        <f t="shared" si="0"/>
        <v>0</v>
      </c>
    </row>
    <row r="71" spans="1:15">
      <c r="A71" s="46">
        <f ca="1">IFERROR(__xludf.DUMMYFUNCTION("""COMPUTED_VALUE"""),4039.04885981426)</f>
        <v>4039.0488598142601</v>
      </c>
      <c r="B71" s="184"/>
      <c r="O71" s="184">
        <f t="shared" si="0"/>
        <v>0</v>
      </c>
    </row>
    <row r="72" spans="1:15">
      <c r="A72" s="46">
        <f ca="1">IFERROR(__xludf.DUMMYFUNCTION("""COMPUTED_VALUE"""),4272.86364851562)</f>
        <v>4272.8636485156203</v>
      </c>
      <c r="B72" s="184"/>
      <c r="O72" s="184">
        <f t="shared" si="0"/>
        <v>0</v>
      </c>
    </row>
    <row r="73" spans="1:15">
      <c r="A73" s="46">
        <f ca="1">IFERROR(__xludf.DUMMYFUNCTION("""COMPUTED_VALUE"""),5172.39244182987)</f>
        <v>5172.3924418298702</v>
      </c>
      <c r="B73" s="184"/>
      <c r="O73" s="184">
        <f t="shared" si="0"/>
        <v>0</v>
      </c>
    </row>
    <row r="74" spans="1:15">
      <c r="A74" s="46">
        <f ca="1">IFERROR(__xludf.DUMMYFUNCTION("""COMPUTED_VALUE"""),7049.57617817068)</f>
        <v>7049.5761781706797</v>
      </c>
      <c r="B74" s="184"/>
      <c r="O74" s="184">
        <f t="shared" si="0"/>
        <v>0</v>
      </c>
    </row>
    <row r="75" spans="1:15">
      <c r="A75" s="46">
        <f ca="1">IFERROR(__xludf.DUMMYFUNCTION("""COMPUTED_VALUE"""),5209.98613138248)</f>
        <v>5209.9861313824804</v>
      </c>
      <c r="B75" s="184"/>
      <c r="O75" s="184">
        <f t="shared" si="0"/>
        <v>0</v>
      </c>
    </row>
    <row r="76" spans="1:15">
      <c r="A76" s="46">
        <f ca="1">IFERROR(__xludf.DUMMYFUNCTION("""COMPUTED_VALUE"""),6530.43271586085)</f>
        <v>6530.4327158608503</v>
      </c>
      <c r="B76" s="184"/>
      <c r="O76" s="184">
        <f t="shared" si="0"/>
        <v>0</v>
      </c>
    </row>
    <row r="77" spans="1:15">
      <c r="A77" s="46">
        <f ca="1">IFERROR(__xludf.DUMMYFUNCTION("""COMPUTED_VALUE"""),6987.98957675866)</f>
        <v>6987.9895767586604</v>
      </c>
      <c r="B77" s="184"/>
      <c r="O77" s="184">
        <f t="shared" si="0"/>
        <v>0</v>
      </c>
    </row>
    <row r="78" spans="1:15">
      <c r="A78" s="46">
        <f ca="1">IFERROR(__xludf.DUMMYFUNCTION("""COMPUTED_VALUE"""),5357.47699352615)</f>
        <v>5357.4769935261502</v>
      </c>
      <c r="B78" s="184"/>
      <c r="O78" s="184">
        <f t="shared" si="0"/>
        <v>0</v>
      </c>
    </row>
    <row r="79" spans="1:15">
      <c r="A79" s="46">
        <f ca="1">IFERROR(__xludf.DUMMYFUNCTION("""COMPUTED_VALUE"""),5143.8208706995)</f>
        <v>5143.8208706995001</v>
      </c>
      <c r="B79" s="184"/>
      <c r="O79" s="184">
        <f t="shared" si="0"/>
        <v>0</v>
      </c>
    </row>
    <row r="80" spans="1:15">
      <c r="A80" s="46">
        <f ca="1">IFERROR(__xludf.DUMMYFUNCTION("""COMPUTED_VALUE"""),4698.8491844943)</f>
        <v>4698.8491844943001</v>
      </c>
      <c r="B80" s="184"/>
      <c r="O80" s="184">
        <f t="shared" si="0"/>
        <v>0</v>
      </c>
    </row>
    <row r="81" spans="1:15">
      <c r="A81" s="46">
        <f ca="1">IFERROR(__xludf.DUMMYFUNCTION("""COMPUTED_VALUE"""),5020.49384870683)</f>
        <v>5020.4938487068302</v>
      </c>
      <c r="B81" s="184"/>
      <c r="O81" s="184">
        <f t="shared" si="0"/>
        <v>0</v>
      </c>
    </row>
    <row r="82" spans="1:15">
      <c r="A82" s="46">
        <f ca="1">IFERROR(__xludf.DUMMYFUNCTION("""COMPUTED_VALUE"""),64883.8541577092)</f>
        <v>64883.854157709196</v>
      </c>
      <c r="B82" s="184"/>
      <c r="O82" s="184">
        <f t="shared" si="0"/>
        <v>0</v>
      </c>
    </row>
    <row r="83" spans="1:15">
      <c r="A83" s="40"/>
      <c r="B83" s="184"/>
      <c r="O83" s="184">
        <f t="shared" si="0"/>
        <v>0</v>
      </c>
    </row>
    <row r="84" spans="1:15">
      <c r="A84" s="40"/>
      <c r="B84" s="184"/>
      <c r="O84" s="184">
        <f t="shared" si="0"/>
        <v>0</v>
      </c>
    </row>
    <row r="85" spans="1:15">
      <c r="A85" s="40"/>
      <c r="B85" s="184"/>
      <c r="O85" s="184">
        <f t="shared" si="0"/>
        <v>0</v>
      </c>
    </row>
    <row r="86" spans="1:15">
      <c r="A86" s="40" t="str">
        <f ca="1">IFERROR(__xludf.DUMMYFUNCTION("""COMPUTED_VALUE"""),"F6")</f>
        <v>F6</v>
      </c>
      <c r="B86" s="184"/>
      <c r="O86" s="184">
        <f t="shared" si="0"/>
        <v>0</v>
      </c>
    </row>
    <row r="87" spans="1:15">
      <c r="A87" s="46">
        <f ca="1">IFERROR(__xludf.DUMMYFUNCTION("""COMPUTED_VALUE"""),5895.41511891449)</f>
        <v>5895.4151189144904</v>
      </c>
      <c r="B87" s="184"/>
      <c r="O87" s="184">
        <f t="shared" si="0"/>
        <v>0</v>
      </c>
    </row>
    <row r="88" spans="1:15">
      <c r="A88" s="46">
        <f ca="1">IFERROR(__xludf.DUMMYFUNCTION("""COMPUTED_VALUE"""),4348.47870287474)</f>
        <v>4348.4787028747396</v>
      </c>
      <c r="B88" s="184"/>
      <c r="O88" s="184">
        <f t="shared" si="0"/>
        <v>0</v>
      </c>
    </row>
    <row r="89" spans="1:15">
      <c r="A89" s="46">
        <f ca="1">IFERROR(__xludf.DUMMYFUNCTION("""COMPUTED_VALUE"""),4628.27985795284)</f>
        <v>4628.2798579528398</v>
      </c>
      <c r="B89" s="184"/>
      <c r="O89" s="184">
        <f t="shared" si="0"/>
        <v>0</v>
      </c>
    </row>
    <row r="90" spans="1:15">
      <c r="A90" s="46">
        <f ca="1">IFERROR(__xludf.DUMMYFUNCTION("""COMPUTED_VALUE"""),5465.19797390964)</f>
        <v>5465.1979739096396</v>
      </c>
      <c r="B90" s="184"/>
      <c r="O90" s="184">
        <f t="shared" si="0"/>
        <v>0</v>
      </c>
    </row>
    <row r="91" spans="1:15">
      <c r="A91" s="46">
        <f ca="1">IFERROR(__xludf.DUMMYFUNCTION("""COMPUTED_VALUE"""),6089.55634396898)</f>
        <v>6089.5563439689804</v>
      </c>
      <c r="B91" s="184"/>
      <c r="O91" s="184">
        <f t="shared" si="0"/>
        <v>0</v>
      </c>
    </row>
    <row r="92" spans="1:15">
      <c r="A92" s="46">
        <f ca="1">IFERROR(__xludf.DUMMYFUNCTION("""COMPUTED_VALUE"""),5134.85028610194)</f>
        <v>5134.8502861019397</v>
      </c>
      <c r="B92" s="184"/>
      <c r="O92" s="184">
        <f t="shared" si="0"/>
        <v>0</v>
      </c>
    </row>
    <row r="93" spans="1:15">
      <c r="A93" s="46">
        <f ca="1">IFERROR(__xludf.DUMMYFUNCTION("""COMPUTED_VALUE"""),6606.88626689415)</f>
        <v>6606.8862668941501</v>
      </c>
      <c r="B93" s="184"/>
      <c r="O93" s="184">
        <f t="shared" si="0"/>
        <v>0</v>
      </c>
    </row>
    <row r="94" spans="1:15">
      <c r="A94" s="46">
        <f ca="1">IFERROR(__xludf.DUMMYFUNCTION("""COMPUTED_VALUE"""),6993.2188819876)</f>
        <v>6993.2188819876001</v>
      </c>
      <c r="B94" s="184"/>
      <c r="O94" s="184">
        <f t="shared" si="0"/>
        <v>0</v>
      </c>
    </row>
    <row r="95" spans="1:15">
      <c r="A95" s="46">
        <f ca="1">IFERROR(__xludf.DUMMYFUNCTION("""COMPUTED_VALUE"""),5157.93865030045)</f>
        <v>5157.9386503004498</v>
      </c>
      <c r="B95" s="184"/>
      <c r="O95" s="184">
        <f t="shared" si="0"/>
        <v>0</v>
      </c>
    </row>
    <row r="96" spans="1:15">
      <c r="A96" s="46">
        <f ca="1">IFERROR(__xludf.DUMMYFUNCTION("""COMPUTED_VALUE"""),5083.58269894607)</f>
        <v>5083.5826989460702</v>
      </c>
      <c r="B96" s="184"/>
      <c r="O96" s="184">
        <f t="shared" si="0"/>
        <v>0</v>
      </c>
    </row>
    <row r="97" spans="1:15">
      <c r="A97" s="46">
        <f ca="1">IFERROR(__xludf.DUMMYFUNCTION("""COMPUTED_VALUE"""),4867.34141614174)</f>
        <v>4867.3414161417404</v>
      </c>
      <c r="B97" s="184"/>
      <c r="O97" s="184">
        <f t="shared" si="0"/>
        <v>0</v>
      </c>
    </row>
    <row r="98" spans="1:15">
      <c r="A98" s="46">
        <f ca="1">IFERROR(__xludf.DUMMYFUNCTION("""COMPUTED_VALUE"""),4863.08054571994)</f>
        <v>4863.0805457199403</v>
      </c>
      <c r="B98" s="184"/>
      <c r="O98" s="184">
        <f t="shared" si="0"/>
        <v>0</v>
      </c>
    </row>
    <row r="99" spans="1:15">
      <c r="A99" s="46">
        <f ca="1">IFERROR(__xludf.DUMMYFUNCTION("""COMPUTED_VALUE"""),65133.8267437126)</f>
        <v>65133.826743712598</v>
      </c>
      <c r="B99" s="184"/>
      <c r="O99" s="184">
        <f t="shared" si="0"/>
        <v>0</v>
      </c>
    </row>
    <row r="100" spans="1:15">
      <c r="A100" s="40"/>
      <c r="B100" s="184"/>
      <c r="O100" s="184">
        <f t="shared" si="0"/>
        <v>0</v>
      </c>
    </row>
    <row r="101" spans="1:15">
      <c r="A101" s="40"/>
      <c r="B101" s="184"/>
      <c r="O101" s="184">
        <f t="shared" si="0"/>
        <v>0</v>
      </c>
    </row>
    <row r="102" spans="1:15">
      <c r="A102" s="40"/>
      <c r="B102" s="184"/>
      <c r="O102" s="184">
        <f t="shared" si="0"/>
        <v>0</v>
      </c>
    </row>
    <row r="103" spans="1:15">
      <c r="A103" s="40" t="str">
        <f ca="1">IFERROR(__xludf.DUMMYFUNCTION("""COMPUTED_VALUE"""),"F7")</f>
        <v>F7</v>
      </c>
      <c r="B103" s="184"/>
      <c r="O103" s="184">
        <f t="shared" si="0"/>
        <v>0</v>
      </c>
    </row>
    <row r="104" spans="1:15">
      <c r="A104" s="46">
        <f ca="1">IFERROR(__xludf.DUMMYFUNCTION("""COMPUTED_VALUE"""),6181.01602828857)</f>
        <v>6181.0160282885699</v>
      </c>
      <c r="B104" s="184"/>
      <c r="O104" s="184">
        <f t="shared" si="0"/>
        <v>0</v>
      </c>
    </row>
    <row r="105" spans="1:15">
      <c r="A105" s="46">
        <f ca="1">IFERROR(__xludf.DUMMYFUNCTION("""COMPUTED_VALUE"""),4817.23628073072)</f>
        <v>4817.23628073072</v>
      </c>
      <c r="B105" s="184"/>
      <c r="O105" s="184">
        <f t="shared" si="0"/>
        <v>0</v>
      </c>
    </row>
    <row r="106" spans="1:15">
      <c r="A106" s="46">
        <f ca="1">IFERROR(__xludf.DUMMYFUNCTION("""COMPUTED_VALUE"""),5050.9140221374)</f>
        <v>5050.9140221374</v>
      </c>
      <c r="B106" s="184"/>
      <c r="O106" s="184">
        <f t="shared" si="0"/>
        <v>0</v>
      </c>
    </row>
    <row r="107" spans="1:15">
      <c r="A107" s="46">
        <f ca="1">IFERROR(__xludf.DUMMYFUNCTION("""COMPUTED_VALUE"""),5938.62434690359)</f>
        <v>5938.6243469035899</v>
      </c>
      <c r="B107" s="184"/>
      <c r="O107" s="184">
        <f t="shared" si="0"/>
        <v>0</v>
      </c>
    </row>
    <row r="108" spans="1:15">
      <c r="A108" s="46">
        <f ca="1">IFERROR(__xludf.DUMMYFUNCTION("""COMPUTED_VALUE"""),6331.91052351562)</f>
        <v>6331.9105235156203</v>
      </c>
      <c r="B108" s="184"/>
      <c r="O108" s="184">
        <f t="shared" si="0"/>
        <v>0</v>
      </c>
    </row>
    <row r="109" spans="1:15">
      <c r="A109" s="46">
        <f ca="1">IFERROR(__xludf.DUMMYFUNCTION("""COMPUTED_VALUE"""),5504.83705708734)</f>
        <v>5504.8370570873403</v>
      </c>
      <c r="B109" s="184"/>
      <c r="O109" s="184">
        <f t="shared" si="0"/>
        <v>0</v>
      </c>
    </row>
    <row r="110" spans="1:15">
      <c r="A110" s="46">
        <f ca="1">IFERROR(__xludf.DUMMYFUNCTION("""COMPUTED_VALUE"""),6883.18240239598)</f>
        <v>6883.1824023959798</v>
      </c>
      <c r="B110" s="184"/>
      <c r="O110" s="184">
        <f t="shared" si="0"/>
        <v>0</v>
      </c>
    </row>
    <row r="111" spans="1:15">
      <c r="A111" s="46">
        <f ca="1">IFERROR(__xludf.DUMMYFUNCTION("""COMPUTED_VALUE"""),7220.67571503646)</f>
        <v>7220.6757150364601</v>
      </c>
      <c r="B111" s="184"/>
      <c r="O111" s="184">
        <f t="shared" si="0"/>
        <v>0</v>
      </c>
    </row>
    <row r="112" spans="1:15">
      <c r="A112" s="46">
        <f ca="1">IFERROR(__xludf.DUMMYFUNCTION("""COMPUTED_VALUE"""),5568.99228472185)</f>
        <v>5568.9922847218504</v>
      </c>
      <c r="B112" s="184"/>
      <c r="O112" s="184">
        <f t="shared" si="0"/>
        <v>0</v>
      </c>
    </row>
    <row r="113" spans="1:15">
      <c r="A113" s="46">
        <f ca="1">IFERROR(__xludf.DUMMYFUNCTION("""COMPUTED_VALUE"""),5486.73999097578)</f>
        <v>5486.7399909757796</v>
      </c>
      <c r="B113" s="184"/>
      <c r="O113" s="184">
        <f t="shared" si="0"/>
        <v>0</v>
      </c>
    </row>
    <row r="114" spans="1:15">
      <c r="A114" s="46">
        <f ca="1">IFERROR(__xludf.DUMMYFUNCTION("""COMPUTED_VALUE"""),5213.09853340437)</f>
        <v>5213.0985334043698</v>
      </c>
      <c r="B114" s="184"/>
      <c r="O114" s="184">
        <f t="shared" si="0"/>
        <v>0</v>
      </c>
    </row>
    <row r="115" spans="1:15">
      <c r="A115" s="46">
        <f ca="1">IFERROR(__xludf.DUMMYFUNCTION("""COMPUTED_VALUE"""),5384.1479083892)</f>
        <v>5384.1479083892</v>
      </c>
      <c r="B115" s="184"/>
      <c r="O115" s="184">
        <f t="shared" si="0"/>
        <v>0</v>
      </c>
    </row>
    <row r="116" spans="1:15">
      <c r="A116" s="46">
        <f ca="1">IFERROR(__xludf.DUMMYFUNCTION("""COMPUTED_VALUE"""),69581.3750935869)</f>
        <v>69581.375093586903</v>
      </c>
      <c r="B116" s="184"/>
      <c r="O116" s="184">
        <f t="shared" si="0"/>
        <v>0</v>
      </c>
    </row>
    <row r="117" spans="1:15">
      <c r="A117" s="40"/>
      <c r="B117" s="184"/>
      <c r="O117" s="184">
        <f t="shared" si="0"/>
        <v>0</v>
      </c>
    </row>
    <row r="118" spans="1:15">
      <c r="A118" s="40"/>
      <c r="B118" s="184"/>
      <c r="O118" s="184">
        <f t="shared" si="0"/>
        <v>0</v>
      </c>
    </row>
    <row r="119" spans="1:15">
      <c r="A119" s="40"/>
      <c r="B119" s="184"/>
      <c r="O119" s="184">
        <f t="shared" si="0"/>
        <v>0</v>
      </c>
    </row>
    <row r="120" spans="1:15">
      <c r="A120" s="40" t="str">
        <f ca="1">IFERROR(__xludf.DUMMYFUNCTION("""COMPUTED_VALUE"""),"F8")</f>
        <v>F8</v>
      </c>
      <c r="B120" s="184"/>
      <c r="O120" s="184">
        <f t="shared" si="0"/>
        <v>0</v>
      </c>
    </row>
    <row r="121" spans="1:15">
      <c r="A121" s="46">
        <f ca="1">IFERROR(__xludf.DUMMYFUNCTION("""COMPUTED_VALUE"""),5360.13189593561)</f>
        <v>5360.1318959356104</v>
      </c>
      <c r="B121" s="184"/>
      <c r="O121" s="184">
        <f t="shared" si="0"/>
        <v>0</v>
      </c>
    </row>
    <row r="122" spans="1:15">
      <c r="A122" s="46">
        <f ca="1">IFERROR(__xludf.DUMMYFUNCTION("""COMPUTED_VALUE"""),4061.25860353636)</f>
        <v>4061.2586035363602</v>
      </c>
      <c r="B122" s="184"/>
      <c r="O122" s="184">
        <f t="shared" si="0"/>
        <v>0</v>
      </c>
    </row>
    <row r="123" spans="1:15">
      <c r="A123" s="46">
        <f ca="1">IFERROR(__xludf.DUMMYFUNCTION("""COMPUTED_VALUE"""),4291.29913997196)</f>
        <v>4291.2991399719604</v>
      </c>
      <c r="B123" s="184"/>
      <c r="O123" s="184">
        <f t="shared" si="0"/>
        <v>0</v>
      </c>
    </row>
    <row r="124" spans="1:15">
      <c r="A124" s="46">
        <f ca="1">IFERROR(__xludf.DUMMYFUNCTION("""COMPUTED_VALUE"""),5121.26194084766)</f>
        <v>5121.2619408476603</v>
      </c>
      <c r="B124" s="184"/>
      <c r="O124" s="184">
        <f t="shared" si="0"/>
        <v>0</v>
      </c>
    </row>
    <row r="125" spans="1:15">
      <c r="A125" s="46">
        <f ca="1">IFERROR(__xludf.DUMMYFUNCTION("""COMPUTED_VALUE"""),5608.37125616299)</f>
        <v>5608.37125616299</v>
      </c>
      <c r="B125" s="184"/>
      <c r="O125" s="184">
        <f t="shared" si="0"/>
        <v>0</v>
      </c>
    </row>
    <row r="126" spans="1:15">
      <c r="A126" s="46">
        <f ca="1">IFERROR(__xludf.DUMMYFUNCTION("""COMPUTED_VALUE"""),4769.09986568281)</f>
        <v>4769.0998656828097</v>
      </c>
      <c r="B126" s="184"/>
      <c r="O126" s="184">
        <f t="shared" si="0"/>
        <v>0</v>
      </c>
    </row>
    <row r="127" spans="1:15">
      <c r="A127" s="46">
        <f ca="1">IFERROR(__xludf.DUMMYFUNCTION("""COMPUTED_VALUE"""),6140.62055190582)</f>
        <v>6140.6205519058203</v>
      </c>
      <c r="B127" s="184"/>
      <c r="O127" s="184">
        <f t="shared" si="0"/>
        <v>0</v>
      </c>
    </row>
    <row r="128" spans="1:15">
      <c r="A128" s="46">
        <f ca="1">IFERROR(__xludf.DUMMYFUNCTION("""COMPUTED_VALUE"""),7447.39372501964)</f>
        <v>7447.3937250196404</v>
      </c>
      <c r="B128" s="184"/>
      <c r="O128" s="184">
        <f t="shared" si="0"/>
        <v>0</v>
      </c>
    </row>
    <row r="129" spans="1:15">
      <c r="A129" s="46">
        <f ca="1">IFERROR(__xludf.DUMMYFUNCTION("""COMPUTED_VALUE"""),6953.68941725976)</f>
        <v>6953.6894172597604</v>
      </c>
      <c r="B129" s="184"/>
      <c r="O129" s="184">
        <f t="shared" si="0"/>
        <v>0</v>
      </c>
    </row>
    <row r="130" spans="1:15">
      <c r="A130" s="46">
        <f ca="1">IFERROR(__xludf.DUMMYFUNCTION("""COMPUTED_VALUE"""),6136.35887996022)</f>
        <v>6136.3588799602203</v>
      </c>
      <c r="B130" s="184"/>
      <c r="O130" s="184">
        <f t="shared" si="0"/>
        <v>0</v>
      </c>
    </row>
    <row r="131" spans="1:15">
      <c r="A131" s="46">
        <f ca="1">IFERROR(__xludf.DUMMYFUNCTION("""COMPUTED_VALUE"""),6094.90648040732)</f>
        <v>6094.9064804073196</v>
      </c>
      <c r="B131" s="184"/>
      <c r="O131" s="184">
        <f t="shared" si="0"/>
        <v>0</v>
      </c>
    </row>
    <row r="132" spans="1:15">
      <c r="A132" s="46">
        <f ca="1">IFERROR(__xludf.DUMMYFUNCTION("""COMPUTED_VALUE"""),6070.10753041003)</f>
        <v>6070.1075304100304</v>
      </c>
      <c r="B132" s="184"/>
      <c r="O132" s="184">
        <f t="shared" si="0"/>
        <v>0</v>
      </c>
    </row>
    <row r="133" spans="1:15">
      <c r="A133" s="46">
        <f ca="1">IFERROR(__xludf.DUMMYFUNCTION("""COMPUTED_VALUE"""),68054.4992871002)</f>
        <v>68054.499287100203</v>
      </c>
      <c r="B133" s="184"/>
      <c r="O133" s="184">
        <f t="shared" si="0"/>
        <v>0</v>
      </c>
    </row>
    <row r="134" spans="1:15">
      <c r="A134" s="40"/>
      <c r="B134" s="184"/>
      <c r="O134" s="184">
        <f t="shared" si="0"/>
        <v>0</v>
      </c>
    </row>
    <row r="135" spans="1:15">
      <c r="A135" s="40"/>
      <c r="B135" s="184"/>
      <c r="O135" s="184">
        <f t="shared" si="0"/>
        <v>0</v>
      </c>
    </row>
    <row r="136" spans="1:15">
      <c r="A136" s="40"/>
      <c r="B136" s="184"/>
      <c r="O136" s="184">
        <f t="shared" si="0"/>
        <v>0</v>
      </c>
    </row>
    <row r="137" spans="1:15">
      <c r="A137" s="40" t="str">
        <f ca="1">IFERROR(__xludf.DUMMYFUNCTION("""COMPUTED_VALUE"""),"F9")</f>
        <v>F9</v>
      </c>
      <c r="B137" s="184"/>
      <c r="O137" s="184">
        <f t="shared" si="0"/>
        <v>0</v>
      </c>
    </row>
    <row r="138" spans="1:15">
      <c r="A138" s="46">
        <f ca="1">IFERROR(__xludf.DUMMYFUNCTION("""COMPUTED_VALUE"""),5560.86990158107)</f>
        <v>5560.8699015810698</v>
      </c>
      <c r="B138" s="184"/>
      <c r="O138" s="184">
        <f t="shared" si="0"/>
        <v>0</v>
      </c>
    </row>
    <row r="139" spans="1:15">
      <c r="A139" s="46">
        <f ca="1">IFERROR(__xludf.DUMMYFUNCTION("""COMPUTED_VALUE"""),4332.20571651525)</f>
        <v>4332.2057165152501</v>
      </c>
      <c r="B139" s="184"/>
      <c r="O139" s="184">
        <f t="shared" si="0"/>
        <v>0</v>
      </c>
    </row>
    <row r="140" spans="1:15">
      <c r="A140" s="46">
        <f ca="1">IFERROR(__xludf.DUMMYFUNCTION("""COMPUTED_VALUE"""),4566.83667032066)</f>
        <v>4566.8366703206602</v>
      </c>
      <c r="B140" s="184"/>
      <c r="O140" s="184">
        <f t="shared" si="0"/>
        <v>0</v>
      </c>
    </row>
    <row r="141" spans="1:15">
      <c r="A141" s="46">
        <f ca="1">IFERROR(__xludf.DUMMYFUNCTION("""COMPUTED_VALUE"""),5433.81137210706)</f>
        <v>5433.8113721070604</v>
      </c>
      <c r="B141" s="184"/>
      <c r="O141" s="184">
        <f t="shared" si="0"/>
        <v>0</v>
      </c>
    </row>
    <row r="142" spans="1:15">
      <c r="A142" s="46">
        <f ca="1">IFERROR(__xludf.DUMMYFUNCTION("""COMPUTED_VALUE"""),5943.91694380422)</f>
        <v>5943.91694380422</v>
      </c>
      <c r="B142" s="184"/>
      <c r="O142" s="184">
        <f t="shared" si="0"/>
        <v>0</v>
      </c>
    </row>
    <row r="143" spans="1:15">
      <c r="A143" s="46">
        <f ca="1">IFERROR(__xludf.DUMMYFUNCTION("""COMPUTED_VALUE"""),5031.07621156352)</f>
        <v>5031.0762115635198</v>
      </c>
      <c r="B143" s="184"/>
      <c r="O143" s="184">
        <f t="shared" si="0"/>
        <v>0</v>
      </c>
    </row>
    <row r="144" spans="1:15">
      <c r="A144" s="46">
        <f ca="1">IFERROR(__xludf.DUMMYFUNCTION("""COMPUTED_VALUE"""),6457.34958065472)</f>
        <v>6457.3495806547198</v>
      </c>
      <c r="B144" s="184"/>
      <c r="O144" s="184">
        <f t="shared" si="0"/>
        <v>0</v>
      </c>
    </row>
    <row r="145" spans="1:15">
      <c r="A145" s="46">
        <f ca="1">IFERROR(__xludf.DUMMYFUNCTION("""COMPUTED_VALUE"""),6751.75790396226)</f>
        <v>6751.7579039622597</v>
      </c>
      <c r="B145" s="184"/>
      <c r="O145" s="184">
        <f t="shared" si="0"/>
        <v>0</v>
      </c>
    </row>
    <row r="146" spans="1:15">
      <c r="A146" s="46">
        <f ca="1">IFERROR(__xludf.DUMMYFUNCTION("""COMPUTED_VALUE"""),5113.04473517409)</f>
        <v>5113.0447351740904</v>
      </c>
      <c r="B146" s="184"/>
      <c r="O146" s="184">
        <f t="shared" si="0"/>
        <v>0</v>
      </c>
    </row>
    <row r="147" spans="1:15">
      <c r="A147" s="46">
        <f ca="1">IFERROR(__xludf.DUMMYFUNCTION("""COMPUTED_VALUE"""),5018.7498458089)</f>
        <v>5018.7498458089003</v>
      </c>
      <c r="B147" s="184"/>
      <c r="O147" s="184">
        <f t="shared" si="0"/>
        <v>0</v>
      </c>
    </row>
    <row r="148" spans="1:15">
      <c r="A148" s="46">
        <f ca="1">IFERROR(__xludf.DUMMYFUNCTION("""COMPUTED_VALUE"""),4824.37412084211)</f>
        <v>4824.3741208421097</v>
      </c>
      <c r="B148" s="184"/>
      <c r="O148" s="184">
        <f t="shared" si="0"/>
        <v>0</v>
      </c>
    </row>
    <row r="149" spans="1:15">
      <c r="A149" s="46">
        <f ca="1">IFERROR(__xludf.DUMMYFUNCTION("""COMPUTED_VALUE"""),4867.26459029052)</f>
        <v>4867.2645902905197</v>
      </c>
      <c r="B149" s="184"/>
      <c r="O149" s="184">
        <f t="shared" si="0"/>
        <v>0</v>
      </c>
    </row>
    <row r="150" spans="1:15">
      <c r="A150" s="46">
        <f ca="1">IFERROR(__xludf.DUMMYFUNCTION("""COMPUTED_VALUE"""),63901.2575926244)</f>
        <v>63901.257592624403</v>
      </c>
      <c r="B150" s="184"/>
      <c r="O150" s="184">
        <f t="shared" si="0"/>
        <v>0</v>
      </c>
    </row>
    <row r="151" spans="1:15">
      <c r="A151" s="40"/>
      <c r="B151" s="184"/>
      <c r="O151" s="184">
        <f t="shared" si="0"/>
        <v>0</v>
      </c>
    </row>
    <row r="152" spans="1:15">
      <c r="A152" s="40"/>
      <c r="B152" s="184"/>
      <c r="O152" s="184">
        <f t="shared" si="0"/>
        <v>0</v>
      </c>
    </row>
    <row r="153" spans="1:15">
      <c r="A153" s="40"/>
      <c r="B153" s="184"/>
      <c r="O153" s="184">
        <f t="shared" si="0"/>
        <v>0</v>
      </c>
    </row>
    <row r="154" spans="1:15">
      <c r="A154" s="40" t="str">
        <f ca="1">IFERROR(__xludf.DUMMYFUNCTION("""COMPUTED_VALUE"""),"F10")</f>
        <v>F10</v>
      </c>
      <c r="B154" s="184"/>
      <c r="O154" s="184">
        <f t="shared" si="0"/>
        <v>0</v>
      </c>
    </row>
    <row r="155" spans="1:15">
      <c r="A155" s="46">
        <f ca="1">IFERROR(__xludf.DUMMYFUNCTION("""COMPUTED_VALUE"""),6639.14171733071)</f>
        <v>6639.14171733071</v>
      </c>
      <c r="B155" s="184"/>
      <c r="O155" s="184">
        <f t="shared" si="0"/>
        <v>0</v>
      </c>
    </row>
    <row r="156" spans="1:15">
      <c r="A156" s="46">
        <f ca="1">IFERROR(__xludf.DUMMYFUNCTION("""COMPUTED_VALUE"""),4263.09025709851)</f>
        <v>4263.0902570985099</v>
      </c>
      <c r="B156" s="184"/>
      <c r="O156" s="184">
        <f t="shared" si="0"/>
        <v>0</v>
      </c>
    </row>
    <row r="157" spans="1:15">
      <c r="A157" s="46">
        <f ca="1">IFERROR(__xludf.DUMMYFUNCTION("""COMPUTED_VALUE"""),4536.43683135515)</f>
        <v>4536.4368313551504</v>
      </c>
      <c r="B157" s="184"/>
      <c r="O157" s="184">
        <f t="shared" si="0"/>
        <v>0</v>
      </c>
    </row>
    <row r="158" spans="1:15">
      <c r="A158" s="46">
        <f ca="1">IFERROR(__xludf.DUMMYFUNCTION("""COMPUTED_VALUE"""),5398.33154273097)</f>
        <v>5398.3315427309699</v>
      </c>
      <c r="B158" s="184"/>
      <c r="O158" s="184">
        <f t="shared" si="0"/>
        <v>0</v>
      </c>
    </row>
    <row r="159" spans="1:15">
      <c r="A159" s="46">
        <f ca="1">IFERROR(__xludf.DUMMYFUNCTION("""COMPUTED_VALUE"""),5793.81874379247)</f>
        <v>5793.8187437924698</v>
      </c>
      <c r="B159" s="184"/>
      <c r="O159" s="184">
        <f t="shared" si="0"/>
        <v>0</v>
      </c>
    </row>
    <row r="160" spans="1:15">
      <c r="A160" s="46">
        <f ca="1">IFERROR(__xludf.DUMMYFUNCTION("""COMPUTED_VALUE"""),5053.96203735472)</f>
        <v>5053.9620373547205</v>
      </c>
      <c r="B160" s="184"/>
      <c r="O160" s="184">
        <f t="shared" si="0"/>
        <v>0</v>
      </c>
    </row>
    <row r="161" spans="1:15">
      <c r="A161" s="46">
        <f ca="1">IFERROR(__xludf.DUMMYFUNCTION("""COMPUTED_VALUE"""),6328.3275677506)</f>
        <v>6328.3275677505999</v>
      </c>
      <c r="B161" s="184"/>
      <c r="O161" s="184">
        <f t="shared" si="0"/>
        <v>0</v>
      </c>
    </row>
    <row r="162" spans="1:15">
      <c r="A162" s="46">
        <f ca="1">IFERROR(__xludf.DUMMYFUNCTION("""COMPUTED_VALUE"""),6735.57876047657)</f>
        <v>6735.5787604765701</v>
      </c>
      <c r="B162" s="184"/>
      <c r="O162" s="184">
        <f t="shared" si="0"/>
        <v>0</v>
      </c>
    </row>
    <row r="163" spans="1:15">
      <c r="A163" s="46">
        <f ca="1">IFERROR(__xludf.DUMMYFUNCTION("""COMPUTED_VALUE"""),5048.57220786595)</f>
        <v>5048.5722078659501</v>
      </c>
      <c r="B163" s="184"/>
      <c r="O163" s="184">
        <f t="shared" si="0"/>
        <v>0</v>
      </c>
    </row>
    <row r="164" spans="1:15">
      <c r="A164" s="46">
        <f ca="1">IFERROR(__xludf.DUMMYFUNCTION("""COMPUTED_VALUE"""),5596.4422536527)</f>
        <v>5596.4422536526999</v>
      </c>
      <c r="B164" s="184"/>
      <c r="O164" s="184">
        <f t="shared" si="0"/>
        <v>0</v>
      </c>
    </row>
    <row r="165" spans="1:15">
      <c r="A165" s="46">
        <f ca="1">IFERROR(__xludf.DUMMYFUNCTION("""COMPUTED_VALUE"""),5596.55126517066)</f>
        <v>5596.5512651706604</v>
      </c>
      <c r="B165" s="184"/>
      <c r="O165" s="184">
        <f t="shared" si="0"/>
        <v>0</v>
      </c>
    </row>
    <row r="166" spans="1:15">
      <c r="A166" s="46">
        <f ca="1">IFERROR(__xludf.DUMMYFUNCTION("""COMPUTED_VALUE"""),5107.2724102298)</f>
        <v>5107.2724102297998</v>
      </c>
      <c r="B166" s="184"/>
      <c r="O166" s="184">
        <f t="shared" si="0"/>
        <v>0</v>
      </c>
    </row>
    <row r="167" spans="1:15">
      <c r="A167" s="46">
        <f ca="1">IFERROR(__xludf.DUMMYFUNCTION("""COMPUTED_VALUE"""),66097.5255948088)</f>
        <v>66097.525594808802</v>
      </c>
      <c r="B167" s="184"/>
      <c r="O167" s="184">
        <f t="shared" si="0"/>
        <v>0</v>
      </c>
    </row>
    <row r="168" spans="1:15">
      <c r="A168" s="40"/>
      <c r="B168" s="184"/>
      <c r="O168" s="184">
        <f t="shared" si="0"/>
        <v>0</v>
      </c>
    </row>
    <row r="169" spans="1:15">
      <c r="A169" s="40"/>
      <c r="B169" s="184"/>
      <c r="O169" s="184">
        <f t="shared" si="0"/>
        <v>0</v>
      </c>
    </row>
    <row r="170" spans="1:15">
      <c r="A170" s="40"/>
      <c r="B170" s="184"/>
      <c r="O170" s="184">
        <f t="shared" si="0"/>
        <v>0</v>
      </c>
    </row>
    <row r="171" spans="1:15">
      <c r="A171" s="40" t="str">
        <f ca="1">IFERROR(__xludf.DUMMYFUNCTION("""COMPUTED_VALUE"""),"F11")</f>
        <v>F11</v>
      </c>
      <c r="B171" s="184"/>
      <c r="O171" s="184">
        <f t="shared" si="0"/>
        <v>0</v>
      </c>
    </row>
    <row r="172" spans="1:15">
      <c r="A172" s="46">
        <f ca="1">IFERROR(__xludf.DUMMYFUNCTION("""COMPUTED_VALUE"""),5386.8806251254)</f>
        <v>5386.8806251254</v>
      </c>
      <c r="B172" s="184"/>
      <c r="O172" s="184">
        <f t="shared" si="0"/>
        <v>0</v>
      </c>
    </row>
    <row r="173" spans="1:15">
      <c r="A173" s="46">
        <f ca="1">IFERROR(__xludf.DUMMYFUNCTION("""COMPUTED_VALUE"""),4288.7505299328)</f>
        <v>4288.7505299328004</v>
      </c>
      <c r="B173" s="184"/>
      <c r="O173" s="184">
        <f t="shared" si="0"/>
        <v>0</v>
      </c>
    </row>
    <row r="174" spans="1:15">
      <c r="A174" s="46">
        <f ca="1">IFERROR(__xludf.DUMMYFUNCTION("""COMPUTED_VALUE"""),4584.26041916933)</f>
        <v>4584.2604191693299</v>
      </c>
      <c r="B174" s="184"/>
      <c r="O174" s="184">
        <f t="shared" si="0"/>
        <v>0</v>
      </c>
    </row>
    <row r="175" spans="1:15">
      <c r="A175" s="46">
        <f ca="1">IFERROR(__xludf.DUMMYFUNCTION("""COMPUTED_VALUE"""),5217.93195328669)</f>
        <v>5217.9319532866903</v>
      </c>
      <c r="B175" s="184"/>
      <c r="O175" s="184">
        <f t="shared" si="0"/>
        <v>0</v>
      </c>
    </row>
    <row r="176" spans="1:15">
      <c r="A176" s="46">
        <f ca="1">IFERROR(__xludf.DUMMYFUNCTION("""COMPUTED_VALUE"""),5706.29820286806)</f>
        <v>5706.2982028680599</v>
      </c>
      <c r="B176" s="184"/>
      <c r="O176" s="184">
        <f t="shared" si="0"/>
        <v>0</v>
      </c>
    </row>
    <row r="177" spans="1:15">
      <c r="A177" s="46">
        <f ca="1">IFERROR(__xludf.DUMMYFUNCTION("""COMPUTED_VALUE"""),4795.77368175776)</f>
        <v>4795.7736817577597</v>
      </c>
      <c r="B177" s="184"/>
      <c r="O177" s="184">
        <f t="shared" si="0"/>
        <v>0</v>
      </c>
    </row>
    <row r="178" spans="1:15">
      <c r="A178" s="46">
        <f ca="1">IFERROR(__xludf.DUMMYFUNCTION("""COMPUTED_VALUE"""),6113.68382475233)</f>
        <v>6113.6838247523301</v>
      </c>
      <c r="B178" s="184"/>
      <c r="O178" s="184">
        <f t="shared" si="0"/>
        <v>0</v>
      </c>
    </row>
    <row r="179" spans="1:15">
      <c r="A179" s="46">
        <f ca="1">IFERROR(__xludf.DUMMYFUNCTION("""COMPUTED_VALUE"""),6521.85511899007)</f>
        <v>6521.85511899007</v>
      </c>
      <c r="B179" s="184"/>
      <c r="O179" s="184">
        <f t="shared" si="0"/>
        <v>0</v>
      </c>
    </row>
    <row r="180" spans="1:15">
      <c r="A180" s="46">
        <f ca="1">IFERROR(__xludf.DUMMYFUNCTION("""COMPUTED_VALUE"""),4910.86198280827)</f>
        <v>4910.8619828082701</v>
      </c>
      <c r="B180" s="184"/>
      <c r="O180" s="184">
        <f t="shared" si="0"/>
        <v>0</v>
      </c>
    </row>
    <row r="181" spans="1:15">
      <c r="A181" s="46">
        <f ca="1">IFERROR(__xludf.DUMMYFUNCTION("""COMPUTED_VALUE"""),4777.64107863584)</f>
        <v>4777.6410786358401</v>
      </c>
      <c r="B181" s="184"/>
      <c r="O181" s="184">
        <f t="shared" si="0"/>
        <v>0</v>
      </c>
    </row>
    <row r="182" spans="1:15">
      <c r="A182" s="46">
        <f ca="1">IFERROR(__xludf.DUMMYFUNCTION("""COMPUTED_VALUE"""),4568.93163458592)</f>
        <v>4568.9316345859197</v>
      </c>
      <c r="B182" s="184"/>
      <c r="O182" s="184">
        <f t="shared" si="0"/>
        <v>0</v>
      </c>
    </row>
    <row r="183" spans="1:15">
      <c r="A183" s="46">
        <f ca="1">IFERROR(__xludf.DUMMYFUNCTION("""COMPUTED_VALUE"""),4690.09840804596)</f>
        <v>4690.0984080459602</v>
      </c>
      <c r="B183" s="184"/>
      <c r="O183" s="184">
        <f t="shared" si="0"/>
        <v>0</v>
      </c>
    </row>
    <row r="184" spans="1:15">
      <c r="A184" s="46">
        <f ca="1">IFERROR(__xludf.DUMMYFUNCTION("""COMPUTED_VALUE"""),61562.9674599584)</f>
        <v>61562.967459958403</v>
      </c>
      <c r="B184" s="184"/>
      <c r="O184" s="184">
        <f t="shared" si="0"/>
        <v>0</v>
      </c>
    </row>
    <row r="185" spans="1:15">
      <c r="A185" s="40"/>
      <c r="B185" s="184"/>
      <c r="O185" s="184">
        <f t="shared" si="0"/>
        <v>0</v>
      </c>
    </row>
    <row r="186" spans="1:15">
      <c r="A186" s="40"/>
      <c r="B186" s="184"/>
      <c r="O186" s="184">
        <f t="shared" si="0"/>
        <v>0</v>
      </c>
    </row>
    <row r="187" spans="1:15">
      <c r="A187" s="40"/>
      <c r="B187" s="184"/>
      <c r="O187" s="184">
        <f t="shared" si="0"/>
        <v>0</v>
      </c>
    </row>
    <row r="188" spans="1:15">
      <c r="A188" s="40" t="str">
        <f ca="1">IFERROR(__xludf.DUMMYFUNCTION("""COMPUTED_VALUE"""),"F12")</f>
        <v>F12</v>
      </c>
      <c r="B188" s="184"/>
      <c r="O188" s="184">
        <f t="shared" si="0"/>
        <v>0</v>
      </c>
    </row>
    <row r="189" spans="1:15">
      <c r="A189" s="46">
        <f ca="1">IFERROR(__xludf.DUMMYFUNCTION("""COMPUTED_VALUE"""),5334.51484375)</f>
        <v>5334.5148437500002</v>
      </c>
      <c r="B189" s="184"/>
      <c r="O189" s="184">
        <f t="shared" si="0"/>
        <v>0</v>
      </c>
    </row>
    <row r="190" spans="1:15">
      <c r="A190" s="46">
        <f ca="1">IFERROR(__xludf.DUMMYFUNCTION("""COMPUTED_VALUE"""),4030.49543553616)</f>
        <v>4030.4954355361601</v>
      </c>
      <c r="B190" s="184"/>
      <c r="O190" s="184">
        <f t="shared" si="0"/>
        <v>0</v>
      </c>
    </row>
    <row r="191" spans="1:15">
      <c r="A191" s="46">
        <f ca="1">IFERROR(__xludf.DUMMYFUNCTION("""COMPUTED_VALUE"""),4272.86364851562)</f>
        <v>4272.8636485156203</v>
      </c>
      <c r="B191" s="184"/>
      <c r="O191" s="184">
        <f t="shared" si="0"/>
        <v>0</v>
      </c>
    </row>
    <row r="192" spans="1:15">
      <c r="A192" s="46">
        <f ca="1">IFERROR(__xludf.DUMMYFUNCTION("""COMPUTED_VALUE"""),5108.00588503746)</f>
        <v>5108.0058850374598</v>
      </c>
      <c r="B192" s="184"/>
      <c r="O192" s="184">
        <f t="shared" si="0"/>
        <v>0</v>
      </c>
    </row>
    <row r="193" spans="1:15">
      <c r="A193" s="46">
        <f ca="1">IFERROR(__xludf.DUMMYFUNCTION("""COMPUTED_VALUE"""),5588.00316279745)</f>
        <v>5588.0031627974504</v>
      </c>
      <c r="B193" s="184"/>
      <c r="O193" s="184">
        <f t="shared" si="0"/>
        <v>0</v>
      </c>
    </row>
    <row r="194" spans="1:15">
      <c r="A194" s="46">
        <f ca="1">IFERROR(__xludf.DUMMYFUNCTION("""COMPUTED_VALUE"""),4740.65304853937)</f>
        <v>4740.6530485393696</v>
      </c>
      <c r="B194" s="184"/>
      <c r="O194" s="184">
        <f t="shared" si="0"/>
        <v>0</v>
      </c>
    </row>
    <row r="195" spans="1:15">
      <c r="A195" s="46">
        <f ca="1">IFERROR(__xludf.DUMMYFUNCTION("""COMPUTED_VALUE"""),6113.68382475233)</f>
        <v>6113.6838247523301</v>
      </c>
      <c r="B195" s="184"/>
      <c r="O195" s="184">
        <f t="shared" si="0"/>
        <v>0</v>
      </c>
    </row>
    <row r="196" spans="1:15">
      <c r="A196" s="46">
        <f ca="1">IFERROR(__xludf.DUMMYFUNCTION("""COMPUTED_VALUE"""),7232.8469521545)</f>
        <v>7232.8469521545003</v>
      </c>
      <c r="B196" s="184"/>
      <c r="O196" s="184">
        <f t="shared" si="0"/>
        <v>0</v>
      </c>
    </row>
    <row r="197" spans="1:15">
      <c r="A197" s="46">
        <f ca="1">IFERROR(__xludf.DUMMYFUNCTION("""COMPUTED_VALUE"""),4867.99260110367)</f>
        <v>4867.9926011036696</v>
      </c>
      <c r="B197" s="184"/>
      <c r="O197" s="184">
        <f t="shared" si="0"/>
        <v>0</v>
      </c>
    </row>
    <row r="198" spans="1:15">
      <c r="A198" s="46">
        <f ca="1">IFERROR(__xludf.DUMMYFUNCTION("""COMPUTED_VALUE"""),4735.21826266901)</f>
        <v>4735.2182626690101</v>
      </c>
      <c r="B198" s="184"/>
      <c r="O198" s="184">
        <f t="shared" si="0"/>
        <v>0</v>
      </c>
    </row>
    <row r="199" spans="1:15">
      <c r="A199" s="46">
        <f ca="1">IFERROR(__xludf.DUMMYFUNCTION("""COMPUTED_VALUE"""),4448.95448343338)</f>
        <v>4448.9544834333801</v>
      </c>
      <c r="B199" s="184"/>
      <c r="O199" s="184">
        <f t="shared" si="0"/>
        <v>0</v>
      </c>
    </row>
    <row r="200" spans="1:15">
      <c r="A200" s="46">
        <f ca="1">IFERROR(__xludf.DUMMYFUNCTION("""COMPUTED_VALUE"""),5959.15962463761)</f>
        <v>5959.1596246376102</v>
      </c>
      <c r="B200" s="184"/>
      <c r="O200" s="184">
        <f t="shared" si="0"/>
        <v>0</v>
      </c>
    </row>
    <row r="201" spans="1:15">
      <c r="A201" s="46">
        <f ca="1">IFERROR(__xludf.DUMMYFUNCTION("""COMPUTED_VALUE"""),62432.3917729266)</f>
        <v>62432.391772926603</v>
      </c>
      <c r="B201" s="184"/>
      <c r="O201" s="184">
        <f t="shared" si="0"/>
        <v>0</v>
      </c>
    </row>
    <row r="202" spans="1:15">
      <c r="A202" s="40"/>
      <c r="B202" s="184"/>
      <c r="O202" s="184">
        <f t="shared" si="0"/>
        <v>0</v>
      </c>
    </row>
    <row r="203" spans="1:15">
      <c r="A203" s="40"/>
      <c r="B203" s="184"/>
      <c r="O203" s="184">
        <f t="shared" si="0"/>
        <v>0</v>
      </c>
    </row>
    <row r="204" spans="1:15">
      <c r="A204" s="40"/>
      <c r="B204" s="184"/>
      <c r="O204" s="184">
        <f t="shared" si="0"/>
        <v>0</v>
      </c>
    </row>
    <row r="205" spans="1:15">
      <c r="A205" s="40" t="str">
        <f ca="1">IFERROR(__xludf.DUMMYFUNCTION("""COMPUTED_VALUE"""),"F13")</f>
        <v>F13</v>
      </c>
      <c r="B205" s="184"/>
      <c r="O205" s="184">
        <f t="shared" si="0"/>
        <v>0</v>
      </c>
    </row>
    <row r="206" spans="1:15">
      <c r="A206" s="46">
        <f ca="1">IFERROR(__xludf.DUMMYFUNCTION("""COMPUTED_VALUE"""),5473.62789253127)</f>
        <v>5473.6278925312699</v>
      </c>
      <c r="B206" s="184"/>
      <c r="O206" s="184">
        <f t="shared" si="0"/>
        <v>0</v>
      </c>
    </row>
    <row r="207" spans="1:15">
      <c r="A207" s="46">
        <f ca="1">IFERROR(__xludf.DUMMYFUNCTION("""COMPUTED_VALUE"""),6298.01367491652)</f>
        <v>6298.0136749165204</v>
      </c>
      <c r="B207" s="184"/>
      <c r="O207" s="184">
        <f t="shared" si="0"/>
        <v>0</v>
      </c>
    </row>
    <row r="208" spans="1:15">
      <c r="A208" s="46">
        <f ca="1">IFERROR(__xludf.DUMMYFUNCTION("""COMPUTED_VALUE"""),5598.22089982371)</f>
        <v>5598.2208998237102</v>
      </c>
      <c r="B208" s="184"/>
      <c r="O208" s="184">
        <f t="shared" si="0"/>
        <v>0</v>
      </c>
    </row>
    <row r="209" spans="1:15">
      <c r="A209" s="46">
        <f ca="1">IFERROR(__xludf.DUMMYFUNCTION("""COMPUTED_VALUE"""),6235.71257137386)</f>
        <v>6235.7125713738596</v>
      </c>
      <c r="B209" s="184"/>
      <c r="O209" s="184">
        <f t="shared" si="0"/>
        <v>0</v>
      </c>
    </row>
    <row r="210" spans="1:15">
      <c r="A210" s="46">
        <f ca="1">IFERROR(__xludf.DUMMYFUNCTION("""COMPUTED_VALUE"""),6252.77373075548)</f>
        <v>6252.7737307554798</v>
      </c>
      <c r="B210" s="184"/>
      <c r="O210" s="184">
        <f t="shared" si="0"/>
        <v>0</v>
      </c>
    </row>
    <row r="211" spans="1:15">
      <c r="A211" s="46">
        <f ca="1">IFERROR(__xludf.DUMMYFUNCTION("""COMPUTED_VALUE"""),5225.79112890827)</f>
        <v>5225.7911289082704</v>
      </c>
      <c r="B211" s="184"/>
      <c r="O211" s="184">
        <f t="shared" si="0"/>
        <v>0</v>
      </c>
    </row>
    <row r="212" spans="1:15">
      <c r="A212" s="46">
        <f ca="1">IFERROR(__xludf.DUMMYFUNCTION("""COMPUTED_VALUE"""),6402.94482995416)</f>
        <v>6402.94482995416</v>
      </c>
      <c r="B212" s="184"/>
      <c r="O212" s="184">
        <f t="shared" si="0"/>
        <v>0</v>
      </c>
    </row>
    <row r="213" spans="1:15">
      <c r="A213" s="46">
        <f ca="1">IFERROR(__xludf.DUMMYFUNCTION("""COMPUTED_VALUE"""),7071.95601024913)</f>
        <v>7071.9560102491296</v>
      </c>
      <c r="B213" s="184"/>
      <c r="O213" s="184">
        <f t="shared" si="0"/>
        <v>0</v>
      </c>
    </row>
    <row r="214" spans="1:15">
      <c r="A214" s="46">
        <f ca="1">IFERROR(__xludf.DUMMYFUNCTION("""COMPUTED_VALUE"""),5145.86881621523)</f>
        <v>5145.8688162152303</v>
      </c>
      <c r="B214" s="184"/>
      <c r="O214" s="184">
        <f t="shared" si="0"/>
        <v>0</v>
      </c>
    </row>
    <row r="215" spans="1:15">
      <c r="A215" s="46">
        <f ca="1">IFERROR(__xludf.DUMMYFUNCTION("""COMPUTED_VALUE"""),4968.01319714166)</f>
        <v>4968.0131971416604</v>
      </c>
      <c r="B215" s="184"/>
      <c r="O215" s="184">
        <f t="shared" si="0"/>
        <v>0</v>
      </c>
    </row>
    <row r="216" spans="1:15">
      <c r="A216" s="46">
        <f ca="1">IFERROR(__xludf.DUMMYFUNCTION("""COMPUTED_VALUE"""),4751.23058969841)</f>
        <v>4751.2305896984099</v>
      </c>
      <c r="B216" s="184"/>
      <c r="O216" s="184">
        <f t="shared" si="0"/>
        <v>0</v>
      </c>
    </row>
    <row r="217" spans="1:15">
      <c r="A217" s="46">
        <f ca="1">IFERROR(__xludf.DUMMYFUNCTION("""COMPUTED_VALUE"""),4933.69751557468)</f>
        <v>4933.6975155746804</v>
      </c>
      <c r="B217" s="184"/>
      <c r="O217" s="184">
        <f t="shared" si="0"/>
        <v>0</v>
      </c>
    </row>
    <row r="218" spans="1:15">
      <c r="A218" s="46">
        <f ca="1">IFERROR(__xludf.DUMMYFUNCTION("""COMPUTED_VALUE"""),68357.8508571424)</f>
        <v>68357.850857142403</v>
      </c>
      <c r="B218" s="184"/>
      <c r="O218" s="184">
        <f t="shared" si="0"/>
        <v>0</v>
      </c>
    </row>
    <row r="219" spans="1:15">
      <c r="A219" s="40"/>
      <c r="B219" s="184"/>
      <c r="O219" s="184">
        <f t="shared" si="0"/>
        <v>0</v>
      </c>
    </row>
    <row r="220" spans="1:15">
      <c r="A220" s="40"/>
      <c r="B220" s="184"/>
      <c r="O220" s="184">
        <f t="shared" si="0"/>
        <v>0</v>
      </c>
    </row>
    <row r="221" spans="1:15">
      <c r="A221" s="40"/>
      <c r="B221" s="184"/>
      <c r="O221" s="184">
        <f t="shared" si="0"/>
        <v>0</v>
      </c>
    </row>
    <row r="222" spans="1:15">
      <c r="A222" s="40" t="str">
        <f ca="1">IFERROR(__xludf.DUMMYFUNCTION("""COMPUTED_VALUE"""),"F14")</f>
        <v>F14</v>
      </c>
      <c r="B222" s="184"/>
      <c r="O222" s="184">
        <f t="shared" si="0"/>
        <v>0</v>
      </c>
    </row>
    <row r="223" spans="1:15">
      <c r="A223" s="46">
        <f ca="1">IFERROR(__xludf.DUMMYFUNCTION("""COMPUTED_VALUE"""),6196.82772347765)</f>
        <v>6196.8277234776497</v>
      </c>
      <c r="B223" s="184"/>
      <c r="O223" s="184">
        <f t="shared" si="0"/>
        <v>0</v>
      </c>
    </row>
    <row r="224" spans="1:15">
      <c r="A224" s="46">
        <f ca="1">IFERROR(__xludf.DUMMYFUNCTION("""COMPUTED_VALUE"""),4914.10177004969)</f>
        <v>4914.1017700496895</v>
      </c>
      <c r="B224" s="184"/>
      <c r="O224" s="184">
        <f t="shared" si="0"/>
        <v>0</v>
      </c>
    </row>
    <row r="225" spans="1:15">
      <c r="A225" s="46">
        <f ca="1">IFERROR(__xludf.DUMMYFUNCTION("""COMPUTED_VALUE"""),5391.20569367855)</f>
        <v>5391.2056936785502</v>
      </c>
      <c r="B225" s="184"/>
      <c r="O225" s="184">
        <f t="shared" si="0"/>
        <v>0</v>
      </c>
    </row>
    <row r="226" spans="1:15">
      <c r="A226" s="46">
        <f ca="1">IFERROR(__xludf.DUMMYFUNCTION("""COMPUTED_VALUE"""),5438.81620950479)</f>
        <v>5438.8162095047901</v>
      </c>
      <c r="B226" s="184"/>
      <c r="O226" s="184">
        <f t="shared" si="0"/>
        <v>0</v>
      </c>
    </row>
    <row r="227" spans="1:15">
      <c r="A227" s="46">
        <f ca="1">IFERROR(__xludf.DUMMYFUNCTION("""COMPUTED_VALUE"""),5882.54583279015)</f>
        <v>5882.5458327901497</v>
      </c>
      <c r="B227" s="184"/>
      <c r="O227" s="184">
        <f t="shared" si="0"/>
        <v>0</v>
      </c>
    </row>
    <row r="228" spans="1:15">
      <c r="A228" s="46">
        <f ca="1">IFERROR(__xludf.DUMMYFUNCTION("""COMPUTED_VALUE"""),4974.85237768028)</f>
        <v>4974.8523776802804</v>
      </c>
      <c r="B228" s="184"/>
      <c r="O228" s="184">
        <f t="shared" si="0"/>
        <v>0</v>
      </c>
    </row>
    <row r="229" spans="1:15">
      <c r="A229" s="46">
        <f ca="1">IFERROR(__xludf.DUMMYFUNCTION("""COMPUTED_VALUE"""),6442.6326705531)</f>
        <v>6442.6326705531001</v>
      </c>
      <c r="B229" s="184"/>
      <c r="O229" s="184">
        <f t="shared" si="0"/>
        <v>0</v>
      </c>
    </row>
    <row r="230" spans="1:15">
      <c r="A230" s="46">
        <f ca="1">IFERROR(__xludf.DUMMYFUNCTION("""COMPUTED_VALUE"""),7102.46029075128)</f>
        <v>7102.4602907512799</v>
      </c>
      <c r="B230" s="184"/>
      <c r="O230" s="184">
        <f t="shared" si="0"/>
        <v>0</v>
      </c>
    </row>
    <row r="231" spans="1:15">
      <c r="A231" s="46">
        <f ca="1">IFERROR(__xludf.DUMMYFUNCTION("""COMPUTED_VALUE"""),5657.09444622387)</f>
        <v>5657.0944462238704</v>
      </c>
      <c r="B231" s="184"/>
      <c r="O231" s="184">
        <f t="shared" si="0"/>
        <v>0</v>
      </c>
    </row>
    <row r="232" spans="1:15">
      <c r="A232" s="46">
        <f ca="1">IFERROR(__xludf.DUMMYFUNCTION("""COMPUTED_VALUE"""),5455.26317790506)</f>
        <v>5455.2631779050598</v>
      </c>
      <c r="B232" s="184"/>
      <c r="O232" s="184">
        <f t="shared" si="0"/>
        <v>0</v>
      </c>
    </row>
    <row r="233" spans="1:15">
      <c r="A233" s="46">
        <f ca="1">IFERROR(__xludf.DUMMYFUNCTION("""COMPUTED_VALUE"""),5270.0106043687)</f>
        <v>5270.0106043687001</v>
      </c>
      <c r="B233" s="184"/>
      <c r="O233" s="184">
        <f t="shared" si="0"/>
        <v>0</v>
      </c>
    </row>
    <row r="234" spans="1:15">
      <c r="A234" s="46">
        <f ca="1">IFERROR(__xludf.DUMMYFUNCTION("""COMPUTED_VALUE"""),5305.44767337315)</f>
        <v>5305.4476733731499</v>
      </c>
      <c r="B234" s="184"/>
      <c r="O234" s="184">
        <f t="shared" si="0"/>
        <v>0</v>
      </c>
    </row>
    <row r="235" spans="1:15">
      <c r="A235" s="46">
        <f ca="1">IFERROR(__xludf.DUMMYFUNCTION("""COMPUTED_VALUE"""),68031.2584703563)</f>
        <v>68031.258470356304</v>
      </c>
      <c r="B235" s="184"/>
      <c r="O235" s="184">
        <f t="shared" si="0"/>
        <v>0</v>
      </c>
    </row>
    <row r="236" spans="1:15">
      <c r="A236" s="40"/>
      <c r="B236" s="184"/>
      <c r="O236" s="184">
        <f t="shared" si="0"/>
        <v>0</v>
      </c>
    </row>
    <row r="237" spans="1:15">
      <c r="A237" s="40"/>
      <c r="B237" s="184"/>
      <c r="O237" s="184">
        <f t="shared" si="0"/>
        <v>0</v>
      </c>
    </row>
    <row r="238" spans="1:15">
      <c r="A238" s="40"/>
      <c r="B238" s="184"/>
      <c r="O238" s="184">
        <f t="shared" si="0"/>
        <v>0</v>
      </c>
    </row>
    <row r="239" spans="1:15">
      <c r="A239" s="40" t="str">
        <f ca="1">IFERROR(__xludf.DUMMYFUNCTION("""COMPUTED_VALUE"""),"F15")</f>
        <v>F15</v>
      </c>
      <c r="B239" s="184"/>
      <c r="O239" s="184">
        <f t="shared" si="0"/>
        <v>0</v>
      </c>
    </row>
    <row r="240" spans="1:15">
      <c r="A240" s="46">
        <f ca="1">IFERROR(__xludf.DUMMYFUNCTION("""COMPUTED_VALUE"""),6504.59242875179)</f>
        <v>6504.5924287517901</v>
      </c>
      <c r="B240" s="184"/>
      <c r="O240" s="184">
        <f t="shared" si="0"/>
        <v>0</v>
      </c>
    </row>
    <row r="241" spans="1:15">
      <c r="A241" s="46">
        <f ca="1">IFERROR(__xludf.DUMMYFUNCTION("""COMPUTED_VALUE"""),5488.34757272012)</f>
        <v>5488.3475727201203</v>
      </c>
      <c r="B241" s="184"/>
      <c r="O241" s="184">
        <f t="shared" si="0"/>
        <v>0</v>
      </c>
    </row>
    <row r="242" spans="1:15">
      <c r="A242" s="46">
        <f ca="1">IFERROR(__xludf.DUMMYFUNCTION("""COMPUTED_VALUE"""),5711.67389663617)</f>
        <v>5711.67389663617</v>
      </c>
      <c r="B242" s="184"/>
      <c r="O242" s="184">
        <f t="shared" si="0"/>
        <v>0</v>
      </c>
    </row>
    <row r="243" spans="1:15">
      <c r="A243" s="46">
        <f ca="1">IFERROR(__xludf.DUMMYFUNCTION("""COMPUTED_VALUE"""),6486.53640173187)</f>
        <v>6486.5364017318698</v>
      </c>
      <c r="B243" s="184"/>
      <c r="O243" s="184">
        <f t="shared" si="0"/>
        <v>0</v>
      </c>
    </row>
    <row r="244" spans="1:15">
      <c r="A244" s="46">
        <f ca="1">IFERROR(__xludf.DUMMYFUNCTION("""COMPUTED_VALUE"""),6873.53862306932)</f>
        <v>6873.5386230693202</v>
      </c>
      <c r="B244" s="184"/>
      <c r="O244" s="184">
        <f t="shared" si="0"/>
        <v>0</v>
      </c>
    </row>
    <row r="245" spans="1:15">
      <c r="A245" s="46">
        <f ca="1">IFERROR(__xludf.DUMMYFUNCTION("""COMPUTED_VALUE"""),5910.58408961131)</f>
        <v>5910.5840896113104</v>
      </c>
      <c r="B245" s="184"/>
      <c r="O245" s="184">
        <f t="shared" si="0"/>
        <v>0</v>
      </c>
    </row>
    <row r="246" spans="1:15">
      <c r="A246" s="46">
        <f ca="1">IFERROR(__xludf.DUMMYFUNCTION("""COMPUTED_VALUE"""),6982.39868762138)</f>
        <v>6982.3986876213803</v>
      </c>
      <c r="B246" s="184"/>
      <c r="O246" s="184">
        <f t="shared" si="0"/>
        <v>0</v>
      </c>
    </row>
    <row r="247" spans="1:15">
      <c r="A247" s="46">
        <f ca="1">IFERROR(__xludf.DUMMYFUNCTION("""COMPUTED_VALUE"""),7556.714028359)</f>
        <v>7556.7140283589997</v>
      </c>
      <c r="B247" s="184"/>
      <c r="O247" s="184">
        <f t="shared" si="0"/>
        <v>0</v>
      </c>
    </row>
    <row r="248" spans="1:15">
      <c r="A248" s="46">
        <f ca="1">IFERROR(__xludf.DUMMYFUNCTION("""COMPUTED_VALUE"""),6043.34137572049)</f>
        <v>6043.3413757204899</v>
      </c>
      <c r="B248" s="184"/>
      <c r="O248" s="184">
        <f t="shared" si="0"/>
        <v>0</v>
      </c>
    </row>
    <row r="249" spans="1:15">
      <c r="A249" s="46">
        <f ca="1">IFERROR(__xludf.DUMMYFUNCTION("""COMPUTED_VALUE"""),5888.92926671932)</f>
        <v>5888.9292667193204</v>
      </c>
      <c r="B249" s="184"/>
      <c r="O249" s="184">
        <f t="shared" si="0"/>
        <v>0</v>
      </c>
    </row>
    <row r="250" spans="1:15">
      <c r="A250" s="46">
        <f ca="1">IFERROR(__xludf.DUMMYFUNCTION("""COMPUTED_VALUE"""),5520.02338336617)</f>
        <v>5520.0233833661696</v>
      </c>
      <c r="B250" s="184"/>
      <c r="O250" s="184">
        <f t="shared" si="0"/>
        <v>0</v>
      </c>
    </row>
    <row r="251" spans="1:15">
      <c r="A251" s="46">
        <f ca="1">IFERROR(__xludf.DUMMYFUNCTION("""COMPUTED_VALUE"""),5764.15123800602)</f>
        <v>5764.1512380060203</v>
      </c>
      <c r="B251" s="184"/>
      <c r="O251" s="184">
        <f t="shared" si="0"/>
        <v>0</v>
      </c>
    </row>
    <row r="252" spans="1:15">
      <c r="A252" s="46">
        <f ca="1">IFERROR(__xludf.DUMMYFUNCTION("""COMPUTED_VALUE"""),74730.8309923129)</f>
        <v>74730.830992312898</v>
      </c>
      <c r="B252" s="184"/>
      <c r="O252" s="184">
        <f t="shared" si="0"/>
        <v>0</v>
      </c>
    </row>
    <row r="253" spans="1:15">
      <c r="A253" s="40"/>
      <c r="B253" s="184"/>
      <c r="O253" s="184">
        <f t="shared" si="0"/>
        <v>0</v>
      </c>
    </row>
    <row r="254" spans="1:15">
      <c r="A254" s="40"/>
      <c r="B254" s="184"/>
      <c r="O254" s="184">
        <f t="shared" si="0"/>
        <v>0</v>
      </c>
    </row>
    <row r="255" spans="1:15">
      <c r="A255" s="40"/>
      <c r="B255" s="184"/>
      <c r="O255" s="184">
        <f t="shared" si="0"/>
        <v>0</v>
      </c>
    </row>
    <row r="256" spans="1:15">
      <c r="A256" s="40" t="str">
        <f ca="1">IFERROR(__xludf.DUMMYFUNCTION("""COMPUTED_VALUE"""),"F16")</f>
        <v>F16</v>
      </c>
      <c r="B256" s="184"/>
      <c r="O256" s="184">
        <f t="shared" ref="O256:O510" si="1">SUM(C256:N256)</f>
        <v>0</v>
      </c>
    </row>
    <row r="257" spans="1:15">
      <c r="A257" s="46">
        <f ca="1">IFERROR(__xludf.DUMMYFUNCTION("""COMPUTED_VALUE"""),6525.03905215124)</f>
        <v>6525.03905215124</v>
      </c>
      <c r="B257" s="184"/>
      <c r="O257" s="184">
        <f t="shared" si="1"/>
        <v>0</v>
      </c>
    </row>
    <row r="258" spans="1:15">
      <c r="A258" s="46">
        <f ca="1">IFERROR(__xludf.DUMMYFUNCTION("""COMPUTED_VALUE"""),5395.83578592741)</f>
        <v>5395.8357859274101</v>
      </c>
      <c r="B258" s="184"/>
      <c r="O258" s="184">
        <f t="shared" si="1"/>
        <v>0</v>
      </c>
    </row>
    <row r="259" spans="1:15">
      <c r="A259" s="46">
        <f ca="1">IFERROR(__xludf.DUMMYFUNCTION("""COMPUTED_VALUE"""),5474.68211535995)</f>
        <v>5474.6821153599503</v>
      </c>
      <c r="B259" s="184"/>
      <c r="O259" s="184">
        <f t="shared" si="1"/>
        <v>0</v>
      </c>
    </row>
    <row r="260" spans="1:15">
      <c r="A260" s="46">
        <f ca="1">IFERROR(__xludf.DUMMYFUNCTION("""COMPUTED_VALUE"""),6265.07018504222)</f>
        <v>6265.0701850422201</v>
      </c>
      <c r="B260" s="184"/>
      <c r="O260" s="184">
        <f t="shared" si="1"/>
        <v>0</v>
      </c>
    </row>
    <row r="261" spans="1:15">
      <c r="A261" s="46">
        <f ca="1">IFERROR(__xludf.DUMMYFUNCTION("""COMPUTED_VALUE"""),7143.84977064334)</f>
        <v>7143.84977064334</v>
      </c>
      <c r="B261" s="184"/>
      <c r="O261" s="184">
        <f t="shared" si="1"/>
        <v>0</v>
      </c>
    </row>
    <row r="262" spans="1:15">
      <c r="A262" s="46">
        <f ca="1">IFERROR(__xludf.DUMMYFUNCTION("""COMPUTED_VALUE"""),5924.58436203439)</f>
        <v>5924.5843620343903</v>
      </c>
      <c r="B262" s="184"/>
      <c r="O262" s="184">
        <f t="shared" si="1"/>
        <v>0</v>
      </c>
    </row>
    <row r="263" spans="1:15">
      <c r="A263" s="46">
        <f ca="1">IFERROR(__xludf.DUMMYFUNCTION("""COMPUTED_VALUE"""),7483.57844590764)</f>
        <v>7483.5784459076403</v>
      </c>
      <c r="B263" s="184"/>
      <c r="O263" s="184">
        <f t="shared" si="1"/>
        <v>0</v>
      </c>
    </row>
    <row r="264" spans="1:15">
      <c r="A264" s="46">
        <f ca="1">IFERROR(__xludf.DUMMYFUNCTION("""COMPUTED_VALUE"""),7797.61191688005)</f>
        <v>7797.6119168800496</v>
      </c>
      <c r="B264" s="184"/>
      <c r="O264" s="184">
        <f t="shared" si="1"/>
        <v>0</v>
      </c>
    </row>
    <row r="265" spans="1:15">
      <c r="A265" s="46">
        <f ca="1">IFERROR(__xludf.DUMMYFUNCTION("""COMPUTED_VALUE"""),6641.76632529693)</f>
        <v>6641.7663252969296</v>
      </c>
      <c r="B265" s="184"/>
      <c r="O265" s="184">
        <f t="shared" si="1"/>
        <v>0</v>
      </c>
    </row>
    <row r="266" spans="1:15">
      <c r="A266" s="46">
        <f ca="1">IFERROR(__xludf.DUMMYFUNCTION("""COMPUTED_VALUE"""),6039.74769014249)</f>
        <v>6039.7476901424898</v>
      </c>
      <c r="B266" s="184"/>
      <c r="O266" s="184">
        <f t="shared" si="1"/>
        <v>0</v>
      </c>
    </row>
    <row r="267" spans="1:15">
      <c r="A267" s="46">
        <f ca="1">IFERROR(__xludf.DUMMYFUNCTION("""COMPUTED_VALUE"""),5903.1210755559)</f>
        <v>5903.1210755558996</v>
      </c>
      <c r="B267" s="184"/>
      <c r="O267" s="184">
        <f t="shared" si="1"/>
        <v>0</v>
      </c>
    </row>
    <row r="268" spans="1:15">
      <c r="A268" s="46">
        <f ca="1">IFERROR(__xludf.DUMMYFUNCTION("""COMPUTED_VALUE"""),6071.92094581393)</f>
        <v>6071.9209458139303</v>
      </c>
      <c r="B268" s="184"/>
      <c r="O268" s="184">
        <f t="shared" si="1"/>
        <v>0</v>
      </c>
    </row>
    <row r="269" spans="1:15">
      <c r="A269" s="46">
        <f ca="1">IFERROR(__xludf.DUMMYFUNCTION("""COMPUTED_VALUE"""),76666.8076707555)</f>
        <v>76666.807670755501</v>
      </c>
      <c r="B269" s="184"/>
      <c r="O269" s="184">
        <f t="shared" si="1"/>
        <v>0</v>
      </c>
    </row>
    <row r="270" spans="1:15">
      <c r="A270" s="40"/>
      <c r="B270" s="184"/>
      <c r="O270" s="184">
        <f t="shared" si="1"/>
        <v>0</v>
      </c>
    </row>
    <row r="271" spans="1:15">
      <c r="A271" s="40"/>
      <c r="B271" s="184"/>
      <c r="O271" s="184">
        <f t="shared" si="1"/>
        <v>0</v>
      </c>
    </row>
    <row r="272" spans="1:15">
      <c r="A272" s="40"/>
      <c r="B272" s="184"/>
      <c r="O272" s="184">
        <f t="shared" si="1"/>
        <v>0</v>
      </c>
    </row>
    <row r="273" spans="1:15">
      <c r="A273" s="40" t="str">
        <f ca="1">IFERROR(__xludf.DUMMYFUNCTION("""COMPUTED_VALUE"""),"G1")</f>
        <v>G1</v>
      </c>
      <c r="B273" s="184"/>
      <c r="O273" s="184">
        <f t="shared" si="1"/>
        <v>0</v>
      </c>
    </row>
    <row r="274" spans="1:15">
      <c r="A274" s="46">
        <f ca="1">IFERROR(__xludf.DUMMYFUNCTION("""COMPUTED_VALUE"""),6324.8865420022)</f>
        <v>6324.8865420022003</v>
      </c>
      <c r="B274" s="184"/>
      <c r="O274" s="184">
        <f t="shared" si="1"/>
        <v>0</v>
      </c>
    </row>
    <row r="275" spans="1:15">
      <c r="A275" s="46">
        <f ca="1">IFERROR(__xludf.DUMMYFUNCTION("""COMPUTED_VALUE"""),5006.41198626609)</f>
        <v>5006.41198626609</v>
      </c>
      <c r="B275" s="184"/>
      <c r="O275" s="184">
        <f t="shared" si="1"/>
        <v>0</v>
      </c>
    </row>
    <row r="276" spans="1:15">
      <c r="A276" s="46">
        <f ca="1">IFERROR(__xludf.DUMMYFUNCTION("""COMPUTED_VALUE"""),5172.27316933916)</f>
        <v>5172.2731693391597</v>
      </c>
      <c r="B276" s="184"/>
      <c r="O276" s="184">
        <f t="shared" si="1"/>
        <v>0</v>
      </c>
    </row>
    <row r="277" spans="1:15">
      <c r="A277" s="46">
        <f ca="1">IFERROR(__xludf.DUMMYFUNCTION("""COMPUTED_VALUE"""),6041.74622440301)</f>
        <v>6041.7462244030103</v>
      </c>
      <c r="B277" s="184"/>
      <c r="O277" s="184">
        <f t="shared" si="1"/>
        <v>0</v>
      </c>
    </row>
    <row r="278" spans="1:15">
      <c r="A278" s="46">
        <f ca="1">IFERROR(__xludf.DUMMYFUNCTION("""COMPUTED_VALUE"""),6533.47404697077)</f>
        <v>6533.4740469707704</v>
      </c>
      <c r="B278" s="184"/>
      <c r="O278" s="184">
        <f t="shared" si="1"/>
        <v>0</v>
      </c>
    </row>
    <row r="279" spans="1:15">
      <c r="A279" s="46">
        <f ca="1">IFERROR(__xludf.DUMMYFUNCTION("""COMPUTED_VALUE"""),5603.43476849391)</f>
        <v>5603.4347684939103</v>
      </c>
      <c r="B279" s="184"/>
      <c r="O279" s="184">
        <f t="shared" si="1"/>
        <v>0</v>
      </c>
    </row>
    <row r="280" spans="1:15">
      <c r="A280" s="46">
        <f ca="1">IFERROR(__xludf.DUMMYFUNCTION("""COMPUTED_VALUE"""),7205.1260060428)</f>
        <v>7205.1260060428003</v>
      </c>
      <c r="B280" s="184"/>
      <c r="O280" s="184">
        <f t="shared" si="1"/>
        <v>0</v>
      </c>
    </row>
    <row r="281" spans="1:15">
      <c r="A281" s="46">
        <f ca="1">IFERROR(__xludf.DUMMYFUNCTION("""COMPUTED_VALUE"""),7153.92317879179)</f>
        <v>7153.9231787917897</v>
      </c>
      <c r="B281" s="184"/>
      <c r="O281" s="184">
        <f t="shared" si="1"/>
        <v>0</v>
      </c>
    </row>
    <row r="282" spans="1:15">
      <c r="A282" s="46">
        <f ca="1">IFERROR(__xludf.DUMMYFUNCTION("""COMPUTED_VALUE"""),5557.72275229152)</f>
        <v>5557.72275229152</v>
      </c>
      <c r="B282" s="184"/>
      <c r="O282" s="184">
        <f t="shared" si="1"/>
        <v>0</v>
      </c>
    </row>
    <row r="283" spans="1:15">
      <c r="A283" s="46">
        <f ca="1">IFERROR(__xludf.DUMMYFUNCTION("""COMPUTED_VALUE"""),5447.72114815918)</f>
        <v>5447.7211481591803</v>
      </c>
      <c r="B283" s="184"/>
      <c r="O283" s="184">
        <f t="shared" si="1"/>
        <v>0</v>
      </c>
    </row>
    <row r="284" spans="1:15">
      <c r="A284" s="46">
        <f ca="1">IFERROR(__xludf.DUMMYFUNCTION("""COMPUTED_VALUE"""),5468.31517574835)</f>
        <v>5468.3151757483502</v>
      </c>
      <c r="B284" s="184"/>
      <c r="O284" s="184">
        <f t="shared" si="1"/>
        <v>0</v>
      </c>
    </row>
    <row r="285" spans="1:15">
      <c r="A285" s="46">
        <f ca="1">IFERROR(__xludf.DUMMYFUNCTION("""COMPUTED_VALUE"""),7334.19129029836)</f>
        <v>7334.1912902983604</v>
      </c>
      <c r="B285" s="184"/>
      <c r="O285" s="184">
        <f t="shared" si="1"/>
        <v>0</v>
      </c>
    </row>
    <row r="286" spans="1:15">
      <c r="A286" s="46">
        <f ca="1">IFERROR(__xludf.DUMMYFUNCTION("""COMPUTED_VALUE"""),72849.2262888071)</f>
        <v>72849.226288807098</v>
      </c>
      <c r="B286" s="184"/>
      <c r="O286" s="184">
        <f t="shared" si="1"/>
        <v>0</v>
      </c>
    </row>
    <row r="287" spans="1:15">
      <c r="A287" s="40"/>
      <c r="B287" s="184"/>
      <c r="O287" s="184">
        <f t="shared" si="1"/>
        <v>0</v>
      </c>
    </row>
    <row r="288" spans="1:15">
      <c r="A288" s="40"/>
      <c r="B288" s="184"/>
      <c r="O288" s="184">
        <f t="shared" si="1"/>
        <v>0</v>
      </c>
    </row>
    <row r="289" spans="1:15">
      <c r="A289" s="40"/>
      <c r="B289" s="184"/>
      <c r="O289" s="184">
        <f t="shared" si="1"/>
        <v>0</v>
      </c>
    </row>
    <row r="290" spans="1:15">
      <c r="A290" s="40" t="str">
        <f ca="1">IFERROR(__xludf.DUMMYFUNCTION("""COMPUTED_VALUE"""),"G2")</f>
        <v>G2</v>
      </c>
      <c r="B290" s="184"/>
      <c r="O290" s="184">
        <f t="shared" si="1"/>
        <v>0</v>
      </c>
    </row>
    <row r="291" spans="1:15">
      <c r="A291" s="46">
        <f ca="1">IFERROR(__xludf.DUMMYFUNCTION("""COMPUTED_VALUE"""),7311.21414800645)</f>
        <v>7311.2141480064502</v>
      </c>
      <c r="B291" s="184"/>
      <c r="O291" s="184">
        <f t="shared" si="1"/>
        <v>0</v>
      </c>
    </row>
    <row r="292" spans="1:15">
      <c r="A292" s="46">
        <f ca="1">IFERROR(__xludf.DUMMYFUNCTION("""COMPUTED_VALUE"""),5182.05645714641)</f>
        <v>5182.0564571464101</v>
      </c>
      <c r="B292" s="184"/>
      <c r="O292" s="184">
        <f t="shared" si="1"/>
        <v>0</v>
      </c>
    </row>
    <row r="293" spans="1:15">
      <c r="A293" s="46">
        <f ca="1">IFERROR(__xludf.DUMMYFUNCTION("""COMPUTED_VALUE"""),6087.95283272856)</f>
        <v>6087.9528327285598</v>
      </c>
      <c r="B293" s="184"/>
      <c r="O293" s="184">
        <f t="shared" si="1"/>
        <v>0</v>
      </c>
    </row>
    <row r="294" spans="1:15">
      <c r="A294" s="46">
        <f ca="1">IFERROR(__xludf.DUMMYFUNCTION("""COMPUTED_VALUE"""),6478.87552710317)</f>
        <v>6478.8755271031696</v>
      </c>
      <c r="B294" s="184"/>
      <c r="O294" s="184">
        <f t="shared" si="1"/>
        <v>0</v>
      </c>
    </row>
    <row r="295" spans="1:15">
      <c r="A295" s="46">
        <f ca="1">IFERROR(__xludf.DUMMYFUNCTION("""COMPUTED_VALUE"""),6772.91613250953)</f>
        <v>6772.9161325095301</v>
      </c>
      <c r="B295" s="184"/>
      <c r="O295" s="184">
        <f t="shared" si="1"/>
        <v>0</v>
      </c>
    </row>
    <row r="296" spans="1:15">
      <c r="A296" s="46">
        <f ca="1">IFERROR(__xludf.DUMMYFUNCTION("""COMPUTED_VALUE"""),5693.23301061165)</f>
        <v>5693.2330106116497</v>
      </c>
      <c r="B296" s="184"/>
      <c r="O296" s="184">
        <f t="shared" si="1"/>
        <v>0</v>
      </c>
    </row>
    <row r="297" spans="1:15">
      <c r="A297" s="46">
        <f ca="1">IFERROR(__xludf.DUMMYFUNCTION("""COMPUTED_VALUE"""),7449.97063274301)</f>
        <v>7449.9706327430104</v>
      </c>
      <c r="B297" s="184"/>
      <c r="O297" s="184">
        <f t="shared" si="1"/>
        <v>0</v>
      </c>
    </row>
    <row r="298" spans="1:15">
      <c r="A298" s="46">
        <f ca="1">IFERROR(__xludf.DUMMYFUNCTION("""COMPUTED_VALUE"""),8138.68585746008)</f>
        <v>8138.6858574600801</v>
      </c>
      <c r="B298" s="184"/>
      <c r="O298" s="184">
        <f t="shared" si="1"/>
        <v>0</v>
      </c>
    </row>
    <row r="299" spans="1:15">
      <c r="A299" s="46">
        <f ca="1">IFERROR(__xludf.DUMMYFUNCTION("""COMPUTED_VALUE"""),5650.35041807892)</f>
        <v>5650.3504180789196</v>
      </c>
      <c r="B299" s="184"/>
      <c r="O299" s="184">
        <f t="shared" si="1"/>
        <v>0</v>
      </c>
    </row>
    <row r="300" spans="1:15">
      <c r="A300" s="46">
        <f ca="1">IFERROR(__xludf.DUMMYFUNCTION("""COMPUTED_VALUE"""),5794.08897577138)</f>
        <v>5794.0889757713803</v>
      </c>
      <c r="B300" s="184"/>
      <c r="O300" s="184">
        <f t="shared" si="1"/>
        <v>0</v>
      </c>
    </row>
    <row r="301" spans="1:15">
      <c r="A301" s="46">
        <f ca="1">IFERROR(__xludf.DUMMYFUNCTION("""COMPUTED_VALUE"""),5984.58185622485)</f>
        <v>5984.5818562248496</v>
      </c>
      <c r="B301" s="184"/>
      <c r="O301" s="184">
        <f t="shared" si="1"/>
        <v>0</v>
      </c>
    </row>
    <row r="302" spans="1:15">
      <c r="A302" s="46">
        <f ca="1">IFERROR(__xludf.DUMMYFUNCTION("""COMPUTED_VALUE"""),6120.51155295794)</f>
        <v>6120.5115529579398</v>
      </c>
      <c r="B302" s="184"/>
      <c r="O302" s="184">
        <f t="shared" si="1"/>
        <v>0</v>
      </c>
    </row>
    <row r="303" spans="1:15">
      <c r="A303" s="46">
        <f ca="1">IFERROR(__xludf.DUMMYFUNCTION("""COMPUTED_VALUE"""),76664.437401342)</f>
        <v>76664.437401342002</v>
      </c>
      <c r="B303" s="184"/>
      <c r="O303" s="184">
        <f t="shared" si="1"/>
        <v>0</v>
      </c>
    </row>
    <row r="304" spans="1:15">
      <c r="A304" s="40"/>
      <c r="B304" s="184"/>
      <c r="O304" s="184">
        <f t="shared" si="1"/>
        <v>0</v>
      </c>
    </row>
    <row r="305" spans="1:15">
      <c r="A305" s="40"/>
      <c r="B305" s="184"/>
      <c r="O305" s="184">
        <f t="shared" si="1"/>
        <v>0</v>
      </c>
    </row>
    <row r="306" spans="1:15">
      <c r="A306" s="40"/>
      <c r="B306" s="184"/>
      <c r="O306" s="184">
        <f t="shared" si="1"/>
        <v>0</v>
      </c>
    </row>
    <row r="307" spans="1:15">
      <c r="A307" s="40" t="str">
        <f ca="1">IFERROR(__xludf.DUMMYFUNCTION("""COMPUTED_VALUE"""),"G3")</f>
        <v>G3</v>
      </c>
      <c r="B307" s="184"/>
      <c r="O307" s="184">
        <f t="shared" si="1"/>
        <v>0</v>
      </c>
    </row>
    <row r="308" spans="1:15">
      <c r="A308" s="46">
        <f ca="1">IFERROR(__xludf.DUMMYFUNCTION("""COMPUTED_VALUE"""),6559.26621859022)</f>
        <v>6559.26621859022</v>
      </c>
      <c r="B308" s="184"/>
      <c r="O308" s="184">
        <f t="shared" si="1"/>
        <v>0</v>
      </c>
    </row>
    <row r="309" spans="1:15">
      <c r="A309" s="46">
        <f ca="1">IFERROR(__xludf.DUMMYFUNCTION("""COMPUTED_VALUE"""),5171.80206781301)</f>
        <v>5171.8020678130097</v>
      </c>
      <c r="B309" s="184"/>
      <c r="O309" s="184">
        <f t="shared" si="1"/>
        <v>0</v>
      </c>
    </row>
    <row r="310" spans="1:15">
      <c r="A310" s="46">
        <f ca="1">IFERROR(__xludf.DUMMYFUNCTION("""COMPUTED_VALUE"""),5119.19074880736)</f>
        <v>5119.1907488073603</v>
      </c>
      <c r="B310" s="184"/>
      <c r="O310" s="184">
        <f t="shared" si="1"/>
        <v>0</v>
      </c>
    </row>
    <row r="311" spans="1:15">
      <c r="A311" s="46">
        <f ca="1">IFERROR(__xludf.DUMMYFUNCTION("""COMPUTED_VALUE"""),6557.69044396111)</f>
        <v>6557.6904439611098</v>
      </c>
      <c r="B311" s="184"/>
      <c r="O311" s="184">
        <f t="shared" si="1"/>
        <v>0</v>
      </c>
    </row>
    <row r="312" spans="1:15">
      <c r="A312" s="46">
        <f ca="1">IFERROR(__xludf.DUMMYFUNCTION("""COMPUTED_VALUE"""),6768.86919692817)</f>
        <v>6768.8691969281699</v>
      </c>
      <c r="B312" s="184"/>
      <c r="O312" s="184">
        <f t="shared" si="1"/>
        <v>0</v>
      </c>
    </row>
    <row r="313" spans="1:15">
      <c r="A313" s="46">
        <f ca="1">IFERROR(__xludf.DUMMYFUNCTION("""COMPUTED_VALUE"""),5741.06463943734)</f>
        <v>5741.0646394373398</v>
      </c>
      <c r="B313" s="184"/>
      <c r="O313" s="184">
        <f t="shared" si="1"/>
        <v>0</v>
      </c>
    </row>
    <row r="314" spans="1:15">
      <c r="A314" s="46">
        <f ca="1">IFERROR(__xludf.DUMMYFUNCTION("""COMPUTED_VALUE"""),7976.42919314231)</f>
        <v>7976.4291931423104</v>
      </c>
      <c r="B314" s="184"/>
      <c r="O314" s="184">
        <f t="shared" si="1"/>
        <v>0</v>
      </c>
    </row>
    <row r="315" spans="1:15">
      <c r="A315" s="46">
        <f ca="1">IFERROR(__xludf.DUMMYFUNCTION("""COMPUTED_VALUE"""),7286.59962209999)</f>
        <v>7286.5996220999896</v>
      </c>
      <c r="B315" s="184"/>
      <c r="O315" s="184">
        <f t="shared" si="1"/>
        <v>0</v>
      </c>
    </row>
    <row r="316" spans="1:15">
      <c r="A316" s="46">
        <f ca="1">IFERROR(__xludf.DUMMYFUNCTION("""COMPUTED_VALUE"""),5820.74324106981)</f>
        <v>5820.7432410698102</v>
      </c>
      <c r="B316" s="184"/>
      <c r="O316" s="184">
        <f t="shared" si="1"/>
        <v>0</v>
      </c>
    </row>
    <row r="317" spans="1:15">
      <c r="A317" s="46">
        <f ca="1">IFERROR(__xludf.DUMMYFUNCTION("""COMPUTED_VALUE"""),5764.32248547794)</f>
        <v>5764.3224854779401</v>
      </c>
      <c r="B317" s="184"/>
      <c r="O317" s="184">
        <f t="shared" si="1"/>
        <v>0</v>
      </c>
    </row>
    <row r="318" spans="1:15">
      <c r="A318" s="46">
        <f ca="1">IFERROR(__xludf.DUMMYFUNCTION("""COMPUTED_VALUE"""),5355.02326835519)</f>
        <v>5355.0232683551903</v>
      </c>
      <c r="B318" s="184"/>
      <c r="O318" s="184">
        <f t="shared" si="1"/>
        <v>0</v>
      </c>
    </row>
    <row r="319" spans="1:15">
      <c r="A319" s="46">
        <f ca="1">IFERROR(__xludf.DUMMYFUNCTION("""COMPUTED_VALUE"""),5796.44095138871)</f>
        <v>5796.4409513887103</v>
      </c>
      <c r="B319" s="184"/>
      <c r="O319" s="184">
        <f t="shared" si="1"/>
        <v>0</v>
      </c>
    </row>
    <row r="320" spans="1:15">
      <c r="A320" s="46">
        <f ca="1">IFERROR(__xludf.DUMMYFUNCTION("""COMPUTED_VALUE"""),73917.4420770711)</f>
        <v>73917.4420770711</v>
      </c>
      <c r="B320" s="184"/>
      <c r="O320" s="184">
        <f t="shared" si="1"/>
        <v>0</v>
      </c>
    </row>
    <row r="321" spans="1:15">
      <c r="A321" s="40"/>
      <c r="B321" s="184"/>
      <c r="O321" s="184">
        <f t="shared" si="1"/>
        <v>0</v>
      </c>
    </row>
    <row r="322" spans="1:15">
      <c r="A322" s="40"/>
      <c r="B322" s="184"/>
      <c r="O322" s="184">
        <f t="shared" si="1"/>
        <v>0</v>
      </c>
    </row>
    <row r="323" spans="1:15">
      <c r="A323" s="40"/>
      <c r="B323" s="184"/>
      <c r="O323" s="184">
        <f t="shared" si="1"/>
        <v>0</v>
      </c>
    </row>
    <row r="324" spans="1:15">
      <c r="A324" s="40" t="str">
        <f ca="1">IFERROR(__xludf.DUMMYFUNCTION("""COMPUTED_VALUE"""),"G4")</f>
        <v>G4</v>
      </c>
      <c r="B324" s="184"/>
      <c r="O324" s="184">
        <f t="shared" si="1"/>
        <v>0</v>
      </c>
    </row>
    <row r="325" spans="1:15">
      <c r="A325" s="46">
        <f ca="1">IFERROR(__xludf.DUMMYFUNCTION("""COMPUTED_VALUE"""),6911.93792498491)</f>
        <v>6911.9379249849098</v>
      </c>
      <c r="B325" s="184"/>
      <c r="O325" s="184">
        <f t="shared" si="1"/>
        <v>0</v>
      </c>
    </row>
    <row r="326" spans="1:15">
      <c r="A326" s="46">
        <f ca="1">IFERROR(__xludf.DUMMYFUNCTION("""COMPUTED_VALUE"""),5128.98634742094)</f>
        <v>5128.9863474209396</v>
      </c>
      <c r="B326" s="184"/>
      <c r="O326" s="184">
        <f t="shared" si="1"/>
        <v>0</v>
      </c>
    </row>
    <row r="327" spans="1:15">
      <c r="A327" s="46">
        <f ca="1">IFERROR(__xludf.DUMMYFUNCTION("""COMPUTED_VALUE"""),5139.92545121631)</f>
        <v>5139.9254512163097</v>
      </c>
      <c r="B327" s="184"/>
      <c r="O327" s="184">
        <f t="shared" si="1"/>
        <v>0</v>
      </c>
    </row>
    <row r="328" spans="1:15">
      <c r="A328" s="46">
        <f ca="1">IFERROR(__xludf.DUMMYFUNCTION("""COMPUTED_VALUE"""),7081.16938258846)</f>
        <v>7081.1693825884604</v>
      </c>
      <c r="B328" s="184"/>
      <c r="O328" s="184">
        <f t="shared" si="1"/>
        <v>0</v>
      </c>
    </row>
    <row r="329" spans="1:15">
      <c r="A329" s="46">
        <f ca="1">IFERROR(__xludf.DUMMYFUNCTION("""COMPUTED_VALUE"""),7397.3894229875)</f>
        <v>7397.3894229875004</v>
      </c>
      <c r="B329" s="184"/>
      <c r="O329" s="184">
        <f t="shared" si="1"/>
        <v>0</v>
      </c>
    </row>
    <row r="330" spans="1:15">
      <c r="A330" s="46">
        <f ca="1">IFERROR(__xludf.DUMMYFUNCTION("""COMPUTED_VALUE"""),6286.83376834456)</f>
        <v>6286.8337683445598</v>
      </c>
      <c r="B330" s="184"/>
      <c r="O330" s="184">
        <f t="shared" si="1"/>
        <v>0</v>
      </c>
    </row>
    <row r="331" spans="1:15">
      <c r="A331" s="46">
        <f ca="1">IFERROR(__xludf.DUMMYFUNCTION("""COMPUTED_VALUE"""),8237.03311016292)</f>
        <v>8237.0331101629199</v>
      </c>
      <c r="B331" s="184"/>
      <c r="O331" s="184">
        <f t="shared" si="1"/>
        <v>0</v>
      </c>
    </row>
    <row r="332" spans="1:15">
      <c r="A332" s="46">
        <f ca="1">IFERROR(__xludf.DUMMYFUNCTION("""COMPUTED_VALUE"""),7944.0879156535)</f>
        <v>7944.0879156535002</v>
      </c>
      <c r="B332" s="184"/>
      <c r="O332" s="184">
        <f t="shared" si="1"/>
        <v>0</v>
      </c>
    </row>
    <row r="333" spans="1:15">
      <c r="A333" s="46">
        <f ca="1">IFERROR(__xludf.DUMMYFUNCTION("""COMPUTED_VALUE"""),6521.79204089254)</f>
        <v>6521.7920408925402</v>
      </c>
      <c r="B333" s="184"/>
      <c r="O333" s="184">
        <f t="shared" si="1"/>
        <v>0</v>
      </c>
    </row>
    <row r="334" spans="1:15">
      <c r="A334" s="46">
        <f ca="1">IFERROR(__xludf.DUMMYFUNCTION("""COMPUTED_VALUE"""),6265.3422516514)</f>
        <v>6265.3422516514001</v>
      </c>
      <c r="B334" s="184"/>
      <c r="O334" s="184">
        <f t="shared" si="1"/>
        <v>0</v>
      </c>
    </row>
    <row r="335" spans="1:15">
      <c r="A335" s="46">
        <f ca="1">IFERROR(__xludf.DUMMYFUNCTION("""COMPUTED_VALUE"""),5479.00625184217)</f>
        <v>5479.0062518421701</v>
      </c>
      <c r="B335" s="184"/>
      <c r="O335" s="184">
        <f t="shared" si="1"/>
        <v>0</v>
      </c>
    </row>
    <row r="336" spans="1:15">
      <c r="A336" s="46">
        <f ca="1">IFERROR(__xludf.DUMMYFUNCTION("""COMPUTED_VALUE"""),5603.68816284787)</f>
        <v>5603.6881628478704</v>
      </c>
      <c r="B336" s="184"/>
      <c r="O336" s="184">
        <f t="shared" si="1"/>
        <v>0</v>
      </c>
    </row>
    <row r="337" spans="1:15">
      <c r="A337" s="46">
        <f ca="1">IFERROR(__xludf.DUMMYFUNCTION("""COMPUTED_VALUE"""),77997.1920305931)</f>
        <v>77997.192030593098</v>
      </c>
      <c r="B337" s="184"/>
      <c r="O337" s="184">
        <f t="shared" si="1"/>
        <v>0</v>
      </c>
    </row>
    <row r="338" spans="1:15">
      <c r="A338" s="40"/>
      <c r="B338" s="184"/>
      <c r="O338" s="184">
        <f t="shared" si="1"/>
        <v>0</v>
      </c>
    </row>
    <row r="339" spans="1:15">
      <c r="A339" s="40"/>
      <c r="B339" s="184"/>
      <c r="O339" s="184">
        <f t="shared" si="1"/>
        <v>0</v>
      </c>
    </row>
    <row r="340" spans="1:15">
      <c r="A340" s="40"/>
      <c r="B340" s="184"/>
      <c r="O340" s="184">
        <f t="shared" si="1"/>
        <v>0</v>
      </c>
    </row>
    <row r="341" spans="1:15">
      <c r="A341" s="40" t="str">
        <f ca="1">IFERROR(__xludf.DUMMYFUNCTION("""COMPUTED_VALUE"""),"G5")</f>
        <v>G5</v>
      </c>
      <c r="B341" s="184"/>
      <c r="O341" s="184">
        <f t="shared" si="1"/>
        <v>0</v>
      </c>
    </row>
    <row r="342" spans="1:15">
      <c r="A342" s="46">
        <f ca="1">IFERROR(__xludf.DUMMYFUNCTION("""COMPUTED_VALUE"""),5526.74561486974)</f>
        <v>5526.7456148697402</v>
      </c>
      <c r="B342" s="184"/>
      <c r="O342" s="184">
        <f t="shared" si="1"/>
        <v>0</v>
      </c>
    </row>
    <row r="343" spans="1:15">
      <c r="A343" s="46">
        <f ca="1">IFERROR(__xludf.DUMMYFUNCTION("""COMPUTED_VALUE"""),4343.03561469777)</f>
        <v>4343.0356146977701</v>
      </c>
      <c r="B343" s="184"/>
      <c r="O343" s="184">
        <f t="shared" si="1"/>
        <v>0</v>
      </c>
    </row>
    <row r="344" spans="1:15">
      <c r="A344" s="46">
        <f ca="1">IFERROR(__xludf.DUMMYFUNCTION("""COMPUTED_VALUE"""),4523.93748454008)</f>
        <v>4523.9374845400798</v>
      </c>
      <c r="B344" s="184"/>
      <c r="O344" s="184">
        <f t="shared" si="1"/>
        <v>0</v>
      </c>
    </row>
    <row r="345" spans="1:15">
      <c r="A345" s="46">
        <f ca="1">IFERROR(__xludf.DUMMYFUNCTION("""COMPUTED_VALUE"""),5495.94841629929)</f>
        <v>5495.9484162992903</v>
      </c>
      <c r="B345" s="184"/>
      <c r="O345" s="184">
        <f t="shared" si="1"/>
        <v>0</v>
      </c>
    </row>
    <row r="346" spans="1:15">
      <c r="A346" s="46">
        <f ca="1">IFERROR(__xludf.DUMMYFUNCTION("""COMPUTED_VALUE"""),5873.42330083246)</f>
        <v>5873.42330083246</v>
      </c>
      <c r="B346" s="184"/>
      <c r="O346" s="184">
        <f t="shared" si="1"/>
        <v>0</v>
      </c>
    </row>
    <row r="347" spans="1:15">
      <c r="A347" s="46">
        <f ca="1">IFERROR(__xludf.DUMMYFUNCTION("""COMPUTED_VALUE"""),5078.54765217121)</f>
        <v>5078.5476521712098</v>
      </c>
      <c r="B347" s="184"/>
      <c r="O347" s="184">
        <f t="shared" si="1"/>
        <v>0</v>
      </c>
    </row>
    <row r="348" spans="1:15">
      <c r="A348" s="46">
        <f ca="1">IFERROR(__xludf.DUMMYFUNCTION("""COMPUTED_VALUE"""),6417.42597295062)</f>
        <v>6417.4259729506202</v>
      </c>
      <c r="B348" s="184"/>
      <c r="O348" s="184">
        <f t="shared" si="1"/>
        <v>0</v>
      </c>
    </row>
    <row r="349" spans="1:15">
      <c r="A349" s="46">
        <f ca="1">IFERROR(__xludf.DUMMYFUNCTION("""COMPUTED_VALUE"""),6927.31995220438)</f>
        <v>6927.3199522043797</v>
      </c>
      <c r="B349" s="184"/>
      <c r="O349" s="184">
        <f t="shared" si="1"/>
        <v>0</v>
      </c>
    </row>
    <row r="350" spans="1:15">
      <c r="A350" s="46">
        <f ca="1">IFERROR(__xludf.DUMMYFUNCTION("""COMPUTED_VALUE"""),6053.66820664308)</f>
        <v>6053.6682066430803</v>
      </c>
      <c r="B350" s="184"/>
      <c r="O350" s="184">
        <f t="shared" si="1"/>
        <v>0</v>
      </c>
    </row>
    <row r="351" spans="1:15">
      <c r="A351" s="46">
        <f ca="1">IFERROR(__xludf.DUMMYFUNCTION("""COMPUTED_VALUE"""),5518.24026481445)</f>
        <v>5518.2402648144498</v>
      </c>
      <c r="B351" s="184"/>
      <c r="O351" s="184">
        <f t="shared" si="1"/>
        <v>0</v>
      </c>
    </row>
    <row r="352" spans="1:15">
      <c r="A352" s="46">
        <f ca="1">IFERROR(__xludf.DUMMYFUNCTION("""COMPUTED_VALUE"""),5353.92640797596)</f>
        <v>5353.9264079759596</v>
      </c>
      <c r="B352" s="184"/>
      <c r="O352" s="184">
        <f t="shared" si="1"/>
        <v>0</v>
      </c>
    </row>
    <row r="353" spans="1:15">
      <c r="A353" s="46">
        <f ca="1">IFERROR(__xludf.DUMMYFUNCTION("""COMPUTED_VALUE"""),5740.06592690115)</f>
        <v>5740.0659269011503</v>
      </c>
      <c r="B353" s="184"/>
      <c r="O353" s="184">
        <f t="shared" si="1"/>
        <v>0</v>
      </c>
    </row>
    <row r="354" spans="1:15">
      <c r="A354" s="46">
        <f ca="1">IFERROR(__xludf.DUMMYFUNCTION("""COMPUTED_VALUE"""),66852.2848149002)</f>
        <v>66852.284814900195</v>
      </c>
      <c r="B354" s="184"/>
      <c r="O354" s="184">
        <f t="shared" si="1"/>
        <v>0</v>
      </c>
    </row>
    <row r="355" spans="1:15">
      <c r="A355" s="40"/>
      <c r="B355" s="184"/>
      <c r="O355" s="184">
        <f t="shared" si="1"/>
        <v>0</v>
      </c>
    </row>
    <row r="356" spans="1:15">
      <c r="A356" s="40"/>
      <c r="B356" s="184"/>
      <c r="O356" s="184">
        <f t="shared" si="1"/>
        <v>0</v>
      </c>
    </row>
    <row r="357" spans="1:15">
      <c r="A357" s="40"/>
      <c r="B357" s="184"/>
      <c r="O357" s="184">
        <f t="shared" si="1"/>
        <v>0</v>
      </c>
    </row>
    <row r="358" spans="1:15">
      <c r="A358" s="40" t="str">
        <f ca="1">IFERROR(__xludf.DUMMYFUNCTION("""COMPUTED_VALUE"""),"G6")</f>
        <v>G6</v>
      </c>
      <c r="B358" s="184"/>
      <c r="O358" s="184">
        <f t="shared" si="1"/>
        <v>0</v>
      </c>
    </row>
    <row r="359" spans="1:15">
      <c r="A359" s="46">
        <f ca="1">IFERROR(__xludf.DUMMYFUNCTION("""COMPUTED_VALUE"""),6489.08258733649)</f>
        <v>6489.0825873364902</v>
      </c>
      <c r="B359" s="184"/>
      <c r="O359" s="184">
        <f t="shared" si="1"/>
        <v>0</v>
      </c>
    </row>
    <row r="360" spans="1:15">
      <c r="A360" s="46">
        <f ca="1">IFERROR(__xludf.DUMMYFUNCTION("""COMPUTED_VALUE"""),4470.4135978392)</f>
        <v>4470.4135978391996</v>
      </c>
      <c r="B360" s="184"/>
      <c r="O360" s="184">
        <f t="shared" si="1"/>
        <v>0</v>
      </c>
    </row>
    <row r="361" spans="1:15">
      <c r="A361" s="46">
        <f ca="1">IFERROR(__xludf.DUMMYFUNCTION("""COMPUTED_VALUE"""),5155.6352428094)</f>
        <v>5155.6352428093996</v>
      </c>
      <c r="B361" s="184"/>
      <c r="O361" s="184">
        <f t="shared" si="1"/>
        <v>0</v>
      </c>
    </row>
    <row r="362" spans="1:15">
      <c r="A362" s="46">
        <f ca="1">IFERROR(__xludf.DUMMYFUNCTION("""COMPUTED_VALUE"""),5781.81030009752)</f>
        <v>5781.8103000975198</v>
      </c>
      <c r="B362" s="184"/>
      <c r="O362" s="184">
        <f t="shared" si="1"/>
        <v>0</v>
      </c>
    </row>
    <row r="363" spans="1:15">
      <c r="A363" s="46">
        <f ca="1">IFERROR(__xludf.DUMMYFUNCTION("""COMPUTED_VALUE"""),6108.72369820598)</f>
        <v>6108.7236982059803</v>
      </c>
      <c r="B363" s="184"/>
      <c r="O363" s="184">
        <f t="shared" si="1"/>
        <v>0</v>
      </c>
    </row>
    <row r="364" spans="1:15">
      <c r="A364" s="46">
        <f ca="1">IFERROR(__xludf.DUMMYFUNCTION("""COMPUTED_VALUE"""),5213.25633335327)</f>
        <v>5213.2563333532698</v>
      </c>
      <c r="B364" s="184"/>
      <c r="O364" s="184">
        <f t="shared" si="1"/>
        <v>0</v>
      </c>
    </row>
    <row r="365" spans="1:15">
      <c r="A365" s="46">
        <f ca="1">IFERROR(__xludf.DUMMYFUNCTION("""COMPUTED_VALUE"""),6615.12136099433)</f>
        <v>6615.1213609943297</v>
      </c>
      <c r="B365" s="184"/>
      <c r="O365" s="184">
        <f t="shared" si="1"/>
        <v>0</v>
      </c>
    </row>
    <row r="366" spans="1:15">
      <c r="A366" s="46">
        <f ca="1">IFERROR(__xludf.DUMMYFUNCTION("""COMPUTED_VALUE"""),6806.61015650301)</f>
        <v>6806.6101565030103</v>
      </c>
      <c r="B366" s="184"/>
      <c r="O366" s="184">
        <f t="shared" si="1"/>
        <v>0</v>
      </c>
    </row>
    <row r="367" spans="1:15">
      <c r="A367" s="46">
        <f ca="1">IFERROR(__xludf.DUMMYFUNCTION("""COMPUTED_VALUE"""),5801.73395244509)</f>
        <v>5801.7339524450899</v>
      </c>
      <c r="B367" s="184"/>
      <c r="O367" s="184">
        <f t="shared" si="1"/>
        <v>0</v>
      </c>
    </row>
    <row r="368" spans="1:15">
      <c r="A368" s="46">
        <f ca="1">IFERROR(__xludf.DUMMYFUNCTION("""COMPUTED_VALUE"""),5377.05357020568)</f>
        <v>5377.0535702056804</v>
      </c>
      <c r="B368" s="184"/>
      <c r="O368" s="184">
        <f t="shared" si="1"/>
        <v>0</v>
      </c>
    </row>
    <row r="369" spans="1:15">
      <c r="A369" s="46">
        <f ca="1">IFERROR(__xludf.DUMMYFUNCTION("""COMPUTED_VALUE"""),5260.06134907756)</f>
        <v>5260.0613490775604</v>
      </c>
      <c r="B369" s="184"/>
      <c r="O369" s="184">
        <f t="shared" si="1"/>
        <v>0</v>
      </c>
    </row>
    <row r="370" spans="1:15">
      <c r="A370" s="46">
        <f ca="1">IFERROR(__xludf.DUMMYFUNCTION("""COMPUTED_VALUE"""),5487.42620038778)</f>
        <v>5487.4262003877802</v>
      </c>
      <c r="B370" s="184"/>
      <c r="O370" s="184">
        <f t="shared" si="1"/>
        <v>0</v>
      </c>
    </row>
    <row r="371" spans="1:15">
      <c r="A371" s="46">
        <f ca="1">IFERROR(__xludf.DUMMYFUNCTION("""COMPUTED_VALUE"""),68566.9283492553)</f>
        <v>68566.928349255293</v>
      </c>
      <c r="B371" s="184"/>
      <c r="O371" s="184">
        <f t="shared" si="1"/>
        <v>0</v>
      </c>
    </row>
    <row r="372" spans="1:15">
      <c r="A372" s="40"/>
      <c r="B372" s="184"/>
      <c r="O372" s="184">
        <f t="shared" si="1"/>
        <v>0</v>
      </c>
    </row>
    <row r="373" spans="1:15">
      <c r="A373" s="40"/>
      <c r="B373" s="184"/>
      <c r="O373" s="184">
        <f t="shared" si="1"/>
        <v>0</v>
      </c>
    </row>
    <row r="374" spans="1:15">
      <c r="A374" s="40"/>
      <c r="B374" s="184"/>
      <c r="O374" s="184">
        <f t="shared" si="1"/>
        <v>0</v>
      </c>
    </row>
    <row r="375" spans="1:15">
      <c r="A375" s="40" t="str">
        <f ca="1">IFERROR(__xludf.DUMMYFUNCTION("""COMPUTED_VALUE"""),"G7")</f>
        <v>G7</v>
      </c>
      <c r="B375" s="184"/>
      <c r="O375" s="184">
        <f t="shared" si="1"/>
        <v>0</v>
      </c>
    </row>
    <row r="376" spans="1:15">
      <c r="A376" s="46">
        <f ca="1">IFERROR(__xludf.DUMMYFUNCTION("""COMPUTED_VALUE"""),5787.4428447426)</f>
        <v>5787.4428447425998</v>
      </c>
      <c r="B376" s="184"/>
      <c r="O376" s="184">
        <f t="shared" si="1"/>
        <v>0</v>
      </c>
    </row>
    <row r="377" spans="1:15">
      <c r="A377" s="46">
        <f ca="1">IFERROR(__xludf.DUMMYFUNCTION("""COMPUTED_VALUE"""),4099.84621079096)</f>
        <v>4099.84621079096</v>
      </c>
      <c r="B377" s="184"/>
      <c r="O377" s="184">
        <f t="shared" si="1"/>
        <v>0</v>
      </c>
    </row>
    <row r="378" spans="1:15">
      <c r="A378" s="46">
        <f ca="1">IFERROR(__xludf.DUMMYFUNCTION("""COMPUTED_VALUE"""),4603.82461418422)</f>
        <v>4603.8246141842201</v>
      </c>
      <c r="B378" s="184"/>
      <c r="O378" s="184">
        <f t="shared" si="1"/>
        <v>0</v>
      </c>
    </row>
    <row r="379" spans="1:15">
      <c r="A379" s="46">
        <f ca="1">IFERROR(__xludf.DUMMYFUNCTION("""COMPUTED_VALUE"""),5634.77629330477)</f>
        <v>5634.7762933047698</v>
      </c>
      <c r="B379" s="184"/>
      <c r="O379" s="184">
        <f t="shared" si="1"/>
        <v>0</v>
      </c>
    </row>
    <row r="380" spans="1:15">
      <c r="A380" s="46">
        <f ca="1">IFERROR(__xludf.DUMMYFUNCTION("""COMPUTED_VALUE"""),6103.34260803736)</f>
        <v>6103.3426080373602</v>
      </c>
      <c r="B380" s="184"/>
      <c r="O380" s="184">
        <f t="shared" si="1"/>
        <v>0</v>
      </c>
    </row>
    <row r="381" spans="1:15">
      <c r="A381" s="46">
        <f ca="1">IFERROR(__xludf.DUMMYFUNCTION("""COMPUTED_VALUE"""),5263.80656381731)</f>
        <v>5263.8065638173102</v>
      </c>
      <c r="B381" s="184"/>
      <c r="O381" s="184">
        <f t="shared" si="1"/>
        <v>0</v>
      </c>
    </row>
    <row r="382" spans="1:15">
      <c r="A382" s="46">
        <f ca="1">IFERROR(__xludf.DUMMYFUNCTION("""COMPUTED_VALUE"""),6635.04497575283)</f>
        <v>6635.0449757528304</v>
      </c>
      <c r="B382" s="184"/>
      <c r="O382" s="184">
        <f t="shared" si="1"/>
        <v>0</v>
      </c>
    </row>
    <row r="383" spans="1:15">
      <c r="A383" s="46">
        <f ca="1">IFERROR(__xludf.DUMMYFUNCTION("""COMPUTED_VALUE"""),6756.06020595659)</f>
        <v>6756.0602059565899</v>
      </c>
      <c r="B383" s="184"/>
      <c r="O383" s="184">
        <f t="shared" si="1"/>
        <v>0</v>
      </c>
    </row>
    <row r="384" spans="1:15">
      <c r="A384" s="46">
        <f ca="1">IFERROR(__xludf.DUMMYFUNCTION("""COMPUTED_VALUE"""),5367.94674351341)</f>
        <v>5367.9467435134102</v>
      </c>
      <c r="B384" s="184"/>
      <c r="O384" s="184">
        <f t="shared" si="1"/>
        <v>0</v>
      </c>
    </row>
    <row r="385" spans="1:15">
      <c r="A385" s="46">
        <f ca="1">IFERROR(__xludf.DUMMYFUNCTION("""COMPUTED_VALUE"""),5046.98698893444)</f>
        <v>5046.98698893444</v>
      </c>
      <c r="B385" s="184"/>
      <c r="O385" s="184">
        <f t="shared" si="1"/>
        <v>0</v>
      </c>
    </row>
    <row r="386" spans="1:15">
      <c r="A386" s="46">
        <f ca="1">IFERROR(__xludf.DUMMYFUNCTION("""COMPUTED_VALUE"""),4840.63586724546)</f>
        <v>4840.6358672454598</v>
      </c>
      <c r="B386" s="184"/>
      <c r="O386" s="184">
        <f t="shared" si="1"/>
        <v>0</v>
      </c>
    </row>
    <row r="387" spans="1:15">
      <c r="A387" s="46">
        <f ca="1">IFERROR(__xludf.DUMMYFUNCTION("""COMPUTED_VALUE"""),4816.99325667461)</f>
        <v>4816.9932566746102</v>
      </c>
      <c r="B387" s="184"/>
      <c r="O387" s="184">
        <f t="shared" si="1"/>
        <v>0</v>
      </c>
    </row>
    <row r="388" spans="1:15">
      <c r="A388" s="46">
        <f ca="1">IFERROR(__xludf.DUMMYFUNCTION("""COMPUTED_VALUE"""),64956.7071729546)</f>
        <v>64956.707172954601</v>
      </c>
      <c r="B388" s="184"/>
      <c r="O388" s="184">
        <f t="shared" si="1"/>
        <v>0</v>
      </c>
    </row>
    <row r="389" spans="1:15">
      <c r="A389" s="40"/>
      <c r="B389" s="184"/>
      <c r="O389" s="184">
        <f t="shared" si="1"/>
        <v>0</v>
      </c>
    </row>
    <row r="390" spans="1:15">
      <c r="A390" s="40"/>
      <c r="B390" s="184"/>
      <c r="O390" s="184">
        <f t="shared" si="1"/>
        <v>0</v>
      </c>
    </row>
    <row r="391" spans="1:15">
      <c r="A391" s="40"/>
      <c r="B391" s="184"/>
      <c r="O391" s="184">
        <f t="shared" si="1"/>
        <v>0</v>
      </c>
    </row>
    <row r="392" spans="1:15">
      <c r="A392" s="40" t="str">
        <f ca="1">IFERROR(__xludf.DUMMYFUNCTION("""COMPUTED_VALUE"""),"G8")</f>
        <v>G8</v>
      </c>
      <c r="B392" s="184"/>
      <c r="O392" s="184">
        <f t="shared" si="1"/>
        <v>0</v>
      </c>
    </row>
    <row r="393" spans="1:15">
      <c r="A393" s="46">
        <f ca="1">IFERROR(__xludf.DUMMYFUNCTION("""COMPUTED_VALUE"""),6345.8225665796)</f>
        <v>6345.8225665795999</v>
      </c>
      <c r="B393" s="184"/>
      <c r="O393" s="184">
        <f t="shared" si="1"/>
        <v>0</v>
      </c>
    </row>
    <row r="394" spans="1:15">
      <c r="A394" s="46">
        <f ca="1">IFERROR(__xludf.DUMMYFUNCTION("""COMPUTED_VALUE"""),4789.41744421096)</f>
        <v>4789.4174442109597</v>
      </c>
      <c r="B394" s="184"/>
      <c r="O394" s="184">
        <f t="shared" si="1"/>
        <v>0</v>
      </c>
    </row>
    <row r="395" spans="1:15">
      <c r="A395" s="46">
        <f ca="1">IFERROR(__xludf.DUMMYFUNCTION("""COMPUTED_VALUE"""),4713.93591689624)</f>
        <v>4713.9359168962401</v>
      </c>
      <c r="B395" s="184"/>
      <c r="O395" s="184">
        <f t="shared" si="1"/>
        <v>0</v>
      </c>
    </row>
    <row r="396" spans="1:15">
      <c r="A396" s="46">
        <f ca="1">IFERROR(__xludf.DUMMYFUNCTION("""COMPUTED_VALUE"""),5956.93452039284)</f>
        <v>5956.9345203928397</v>
      </c>
      <c r="B396" s="184"/>
      <c r="O396" s="184">
        <f t="shared" si="1"/>
        <v>0</v>
      </c>
    </row>
    <row r="397" spans="1:15">
      <c r="A397" s="46">
        <f ca="1">IFERROR(__xludf.DUMMYFUNCTION("""COMPUTED_VALUE"""),6522.13373297904)</f>
        <v>6522.1337329790404</v>
      </c>
      <c r="B397" s="184"/>
      <c r="O397" s="184">
        <f t="shared" si="1"/>
        <v>0</v>
      </c>
    </row>
    <row r="398" spans="1:15">
      <c r="A398" s="46">
        <f ca="1">IFERROR(__xludf.DUMMYFUNCTION("""COMPUTED_VALUE"""),5666.67180660365)</f>
        <v>5666.6718066036501</v>
      </c>
      <c r="B398" s="184"/>
      <c r="O398" s="184">
        <f t="shared" si="1"/>
        <v>0</v>
      </c>
    </row>
    <row r="399" spans="1:15">
      <c r="A399" s="46">
        <f ca="1">IFERROR(__xludf.DUMMYFUNCTION("""COMPUTED_VALUE"""),7022.83821341234)</f>
        <v>7022.8382134123403</v>
      </c>
      <c r="B399" s="184"/>
      <c r="O399" s="184">
        <f t="shared" si="1"/>
        <v>0</v>
      </c>
    </row>
    <row r="400" spans="1:15">
      <c r="A400" s="46">
        <f ca="1">IFERROR(__xludf.DUMMYFUNCTION("""COMPUTED_VALUE"""),7338.40144659052)</f>
        <v>7338.4014465905202</v>
      </c>
      <c r="B400" s="184"/>
      <c r="O400" s="184">
        <f t="shared" si="1"/>
        <v>0</v>
      </c>
    </row>
    <row r="401" spans="1:15">
      <c r="A401" s="46">
        <f ca="1">IFERROR(__xludf.DUMMYFUNCTION("""COMPUTED_VALUE"""),5251.83627293396)</f>
        <v>5251.8362729339597</v>
      </c>
      <c r="B401" s="184"/>
      <c r="O401" s="184">
        <f t="shared" si="1"/>
        <v>0</v>
      </c>
    </row>
    <row r="402" spans="1:15">
      <c r="A402" s="46">
        <f ca="1">IFERROR(__xludf.DUMMYFUNCTION("""COMPUTED_VALUE"""),5180.82484928124)</f>
        <v>5180.8248492812399</v>
      </c>
      <c r="B402" s="184"/>
      <c r="O402" s="184">
        <f t="shared" si="1"/>
        <v>0</v>
      </c>
    </row>
    <row r="403" spans="1:15">
      <c r="A403" s="46">
        <f ca="1">IFERROR(__xludf.DUMMYFUNCTION("""COMPUTED_VALUE"""),5744.12415018269)</f>
        <v>5744.1241501826898</v>
      </c>
      <c r="B403" s="184"/>
      <c r="O403" s="184">
        <f t="shared" si="1"/>
        <v>0</v>
      </c>
    </row>
    <row r="404" spans="1:15">
      <c r="A404" s="46">
        <f ca="1">IFERROR(__xludf.DUMMYFUNCTION("""COMPUTED_VALUE"""),5066.89074526014)</f>
        <v>5066.8907452601397</v>
      </c>
      <c r="B404" s="184"/>
      <c r="O404" s="184">
        <f t="shared" si="1"/>
        <v>0</v>
      </c>
    </row>
    <row r="405" spans="1:15">
      <c r="A405" s="46">
        <f ca="1">IFERROR(__xludf.DUMMYFUNCTION("""COMPUTED_VALUE"""),69599.8316653232)</f>
        <v>69599.831665323203</v>
      </c>
      <c r="B405" s="184"/>
      <c r="O405" s="184">
        <f t="shared" si="1"/>
        <v>0</v>
      </c>
    </row>
    <row r="406" spans="1:15">
      <c r="A406" s="40"/>
      <c r="B406" s="184"/>
      <c r="O406" s="184">
        <f t="shared" si="1"/>
        <v>0</v>
      </c>
    </row>
    <row r="407" spans="1:15">
      <c r="A407" s="40"/>
      <c r="B407" s="184"/>
      <c r="O407" s="184">
        <f t="shared" si="1"/>
        <v>0</v>
      </c>
    </row>
    <row r="408" spans="1:15">
      <c r="A408" s="40"/>
      <c r="B408" s="184"/>
      <c r="O408" s="184">
        <f t="shared" si="1"/>
        <v>0</v>
      </c>
    </row>
    <row r="409" spans="1:15">
      <c r="A409" s="40" t="str">
        <f ca="1">IFERROR(__xludf.DUMMYFUNCTION("""COMPUTED_VALUE"""),"G9")</f>
        <v>G9</v>
      </c>
      <c r="B409" s="184"/>
      <c r="O409" s="184">
        <f t="shared" si="1"/>
        <v>0</v>
      </c>
    </row>
    <row r="410" spans="1:15">
      <c r="A410" s="46">
        <f ca="1">IFERROR(__xludf.DUMMYFUNCTION("""COMPUTED_VALUE"""),6245.50270624271)</f>
        <v>6245.5027062427098</v>
      </c>
      <c r="B410" s="184"/>
      <c r="O410" s="184">
        <f t="shared" si="1"/>
        <v>0</v>
      </c>
    </row>
    <row r="411" spans="1:15">
      <c r="A411" s="46">
        <f ca="1">IFERROR(__xludf.DUMMYFUNCTION("""COMPUTED_VALUE"""),4729.60743160555)</f>
        <v>4729.6074316055501</v>
      </c>
      <c r="B411" s="184"/>
      <c r="O411" s="184">
        <f t="shared" si="1"/>
        <v>0</v>
      </c>
    </row>
    <row r="412" spans="1:15">
      <c r="A412" s="46">
        <f ca="1">IFERROR(__xludf.DUMMYFUNCTION("""COMPUTED_VALUE"""),5202.59785118929)</f>
        <v>5202.5978511892899</v>
      </c>
      <c r="B412" s="184"/>
      <c r="O412" s="184">
        <f t="shared" si="1"/>
        <v>0</v>
      </c>
    </row>
    <row r="413" spans="1:15">
      <c r="A413" s="46">
        <f ca="1">IFERROR(__xludf.DUMMYFUNCTION("""COMPUTED_VALUE"""),5869.09204117383)</f>
        <v>5869.0920411738298</v>
      </c>
      <c r="B413" s="184"/>
      <c r="O413" s="184">
        <f t="shared" si="1"/>
        <v>0</v>
      </c>
    </row>
    <row r="414" spans="1:15">
      <c r="A414" s="46">
        <f ca="1">IFERROR(__xludf.DUMMYFUNCTION("""COMPUTED_VALUE"""),6284.66583433578)</f>
        <v>6284.6658343357803</v>
      </c>
      <c r="B414" s="184"/>
      <c r="O414" s="184">
        <f t="shared" si="1"/>
        <v>0</v>
      </c>
    </row>
    <row r="415" spans="1:15">
      <c r="A415" s="46">
        <f ca="1">IFERROR(__xludf.DUMMYFUNCTION("""COMPUTED_VALUE"""),5381.78141091658)</f>
        <v>5381.7814109165802</v>
      </c>
      <c r="B415" s="184"/>
      <c r="O415" s="184">
        <f t="shared" si="1"/>
        <v>0</v>
      </c>
    </row>
    <row r="416" spans="1:15">
      <c r="A416" s="46">
        <f ca="1">IFERROR(__xludf.DUMMYFUNCTION("""COMPUTED_VALUE"""),6907.69965238397)</f>
        <v>6907.6996523839698</v>
      </c>
      <c r="B416" s="184"/>
      <c r="O416" s="184">
        <f t="shared" si="1"/>
        <v>0</v>
      </c>
    </row>
    <row r="417" spans="1:15">
      <c r="A417" s="46">
        <f ca="1">IFERROR(__xludf.DUMMYFUNCTION("""COMPUTED_VALUE"""),7029.25705041638)</f>
        <v>7029.2570504163796</v>
      </c>
      <c r="B417" s="184"/>
      <c r="O417" s="184">
        <f t="shared" si="1"/>
        <v>0</v>
      </c>
    </row>
    <row r="418" spans="1:15">
      <c r="A418" s="46">
        <f ca="1">IFERROR(__xludf.DUMMYFUNCTION("""COMPUTED_VALUE"""),5714.53997917119)</f>
        <v>5714.5399791711898</v>
      </c>
      <c r="B418" s="184"/>
      <c r="O418" s="184">
        <f t="shared" si="1"/>
        <v>0</v>
      </c>
    </row>
    <row r="419" spans="1:15">
      <c r="A419" s="46">
        <f ca="1">IFERROR(__xludf.DUMMYFUNCTION("""COMPUTED_VALUE"""),5562.90523797688)</f>
        <v>5562.90523797688</v>
      </c>
      <c r="B419" s="184"/>
      <c r="O419" s="184">
        <f t="shared" si="1"/>
        <v>0</v>
      </c>
    </row>
    <row r="420" spans="1:15">
      <c r="A420" s="46">
        <f ca="1">IFERROR(__xludf.DUMMYFUNCTION("""COMPUTED_VALUE"""),5123.53457973591)</f>
        <v>5123.5345797359096</v>
      </c>
      <c r="B420" s="184"/>
      <c r="O420" s="184">
        <f t="shared" si="1"/>
        <v>0</v>
      </c>
    </row>
    <row r="421" spans="1:15">
      <c r="A421" s="46">
        <f ca="1">IFERROR(__xludf.DUMMYFUNCTION("""COMPUTED_VALUE"""),5589.91497195549)</f>
        <v>5589.9149719554898</v>
      </c>
      <c r="B421" s="184"/>
      <c r="O421" s="184">
        <f t="shared" si="1"/>
        <v>0</v>
      </c>
    </row>
    <row r="422" spans="1:15">
      <c r="A422" s="46">
        <f ca="1">IFERROR(__xludf.DUMMYFUNCTION("""COMPUTED_VALUE"""),69641.0987471036)</f>
        <v>69641.098747103606</v>
      </c>
      <c r="B422" s="184"/>
      <c r="O422" s="184">
        <f t="shared" si="1"/>
        <v>0</v>
      </c>
    </row>
    <row r="423" spans="1:15">
      <c r="A423" s="40"/>
      <c r="B423" s="184"/>
      <c r="O423" s="184">
        <f t="shared" si="1"/>
        <v>0</v>
      </c>
    </row>
    <row r="424" spans="1:15">
      <c r="A424" s="40"/>
      <c r="B424" s="184"/>
      <c r="O424" s="184">
        <f t="shared" si="1"/>
        <v>0</v>
      </c>
    </row>
    <row r="425" spans="1:15">
      <c r="A425" s="40"/>
      <c r="B425" s="184"/>
      <c r="O425" s="184">
        <f t="shared" si="1"/>
        <v>0</v>
      </c>
    </row>
    <row r="426" spans="1:15">
      <c r="A426" s="40" t="str">
        <f ca="1">IFERROR(__xludf.DUMMYFUNCTION("""COMPUTED_VALUE"""),"G10")</f>
        <v>G10</v>
      </c>
      <c r="B426" s="184"/>
      <c r="O426" s="184">
        <f t="shared" si="1"/>
        <v>0</v>
      </c>
    </row>
    <row r="427" spans="1:15">
      <c r="A427" s="46">
        <f ca="1">IFERROR(__xludf.DUMMYFUNCTION("""COMPUTED_VALUE"""),6258.99207644042)</f>
        <v>6258.9920764404196</v>
      </c>
      <c r="B427" s="184"/>
      <c r="O427" s="184">
        <f t="shared" si="1"/>
        <v>0</v>
      </c>
    </row>
    <row r="428" spans="1:15">
      <c r="A428" s="46">
        <f ca="1">IFERROR(__xludf.DUMMYFUNCTION("""COMPUTED_VALUE"""),4807.30187679243)</f>
        <v>4807.3018767924304</v>
      </c>
      <c r="B428" s="184"/>
      <c r="O428" s="184">
        <f t="shared" si="1"/>
        <v>0</v>
      </c>
    </row>
    <row r="429" spans="1:15">
      <c r="A429" s="46">
        <f ca="1">IFERROR(__xludf.DUMMYFUNCTION("""COMPUTED_VALUE"""),5061.32578991709)</f>
        <v>5061.3257899170903</v>
      </c>
      <c r="B429" s="184"/>
      <c r="O429" s="184">
        <f t="shared" si="1"/>
        <v>0</v>
      </c>
    </row>
    <row r="430" spans="1:15">
      <c r="A430" s="46">
        <f ca="1">IFERROR(__xludf.DUMMYFUNCTION("""COMPUTED_VALUE"""),6007.79448962382)</f>
        <v>6007.7944896238196</v>
      </c>
      <c r="B430" s="184"/>
      <c r="O430" s="184">
        <f t="shared" si="1"/>
        <v>0</v>
      </c>
    </row>
    <row r="431" spans="1:15">
      <c r="A431" s="46">
        <f ca="1">IFERROR(__xludf.DUMMYFUNCTION("""COMPUTED_VALUE"""),6373.41996831885)</f>
        <v>6373.4199683188499</v>
      </c>
      <c r="B431" s="184"/>
      <c r="O431" s="184">
        <f t="shared" si="1"/>
        <v>0</v>
      </c>
    </row>
    <row r="432" spans="1:15">
      <c r="A432" s="46">
        <f ca="1">IFERROR(__xludf.DUMMYFUNCTION("""COMPUTED_VALUE"""),5248.40115453326)</f>
        <v>5248.4011545332596</v>
      </c>
      <c r="B432" s="184"/>
      <c r="O432" s="184">
        <f t="shared" si="1"/>
        <v>0</v>
      </c>
    </row>
    <row r="433" spans="1:15">
      <c r="A433" s="46">
        <f ca="1">IFERROR(__xludf.DUMMYFUNCTION("""COMPUTED_VALUE"""),6161.12859269724)</f>
        <v>6161.1285926972396</v>
      </c>
      <c r="B433" s="184"/>
      <c r="O433" s="184">
        <f t="shared" si="1"/>
        <v>0</v>
      </c>
    </row>
    <row r="434" spans="1:15">
      <c r="A434" s="46">
        <f ca="1">IFERROR(__xludf.DUMMYFUNCTION("""COMPUTED_VALUE"""),7838.44502656723)</f>
        <v>7838.4450265672303</v>
      </c>
      <c r="B434" s="184"/>
      <c r="O434" s="184">
        <f t="shared" si="1"/>
        <v>0</v>
      </c>
    </row>
    <row r="435" spans="1:15">
      <c r="A435" s="46">
        <f ca="1">IFERROR(__xludf.DUMMYFUNCTION("""COMPUTED_VALUE"""),5226.18066936157)</f>
        <v>5226.1806693615699</v>
      </c>
      <c r="B435" s="184"/>
      <c r="O435" s="184">
        <f t="shared" si="1"/>
        <v>0</v>
      </c>
    </row>
    <row r="436" spans="1:15">
      <c r="A436" s="46">
        <f ca="1">IFERROR(__xludf.DUMMYFUNCTION("""COMPUTED_VALUE"""),5363.24666947107)</f>
        <v>5363.2466694710702</v>
      </c>
      <c r="B436" s="184"/>
      <c r="O436" s="184">
        <f t="shared" si="1"/>
        <v>0</v>
      </c>
    </row>
    <row r="437" spans="1:15">
      <c r="A437" s="46">
        <f ca="1">IFERROR(__xludf.DUMMYFUNCTION("""COMPUTED_VALUE"""),4723.6754540238)</f>
        <v>4723.6754540237998</v>
      </c>
      <c r="B437" s="184"/>
      <c r="O437" s="184">
        <f t="shared" si="1"/>
        <v>0</v>
      </c>
    </row>
    <row r="438" spans="1:15">
      <c r="A438" s="46">
        <f ca="1">IFERROR(__xludf.DUMMYFUNCTION("""COMPUTED_VALUE"""),4896.29700836202)</f>
        <v>4896.2970083620203</v>
      </c>
      <c r="B438" s="184"/>
      <c r="O438" s="184">
        <f t="shared" si="1"/>
        <v>0</v>
      </c>
    </row>
    <row r="439" spans="1:15">
      <c r="A439" s="46">
        <f ca="1">IFERROR(__xludf.DUMMYFUNCTION("""COMPUTED_VALUE"""),67966.2087761088)</f>
        <v>67966.208776108804</v>
      </c>
      <c r="B439" s="184"/>
      <c r="O439" s="184">
        <f t="shared" si="1"/>
        <v>0</v>
      </c>
    </row>
    <row r="440" spans="1:15">
      <c r="A440" s="40"/>
      <c r="B440" s="184"/>
      <c r="O440" s="184">
        <f t="shared" si="1"/>
        <v>0</v>
      </c>
    </row>
    <row r="441" spans="1:15">
      <c r="A441" s="40"/>
      <c r="B441" s="184"/>
      <c r="O441" s="184">
        <f t="shared" si="1"/>
        <v>0</v>
      </c>
    </row>
    <row r="442" spans="1:15">
      <c r="A442" s="40"/>
      <c r="B442" s="184"/>
      <c r="O442" s="184">
        <f t="shared" si="1"/>
        <v>0</v>
      </c>
    </row>
    <row r="443" spans="1:15">
      <c r="A443" s="40" t="str">
        <f ca="1">IFERROR(__xludf.DUMMYFUNCTION("""COMPUTED_VALUE"""),"G11")</f>
        <v>G11</v>
      </c>
      <c r="B443" s="184"/>
      <c r="O443" s="184">
        <f t="shared" si="1"/>
        <v>0</v>
      </c>
    </row>
    <row r="444" spans="1:15">
      <c r="A444" s="46">
        <f ca="1">IFERROR(__xludf.DUMMYFUNCTION("""COMPUTED_VALUE"""),5638.7301984201)</f>
        <v>5638.7301984201004</v>
      </c>
      <c r="B444" s="184"/>
      <c r="O444" s="184">
        <f t="shared" si="1"/>
        <v>0</v>
      </c>
    </row>
    <row r="445" spans="1:15">
      <c r="A445" s="46">
        <f ca="1">IFERROR(__xludf.DUMMYFUNCTION("""COMPUTED_VALUE"""),4416.46870608529)</f>
        <v>4416.4687060852903</v>
      </c>
      <c r="B445" s="184"/>
      <c r="O445" s="184">
        <f t="shared" si="1"/>
        <v>0</v>
      </c>
    </row>
    <row r="446" spans="1:15">
      <c r="A446" s="46">
        <f ca="1">IFERROR(__xludf.DUMMYFUNCTION("""COMPUTED_VALUE"""),4540.99344942485)</f>
        <v>4540.99344942485</v>
      </c>
      <c r="B446" s="184"/>
      <c r="O446" s="184">
        <f t="shared" si="1"/>
        <v>0</v>
      </c>
    </row>
    <row r="447" spans="1:15">
      <c r="A447" s="46">
        <f ca="1">IFERROR(__xludf.DUMMYFUNCTION("""COMPUTED_VALUE"""),5376.77917988309)</f>
        <v>5376.7791798830904</v>
      </c>
      <c r="B447" s="184"/>
      <c r="O447" s="184">
        <f t="shared" si="1"/>
        <v>0</v>
      </c>
    </row>
    <row r="448" spans="1:15">
      <c r="A448" s="46">
        <f ca="1">IFERROR(__xludf.DUMMYFUNCTION("""COMPUTED_VALUE"""),5757.39632356021)</f>
        <v>5757.3963235602096</v>
      </c>
      <c r="B448" s="184"/>
      <c r="O448" s="184">
        <f t="shared" si="1"/>
        <v>0</v>
      </c>
    </row>
    <row r="449" spans="1:15">
      <c r="A449" s="46">
        <f ca="1">IFERROR(__xludf.DUMMYFUNCTION("""COMPUTED_VALUE"""),4934.61936543297)</f>
        <v>4934.61936543297</v>
      </c>
      <c r="B449" s="184"/>
      <c r="O449" s="184">
        <f t="shared" si="1"/>
        <v>0</v>
      </c>
    </row>
    <row r="450" spans="1:15">
      <c r="A450" s="46">
        <f ca="1">IFERROR(__xludf.DUMMYFUNCTION("""COMPUTED_VALUE"""),6180.94594817703)</f>
        <v>6180.94594817703</v>
      </c>
      <c r="B450" s="184"/>
      <c r="O450" s="184">
        <f t="shared" si="1"/>
        <v>0</v>
      </c>
    </row>
    <row r="451" spans="1:15">
      <c r="A451" s="46">
        <f ca="1">IFERROR(__xludf.DUMMYFUNCTION("""COMPUTED_VALUE"""),6627.65171089039)</f>
        <v>6627.6517108903899</v>
      </c>
      <c r="B451" s="184"/>
      <c r="O451" s="184">
        <f t="shared" si="1"/>
        <v>0</v>
      </c>
    </row>
    <row r="452" spans="1:15">
      <c r="A452" s="46">
        <f ca="1">IFERROR(__xludf.DUMMYFUNCTION("""COMPUTED_VALUE"""),4919.91690171617)</f>
        <v>4919.9169017161703</v>
      </c>
      <c r="B452" s="184"/>
      <c r="O452" s="184">
        <f t="shared" si="1"/>
        <v>0</v>
      </c>
    </row>
    <row r="453" spans="1:15">
      <c r="A453" s="46">
        <f ca="1">IFERROR(__xludf.DUMMYFUNCTION("""COMPUTED_VALUE"""),4755.18630727982)</f>
        <v>4755.1863072798196</v>
      </c>
      <c r="B453" s="184"/>
      <c r="O453" s="184">
        <f t="shared" si="1"/>
        <v>0</v>
      </c>
    </row>
    <row r="454" spans="1:15">
      <c r="A454" s="46">
        <f ca="1">IFERROR(__xludf.DUMMYFUNCTION("""COMPUTED_VALUE"""),4530.2580434065)</f>
        <v>4530.2580434065003</v>
      </c>
      <c r="B454" s="184"/>
      <c r="O454" s="184">
        <f t="shared" si="1"/>
        <v>0</v>
      </c>
    </row>
    <row r="455" spans="1:15">
      <c r="A455" s="46">
        <f ca="1">IFERROR(__xludf.DUMMYFUNCTION("""COMPUTED_VALUE"""),4928.05389275218)</f>
        <v>4928.0538927521802</v>
      </c>
      <c r="B455" s="184"/>
      <c r="O455" s="184">
        <f t="shared" si="1"/>
        <v>0</v>
      </c>
    </row>
    <row r="456" spans="1:15">
      <c r="A456" s="46">
        <f ca="1">IFERROR(__xludf.DUMMYFUNCTION("""COMPUTED_VALUE"""),62607.0000270286)</f>
        <v>62607.000027028596</v>
      </c>
      <c r="B456" s="184"/>
      <c r="O456" s="184">
        <f t="shared" si="1"/>
        <v>0</v>
      </c>
    </row>
    <row r="457" spans="1:15">
      <c r="A457" s="40"/>
      <c r="B457" s="184"/>
      <c r="O457" s="184">
        <f t="shared" si="1"/>
        <v>0</v>
      </c>
    </row>
    <row r="458" spans="1:15">
      <c r="A458" s="40"/>
      <c r="B458" s="184"/>
      <c r="O458" s="184">
        <f t="shared" si="1"/>
        <v>0</v>
      </c>
    </row>
    <row r="459" spans="1:15">
      <c r="A459" s="40"/>
      <c r="B459" s="184"/>
      <c r="O459" s="184">
        <f t="shared" si="1"/>
        <v>0</v>
      </c>
    </row>
    <row r="460" spans="1:15">
      <c r="A460" s="40" t="str">
        <f ca="1">IFERROR(__xludf.DUMMYFUNCTION("""COMPUTED_VALUE"""),"G12")</f>
        <v>G12</v>
      </c>
      <c r="B460" s="184"/>
      <c r="O460" s="184">
        <f t="shared" si="1"/>
        <v>0</v>
      </c>
    </row>
    <row r="461" spans="1:15">
      <c r="A461" s="46">
        <f ca="1">IFERROR(__xludf.DUMMYFUNCTION("""COMPUTED_VALUE"""),5836.51647483311)</f>
        <v>5836.5164748331099</v>
      </c>
      <c r="B461" s="184"/>
      <c r="O461" s="184">
        <f t="shared" si="1"/>
        <v>0</v>
      </c>
    </row>
    <row r="462" spans="1:15">
      <c r="A462" s="46">
        <f ca="1">IFERROR(__xludf.DUMMYFUNCTION("""COMPUTED_VALUE"""),5143.60696772671)</f>
        <v>5143.6069677267096</v>
      </c>
      <c r="B462" s="184"/>
      <c r="O462" s="184">
        <f t="shared" si="1"/>
        <v>0</v>
      </c>
    </row>
    <row r="463" spans="1:15">
      <c r="A463" s="46">
        <f ca="1">IFERROR(__xludf.DUMMYFUNCTION("""COMPUTED_VALUE"""),5032.23032040777)</f>
        <v>5032.2303204077698</v>
      </c>
      <c r="B463" s="184"/>
      <c r="O463" s="184">
        <f t="shared" si="1"/>
        <v>0</v>
      </c>
    </row>
    <row r="464" spans="1:15">
      <c r="A464" s="46">
        <f ca="1">IFERROR(__xludf.DUMMYFUNCTION("""COMPUTED_VALUE"""),6120.02007775848)</f>
        <v>6120.0200777584796</v>
      </c>
      <c r="B464" s="184"/>
      <c r="O464" s="184">
        <f t="shared" si="1"/>
        <v>0</v>
      </c>
    </row>
    <row r="465" spans="1:15">
      <c r="A465" s="46">
        <f ca="1">IFERROR(__xludf.DUMMYFUNCTION("""COMPUTED_VALUE"""),6118.6409139713)</f>
        <v>6118.6409139712996</v>
      </c>
      <c r="B465" s="184"/>
      <c r="O465" s="184">
        <f t="shared" si="1"/>
        <v>0</v>
      </c>
    </row>
    <row r="466" spans="1:15">
      <c r="A466" s="46">
        <f ca="1">IFERROR(__xludf.DUMMYFUNCTION("""COMPUTED_VALUE"""),4977.84119148056)</f>
        <v>4977.8411914805602</v>
      </c>
      <c r="B466" s="184"/>
      <c r="O466" s="184">
        <f t="shared" si="1"/>
        <v>0</v>
      </c>
    </row>
    <row r="467" spans="1:15">
      <c r="A467" s="46">
        <f ca="1">IFERROR(__xludf.DUMMYFUNCTION("""COMPUTED_VALUE"""),6565.71079639324)</f>
        <v>6565.7107963932403</v>
      </c>
      <c r="B467" s="184"/>
      <c r="O467" s="184">
        <f t="shared" si="1"/>
        <v>0</v>
      </c>
    </row>
    <row r="468" spans="1:15">
      <c r="A468" s="46">
        <f ca="1">IFERROR(__xludf.DUMMYFUNCTION("""COMPUTED_VALUE"""),7853.43959214827)</f>
        <v>7853.4395921482701</v>
      </c>
      <c r="B468" s="184"/>
      <c r="O468" s="184">
        <f t="shared" si="1"/>
        <v>0</v>
      </c>
    </row>
    <row r="469" spans="1:15">
      <c r="A469" s="46">
        <f ca="1">IFERROR(__xludf.DUMMYFUNCTION("""COMPUTED_VALUE"""),5975.66385313438)</f>
        <v>5975.6638531343797</v>
      </c>
      <c r="B469" s="184"/>
      <c r="O469" s="184">
        <f t="shared" si="1"/>
        <v>0</v>
      </c>
    </row>
    <row r="470" spans="1:15">
      <c r="A470" s="46">
        <f ca="1">IFERROR(__xludf.DUMMYFUNCTION("""COMPUTED_VALUE"""),5622.53432681515)</f>
        <v>5622.5343268151501</v>
      </c>
      <c r="B470" s="184"/>
      <c r="O470" s="184">
        <f t="shared" si="1"/>
        <v>0</v>
      </c>
    </row>
    <row r="471" spans="1:15">
      <c r="A471" s="46">
        <f ca="1">IFERROR(__xludf.DUMMYFUNCTION("""COMPUTED_VALUE"""),5468.51299462906)</f>
        <v>5468.5129946290599</v>
      </c>
      <c r="B471" s="184"/>
      <c r="O471" s="184">
        <f t="shared" si="1"/>
        <v>0</v>
      </c>
    </row>
    <row r="472" spans="1:15">
      <c r="A472" s="46">
        <f ca="1">IFERROR(__xludf.DUMMYFUNCTION("""COMPUTED_VALUE"""),5550.58613201612)</f>
        <v>5550.5861320161202</v>
      </c>
      <c r="B472" s="184"/>
      <c r="O472" s="184">
        <f t="shared" si="1"/>
        <v>0</v>
      </c>
    </row>
    <row r="473" spans="1:15">
      <c r="A473" s="46">
        <f ca="1">IFERROR(__xludf.DUMMYFUNCTION("""COMPUTED_VALUE"""),70265.3036413142)</f>
        <v>70265.303641314196</v>
      </c>
      <c r="B473" s="184"/>
      <c r="O473" s="184">
        <f t="shared" si="1"/>
        <v>0</v>
      </c>
    </row>
    <row r="474" spans="1:15">
      <c r="A474" s="40"/>
      <c r="B474" s="184"/>
      <c r="O474" s="184">
        <f t="shared" si="1"/>
        <v>0</v>
      </c>
    </row>
    <row r="475" spans="1:15">
      <c r="A475" s="40"/>
      <c r="B475" s="184"/>
      <c r="O475" s="184">
        <f t="shared" si="1"/>
        <v>0</v>
      </c>
    </row>
    <row r="476" spans="1:15">
      <c r="A476" s="40"/>
      <c r="B476" s="184"/>
      <c r="O476" s="184">
        <f t="shared" si="1"/>
        <v>0</v>
      </c>
    </row>
    <row r="477" spans="1:15">
      <c r="A477" s="40" t="str">
        <f ca="1">IFERROR(__xludf.DUMMYFUNCTION("""COMPUTED_VALUE"""),"G13")</f>
        <v>G13</v>
      </c>
      <c r="B477" s="184"/>
      <c r="O477" s="184">
        <f t="shared" si="1"/>
        <v>0</v>
      </c>
    </row>
    <row r="478" spans="1:15">
      <c r="A478" s="46">
        <f ca="1">IFERROR(__xludf.DUMMYFUNCTION("""COMPUTED_VALUE"""),6399.18536236205)</f>
        <v>6399.18536236205</v>
      </c>
      <c r="B478" s="184"/>
      <c r="O478" s="184">
        <f t="shared" si="1"/>
        <v>0</v>
      </c>
    </row>
    <row r="479" spans="1:15">
      <c r="A479" s="46">
        <f ca="1">IFERROR(__xludf.DUMMYFUNCTION("""COMPUTED_VALUE"""),4704.57126662195)</f>
        <v>4704.5712666219497</v>
      </c>
      <c r="B479" s="184"/>
      <c r="O479" s="184">
        <f t="shared" si="1"/>
        <v>0</v>
      </c>
    </row>
    <row r="480" spans="1:15">
      <c r="A480" s="46">
        <f ca="1">IFERROR(__xludf.DUMMYFUNCTION("""COMPUTED_VALUE"""),4724.93877618887)</f>
        <v>4724.9387761888702</v>
      </c>
      <c r="B480" s="184"/>
      <c r="O480" s="184">
        <f t="shared" si="1"/>
        <v>0</v>
      </c>
    </row>
    <row r="481" spans="1:15">
      <c r="A481" s="46">
        <f ca="1">IFERROR(__xludf.DUMMYFUNCTION("""COMPUTED_VALUE"""),5925.0068550878)</f>
        <v>5925.0068550878004</v>
      </c>
      <c r="B481" s="184"/>
      <c r="O481" s="184">
        <f t="shared" si="1"/>
        <v>0</v>
      </c>
    </row>
    <row r="482" spans="1:15">
      <c r="A482" s="46">
        <f ca="1">IFERROR(__xludf.DUMMYFUNCTION("""COMPUTED_VALUE"""),6282.74773714931)</f>
        <v>6282.7477371493096</v>
      </c>
      <c r="B482" s="184"/>
      <c r="O482" s="184">
        <f t="shared" si="1"/>
        <v>0</v>
      </c>
    </row>
    <row r="483" spans="1:15">
      <c r="A483" s="46">
        <f ca="1">IFERROR(__xludf.DUMMYFUNCTION("""COMPUTED_VALUE"""),5187.02150554379)</f>
        <v>5187.0215055437902</v>
      </c>
      <c r="B483" s="184"/>
      <c r="O483" s="184">
        <f t="shared" si="1"/>
        <v>0</v>
      </c>
    </row>
    <row r="484" spans="1:15">
      <c r="A484" s="46">
        <f ca="1">IFERROR(__xludf.DUMMYFUNCTION("""COMPUTED_VALUE"""),6825.9630185067)</f>
        <v>6825.9630185066999</v>
      </c>
      <c r="B484" s="184"/>
      <c r="O484" s="184">
        <f t="shared" si="1"/>
        <v>0</v>
      </c>
    </row>
    <row r="485" spans="1:15">
      <c r="A485" s="46">
        <f ca="1">IFERROR(__xludf.DUMMYFUNCTION("""COMPUTED_VALUE"""),7750.70046116843)</f>
        <v>7750.7004611684297</v>
      </c>
      <c r="B485" s="184"/>
      <c r="O485" s="184">
        <f t="shared" si="1"/>
        <v>0</v>
      </c>
    </row>
    <row r="486" spans="1:15">
      <c r="A486" s="46">
        <f ca="1">IFERROR(__xludf.DUMMYFUNCTION("""COMPUTED_VALUE"""),5575.22288776492)</f>
        <v>5575.2228877649204</v>
      </c>
      <c r="B486" s="184"/>
      <c r="O486" s="184">
        <f t="shared" si="1"/>
        <v>0</v>
      </c>
    </row>
    <row r="487" spans="1:15">
      <c r="A487" s="46">
        <f ca="1">IFERROR(__xludf.DUMMYFUNCTION("""COMPUTED_VALUE"""),5381.92329658357)</f>
        <v>5381.9232965835699</v>
      </c>
      <c r="B487" s="184"/>
      <c r="O487" s="184">
        <f t="shared" si="1"/>
        <v>0</v>
      </c>
    </row>
    <row r="488" spans="1:15">
      <c r="A488" s="46">
        <f ca="1">IFERROR(__xludf.DUMMYFUNCTION("""COMPUTED_VALUE"""),5345.13232431953)</f>
        <v>5345.1323243195302</v>
      </c>
      <c r="B488" s="184"/>
      <c r="O488" s="184">
        <f t="shared" si="1"/>
        <v>0</v>
      </c>
    </row>
    <row r="489" spans="1:15">
      <c r="A489" s="46">
        <f ca="1">IFERROR(__xludf.DUMMYFUNCTION("""COMPUTED_VALUE"""),4936.7051313665)</f>
        <v>4936.7051313664997</v>
      </c>
      <c r="B489" s="184"/>
      <c r="O489" s="184">
        <f t="shared" si="1"/>
        <v>0</v>
      </c>
    </row>
    <row r="490" spans="1:15">
      <c r="A490" s="46">
        <f ca="1">IFERROR(__xludf.DUMMYFUNCTION("""COMPUTED_VALUE"""),69039.1186226634)</f>
        <v>69039.118622663402</v>
      </c>
      <c r="B490" s="184"/>
      <c r="O490" s="184">
        <f t="shared" si="1"/>
        <v>0</v>
      </c>
    </row>
    <row r="491" spans="1:15">
      <c r="A491" s="40"/>
      <c r="B491" s="184"/>
      <c r="O491" s="184">
        <f t="shared" si="1"/>
        <v>0</v>
      </c>
    </row>
    <row r="492" spans="1:15">
      <c r="A492" s="40"/>
      <c r="B492" s="184"/>
      <c r="O492" s="184">
        <f t="shared" si="1"/>
        <v>0</v>
      </c>
    </row>
    <row r="493" spans="1:15">
      <c r="A493" s="40"/>
      <c r="B493" s="184"/>
      <c r="O493" s="184">
        <f t="shared" si="1"/>
        <v>0</v>
      </c>
    </row>
    <row r="494" spans="1:15">
      <c r="A494" s="40" t="str">
        <f ca="1">IFERROR(__xludf.DUMMYFUNCTION("""COMPUTED_VALUE"""),"G14")</f>
        <v>G14</v>
      </c>
      <c r="B494" s="184"/>
      <c r="O494" s="184">
        <f t="shared" si="1"/>
        <v>0</v>
      </c>
    </row>
    <row r="495" spans="1:15">
      <c r="A495" s="46">
        <f ca="1">IFERROR(__xludf.DUMMYFUNCTION("""COMPUTED_VALUE"""),5772.49350136342)</f>
        <v>5772.4935013634204</v>
      </c>
      <c r="B495" s="184"/>
      <c r="O495" s="184">
        <f t="shared" si="1"/>
        <v>0</v>
      </c>
    </row>
    <row r="496" spans="1:15">
      <c r="A496" s="46">
        <f ca="1">IFERROR(__xludf.DUMMYFUNCTION("""COMPUTED_VALUE"""),5458.0771306077)</f>
        <v>5458.0771306077004</v>
      </c>
      <c r="B496" s="184"/>
      <c r="O496" s="184">
        <f t="shared" si="1"/>
        <v>0</v>
      </c>
    </row>
    <row r="497" spans="1:15">
      <c r="A497" s="46">
        <f ca="1">IFERROR(__xludf.DUMMYFUNCTION("""COMPUTED_VALUE"""),4968.61333332949)</f>
        <v>4968.6133333294902</v>
      </c>
      <c r="B497" s="184"/>
      <c r="O497" s="184">
        <f t="shared" si="1"/>
        <v>0</v>
      </c>
    </row>
    <row r="498" spans="1:15">
      <c r="A498" s="46">
        <f ca="1">IFERROR(__xludf.DUMMYFUNCTION("""COMPUTED_VALUE"""),5790.23695435075)</f>
        <v>5790.2369543507502</v>
      </c>
      <c r="B498" s="184"/>
      <c r="O498" s="184">
        <f t="shared" si="1"/>
        <v>0</v>
      </c>
    </row>
    <row r="499" spans="1:15">
      <c r="A499" s="46">
        <f ca="1">IFERROR(__xludf.DUMMYFUNCTION("""COMPUTED_VALUE"""),6613.17335659464)</f>
        <v>6613.1733565946397</v>
      </c>
      <c r="B499" s="184"/>
      <c r="O499" s="184">
        <f t="shared" si="1"/>
        <v>0</v>
      </c>
    </row>
    <row r="500" spans="1:15">
      <c r="A500" s="46">
        <f ca="1">IFERROR(__xludf.DUMMYFUNCTION("""COMPUTED_VALUE"""),5303.56677577968)</f>
        <v>5303.56677577968</v>
      </c>
      <c r="B500" s="184"/>
      <c r="O500" s="184">
        <f t="shared" si="1"/>
        <v>0</v>
      </c>
    </row>
    <row r="501" spans="1:15">
      <c r="A501" s="46">
        <f ca="1">IFERROR(__xludf.DUMMYFUNCTION("""COMPUTED_VALUE"""),6947.04546659904)</f>
        <v>6947.0454665990401</v>
      </c>
      <c r="B501" s="184"/>
      <c r="O501" s="184">
        <f t="shared" si="1"/>
        <v>0</v>
      </c>
    </row>
    <row r="502" spans="1:15">
      <c r="A502" s="46">
        <f ca="1">IFERROR(__xludf.DUMMYFUNCTION("""COMPUTED_VALUE"""),7284.51758390698)</f>
        <v>7284.5175839069798</v>
      </c>
      <c r="B502" s="184"/>
      <c r="O502" s="184">
        <f t="shared" si="1"/>
        <v>0</v>
      </c>
    </row>
    <row r="503" spans="1:15">
      <c r="A503" s="46">
        <f ca="1">IFERROR(__xludf.DUMMYFUNCTION("""COMPUTED_VALUE"""),6027.40290072828)</f>
        <v>6027.4029007282797</v>
      </c>
      <c r="B503" s="184"/>
      <c r="O503" s="184">
        <f t="shared" si="1"/>
        <v>0</v>
      </c>
    </row>
    <row r="504" spans="1:15">
      <c r="A504" s="46">
        <f ca="1">IFERROR(__xludf.DUMMYFUNCTION("""COMPUTED_VALUE"""),5568.16799520261)</f>
        <v>5568.1679952026097</v>
      </c>
      <c r="B504" s="184"/>
      <c r="O504" s="184">
        <f t="shared" si="1"/>
        <v>0</v>
      </c>
    </row>
    <row r="505" spans="1:15">
      <c r="A505" s="46">
        <f ca="1">IFERROR(__xludf.DUMMYFUNCTION("""COMPUTED_VALUE"""),5193.30633337217)</f>
        <v>5193.3063333721702</v>
      </c>
      <c r="B505" s="184"/>
      <c r="O505" s="184">
        <f t="shared" si="1"/>
        <v>0</v>
      </c>
    </row>
    <row r="506" spans="1:15">
      <c r="A506" s="46">
        <f ca="1">IFERROR(__xludf.DUMMYFUNCTION("""COMPUTED_VALUE"""),5969.99807443466)</f>
        <v>5969.9980744346603</v>
      </c>
      <c r="B506" s="184"/>
      <c r="O506" s="184">
        <f t="shared" si="1"/>
        <v>0</v>
      </c>
    </row>
    <row r="507" spans="1:15">
      <c r="A507" s="46">
        <f ca="1">IFERROR(__xludf.DUMMYFUNCTION("""COMPUTED_VALUE"""),70896.5994062695)</f>
        <v>70896.599406269495</v>
      </c>
      <c r="B507" s="184"/>
      <c r="O507" s="184">
        <f t="shared" si="1"/>
        <v>0</v>
      </c>
    </row>
    <row r="508" spans="1:15">
      <c r="A508" s="40"/>
      <c r="B508" s="184"/>
      <c r="O508" s="184">
        <f t="shared" si="1"/>
        <v>0</v>
      </c>
    </row>
    <row r="509" spans="1:15">
      <c r="A509" s="40"/>
      <c r="B509" s="184"/>
      <c r="O509" s="184">
        <f t="shared" si="1"/>
        <v>0</v>
      </c>
    </row>
    <row r="510" spans="1:15">
      <c r="A510" s="40"/>
      <c r="B510" s="184"/>
      <c r="O510" s="184">
        <f t="shared" si="1"/>
        <v>0</v>
      </c>
    </row>
    <row r="511" spans="1:15">
      <c r="A511" s="40" t="str">
        <f ca="1">IFERROR(__xludf.DUMMYFUNCTION("""COMPUTED_VALUE"""),"G15")</f>
        <v>G15</v>
      </c>
      <c r="B511" s="184"/>
      <c r="O511" s="184">
        <f t="shared" ref="O511:O765" si="2">SUM(C511:N511)</f>
        <v>0</v>
      </c>
    </row>
    <row r="512" spans="1:15">
      <c r="A512" s="46">
        <f ca="1">IFERROR(__xludf.DUMMYFUNCTION("""COMPUTED_VALUE"""),6113.6941181248)</f>
        <v>6113.6941181248003</v>
      </c>
      <c r="B512" s="184"/>
      <c r="O512" s="184">
        <f t="shared" si="2"/>
        <v>0</v>
      </c>
    </row>
    <row r="513" spans="1:15">
      <c r="A513" s="46">
        <f ca="1">IFERROR(__xludf.DUMMYFUNCTION("""COMPUTED_VALUE"""),4590.21781590398)</f>
        <v>4590.2178159039804</v>
      </c>
      <c r="B513" s="184"/>
      <c r="O513" s="184">
        <f t="shared" si="2"/>
        <v>0</v>
      </c>
    </row>
    <row r="514" spans="1:15">
      <c r="A514" s="46">
        <f ca="1">IFERROR(__xludf.DUMMYFUNCTION("""COMPUTED_VALUE"""),4414.46168991621)</f>
        <v>4414.4616899162102</v>
      </c>
      <c r="B514" s="184"/>
      <c r="O514" s="184">
        <f t="shared" si="2"/>
        <v>0</v>
      </c>
    </row>
    <row r="515" spans="1:15">
      <c r="A515" s="46">
        <f ca="1">IFERROR(__xludf.DUMMYFUNCTION("""COMPUTED_VALUE"""),5225.68227816185)</f>
        <v>5225.6822781618503</v>
      </c>
      <c r="B515" s="184"/>
      <c r="O515" s="184">
        <f t="shared" si="2"/>
        <v>0</v>
      </c>
    </row>
    <row r="516" spans="1:15">
      <c r="A516" s="46">
        <f ca="1">IFERROR(__xludf.DUMMYFUNCTION("""COMPUTED_VALUE"""),5699.72218251562)</f>
        <v>5699.7221825156203</v>
      </c>
      <c r="B516" s="184"/>
      <c r="O516" s="184">
        <f t="shared" si="2"/>
        <v>0</v>
      </c>
    </row>
    <row r="517" spans="1:15">
      <c r="A517" s="46">
        <f ca="1">IFERROR(__xludf.DUMMYFUNCTION("""COMPUTED_VALUE"""),5011.21859959635)</f>
        <v>5011.21859959635</v>
      </c>
      <c r="B517" s="184"/>
      <c r="O517" s="184">
        <f t="shared" si="2"/>
        <v>0</v>
      </c>
    </row>
    <row r="518" spans="1:15">
      <c r="A518" s="46">
        <f ca="1">IFERROR(__xludf.DUMMYFUNCTION("""COMPUTED_VALUE"""),6578.59141766513)</f>
        <v>6578.5914176651304</v>
      </c>
      <c r="B518" s="184"/>
      <c r="O518" s="184">
        <f t="shared" si="2"/>
        <v>0</v>
      </c>
    </row>
    <row r="519" spans="1:15">
      <c r="A519" s="46">
        <f ca="1">IFERROR(__xludf.DUMMYFUNCTION("""COMPUTED_VALUE"""),7575.13138005605)</f>
        <v>7575.1313800560501</v>
      </c>
      <c r="B519" s="184"/>
      <c r="O519" s="184">
        <f t="shared" si="2"/>
        <v>0</v>
      </c>
    </row>
    <row r="520" spans="1:15">
      <c r="A520" s="46">
        <f ca="1">IFERROR(__xludf.DUMMYFUNCTION("""COMPUTED_VALUE"""),5604.84001835952)</f>
        <v>5604.8400183595204</v>
      </c>
      <c r="B520" s="184"/>
      <c r="O520" s="184">
        <f t="shared" si="2"/>
        <v>0</v>
      </c>
    </row>
    <row r="521" spans="1:15">
      <c r="A521" s="46">
        <f ca="1">IFERROR(__xludf.DUMMYFUNCTION("""COMPUTED_VALUE"""),5258.14368919129)</f>
        <v>5258.1436891912899</v>
      </c>
      <c r="B521" s="184"/>
      <c r="O521" s="184">
        <f t="shared" si="2"/>
        <v>0</v>
      </c>
    </row>
    <row r="522" spans="1:15">
      <c r="A522" s="46">
        <f ca="1">IFERROR(__xludf.DUMMYFUNCTION("""COMPUTED_VALUE"""),4807.06496877971)</f>
        <v>4807.0649687797104</v>
      </c>
      <c r="B522" s="184"/>
      <c r="O522" s="184">
        <f t="shared" si="2"/>
        <v>0</v>
      </c>
    </row>
    <row r="523" spans="1:15">
      <c r="A523" s="46">
        <f ca="1">IFERROR(__xludf.DUMMYFUNCTION("""COMPUTED_VALUE"""),4867.92803495049)</f>
        <v>4867.9280349504897</v>
      </c>
      <c r="B523" s="184"/>
      <c r="O523" s="184">
        <f t="shared" si="2"/>
        <v>0</v>
      </c>
    </row>
    <row r="524" spans="1:15">
      <c r="A524" s="46">
        <f ca="1">IFERROR(__xludf.DUMMYFUNCTION("""COMPUTED_VALUE"""),65746.696193221)</f>
        <v>65746.696193220996</v>
      </c>
      <c r="B524" s="184"/>
      <c r="O524" s="184">
        <f t="shared" si="2"/>
        <v>0</v>
      </c>
    </row>
    <row r="525" spans="1:15">
      <c r="A525" s="40"/>
      <c r="B525" s="184"/>
      <c r="O525" s="184">
        <f t="shared" si="2"/>
        <v>0</v>
      </c>
    </row>
    <row r="526" spans="1:15">
      <c r="A526" s="40"/>
      <c r="B526" s="184"/>
      <c r="O526" s="184">
        <f t="shared" si="2"/>
        <v>0</v>
      </c>
    </row>
    <row r="527" spans="1:15">
      <c r="A527" s="40"/>
      <c r="B527" s="184"/>
      <c r="O527" s="184">
        <f t="shared" si="2"/>
        <v>0</v>
      </c>
    </row>
    <row r="528" spans="1:15">
      <c r="A528" s="40" t="str">
        <f ca="1">IFERROR(__xludf.DUMMYFUNCTION("""COMPUTED_VALUE"""),"G16")</f>
        <v>G16</v>
      </c>
      <c r="B528" s="184"/>
      <c r="O528" s="184">
        <f t="shared" si="2"/>
        <v>0</v>
      </c>
    </row>
    <row r="529" spans="1:15">
      <c r="A529" s="46">
        <f ca="1">IFERROR(__xludf.DUMMYFUNCTION("""COMPUTED_VALUE"""),5469.95600520525)</f>
        <v>5469.9560052052502</v>
      </c>
      <c r="B529" s="184"/>
      <c r="O529" s="184">
        <f t="shared" si="2"/>
        <v>0</v>
      </c>
    </row>
    <row r="530" spans="1:15">
      <c r="A530" s="46">
        <f ca="1">IFERROR(__xludf.DUMMYFUNCTION("""COMPUTED_VALUE"""),4750.10085193266)</f>
        <v>4750.1008519326597</v>
      </c>
      <c r="B530" s="184"/>
      <c r="O530" s="184">
        <f t="shared" si="2"/>
        <v>0</v>
      </c>
    </row>
    <row r="531" spans="1:15">
      <c r="A531" s="46">
        <f ca="1">IFERROR(__xludf.DUMMYFUNCTION("""COMPUTED_VALUE"""),4519.04643578635)</f>
        <v>4519.0464357863502</v>
      </c>
      <c r="B531" s="184"/>
      <c r="O531" s="184">
        <f t="shared" si="2"/>
        <v>0</v>
      </c>
    </row>
    <row r="532" spans="1:15">
      <c r="A532" s="46">
        <f ca="1">IFERROR(__xludf.DUMMYFUNCTION("""COMPUTED_VALUE"""),5297.37811089749)</f>
        <v>5297.3781108974899</v>
      </c>
      <c r="B532" s="184"/>
      <c r="O532" s="184">
        <f t="shared" si="2"/>
        <v>0</v>
      </c>
    </row>
    <row r="533" spans="1:15">
      <c r="A533" s="46">
        <f ca="1">IFERROR(__xludf.DUMMYFUNCTION("""COMPUTED_VALUE"""),5766.20174383614)</f>
        <v>5766.2017438361399</v>
      </c>
      <c r="B533" s="184"/>
      <c r="O533" s="184">
        <f t="shared" si="2"/>
        <v>0</v>
      </c>
    </row>
    <row r="534" spans="1:15">
      <c r="A534" s="46">
        <f ca="1">IFERROR(__xludf.DUMMYFUNCTION("""COMPUTED_VALUE"""),4944.2329712266)</f>
        <v>4944.2329712266001</v>
      </c>
      <c r="B534" s="184"/>
      <c r="O534" s="184">
        <f t="shared" si="2"/>
        <v>0</v>
      </c>
    </row>
    <row r="535" spans="1:15">
      <c r="A535" s="46">
        <f ca="1">IFERROR(__xludf.DUMMYFUNCTION("""COMPUTED_VALUE"""),6366.63403772628)</f>
        <v>6366.6340377262804</v>
      </c>
      <c r="B535" s="184"/>
      <c r="O535" s="184">
        <f t="shared" si="2"/>
        <v>0</v>
      </c>
    </row>
    <row r="536" spans="1:15">
      <c r="A536" s="46">
        <f ca="1">IFERROR(__xludf.DUMMYFUNCTION("""COMPUTED_VALUE"""),6756.01178646373)</f>
        <v>6756.0117864637295</v>
      </c>
      <c r="B536" s="184"/>
      <c r="O536" s="184">
        <f t="shared" si="2"/>
        <v>0</v>
      </c>
    </row>
    <row r="537" spans="1:15">
      <c r="A537" s="46">
        <f ca="1">IFERROR(__xludf.DUMMYFUNCTION("""COMPUTED_VALUE"""),5298.99730891261)</f>
        <v>5298.9973089126097</v>
      </c>
      <c r="B537" s="184"/>
      <c r="O537" s="184">
        <f t="shared" si="2"/>
        <v>0</v>
      </c>
    </row>
    <row r="538" spans="1:15">
      <c r="A538" s="46">
        <f ca="1">IFERROR(__xludf.DUMMYFUNCTION("""COMPUTED_VALUE"""),5126.37666815845)</f>
        <v>5126.3766681584502</v>
      </c>
      <c r="B538" s="184"/>
      <c r="O538" s="184">
        <f t="shared" si="2"/>
        <v>0</v>
      </c>
    </row>
    <row r="539" spans="1:15">
      <c r="A539" s="46">
        <f ca="1">IFERROR(__xludf.DUMMYFUNCTION("""COMPUTED_VALUE"""),5165.70174297738)</f>
        <v>5165.7017429773796</v>
      </c>
      <c r="B539" s="184"/>
      <c r="O539" s="184">
        <f t="shared" si="2"/>
        <v>0</v>
      </c>
    </row>
    <row r="540" spans="1:15">
      <c r="A540" s="46">
        <f ca="1">IFERROR(__xludf.DUMMYFUNCTION("""COMPUTED_VALUE"""),4819.02782029849)</f>
        <v>4819.02782029849</v>
      </c>
      <c r="B540" s="184"/>
      <c r="O540" s="184">
        <f t="shared" si="2"/>
        <v>0</v>
      </c>
    </row>
    <row r="541" spans="1:15">
      <c r="A541" s="46">
        <f ca="1">IFERROR(__xludf.DUMMYFUNCTION("""COMPUTED_VALUE"""),64279.6654834215)</f>
        <v>64279.665483421501</v>
      </c>
      <c r="B541" s="184"/>
      <c r="O541" s="184">
        <f t="shared" si="2"/>
        <v>0</v>
      </c>
    </row>
    <row r="542" spans="1:15">
      <c r="A542" s="40"/>
      <c r="B542" s="184"/>
      <c r="O542" s="184">
        <f t="shared" si="2"/>
        <v>0</v>
      </c>
    </row>
    <row r="543" spans="1:15">
      <c r="A543" s="40"/>
      <c r="B543" s="184"/>
      <c r="O543" s="184">
        <f t="shared" si="2"/>
        <v>0</v>
      </c>
    </row>
    <row r="544" spans="1:15">
      <c r="A544" s="40"/>
      <c r="B544" s="184"/>
      <c r="O544" s="184">
        <f t="shared" si="2"/>
        <v>0</v>
      </c>
    </row>
    <row r="545" spans="1:15">
      <c r="A545" s="40" t="str">
        <f ca="1">IFERROR(__xludf.DUMMYFUNCTION("""COMPUTED_VALUE"""),"S1")</f>
        <v>S1</v>
      </c>
      <c r="B545" s="184"/>
      <c r="O545" s="184">
        <f t="shared" si="2"/>
        <v>0</v>
      </c>
    </row>
    <row r="546" spans="1:15">
      <c r="A546" s="46">
        <f ca="1">IFERROR(__xludf.DUMMYFUNCTION("""COMPUTED_VALUE"""),5334.51484375)</f>
        <v>5334.5148437500002</v>
      </c>
      <c r="B546" s="184"/>
      <c r="O546" s="184">
        <f t="shared" si="2"/>
        <v>0</v>
      </c>
    </row>
    <row r="547" spans="1:15">
      <c r="A547" s="46">
        <f ca="1">IFERROR(__xludf.DUMMYFUNCTION("""COMPUTED_VALUE"""),4029.86364851562)</f>
        <v>4029.8636485156198</v>
      </c>
      <c r="B547" s="184"/>
      <c r="O547" s="184">
        <f t="shared" si="2"/>
        <v>0</v>
      </c>
    </row>
    <row r="548" spans="1:15">
      <c r="A548" s="46">
        <f ca="1">IFERROR(__xludf.DUMMYFUNCTION("""COMPUTED_VALUE"""),4365.16651730383)</f>
        <v>4365.16651730383</v>
      </c>
      <c r="B548" s="184"/>
      <c r="O548" s="184">
        <f t="shared" si="2"/>
        <v>0</v>
      </c>
    </row>
    <row r="549" spans="1:15">
      <c r="A549" s="46">
        <f ca="1">IFERROR(__xludf.DUMMYFUNCTION("""COMPUTED_VALUE"""),5177.80307685444)</f>
        <v>5177.8030768544404</v>
      </c>
      <c r="B549" s="184"/>
      <c r="O549" s="184">
        <f t="shared" si="2"/>
        <v>0</v>
      </c>
    </row>
    <row r="550" spans="1:15">
      <c r="A550" s="46">
        <f ca="1">IFERROR(__xludf.DUMMYFUNCTION("""COMPUTED_VALUE"""),5581.91052351562)</f>
        <v>5581.9105235156203</v>
      </c>
      <c r="B550" s="184"/>
      <c r="O550" s="184">
        <f t="shared" si="2"/>
        <v>0</v>
      </c>
    </row>
    <row r="551" spans="1:15">
      <c r="A551" s="46">
        <f ca="1">IFERROR(__xludf.DUMMYFUNCTION("""COMPUTED_VALUE"""),4841.04430904006)</f>
        <v>4841.0443090400604</v>
      </c>
      <c r="B551" s="184"/>
      <c r="O551" s="184">
        <f t="shared" si="2"/>
        <v>0</v>
      </c>
    </row>
    <row r="552" spans="1:15">
      <c r="A552" s="46">
        <f ca="1">IFERROR(__xludf.DUMMYFUNCTION("""COMPUTED_VALUE"""),6315.5233246658)</f>
        <v>6315.5233246657999</v>
      </c>
      <c r="B552" s="184"/>
      <c r="O552" s="184">
        <f t="shared" si="2"/>
        <v>0</v>
      </c>
    </row>
    <row r="553" spans="1:15">
      <c r="A553" s="46">
        <f ca="1">IFERROR(__xludf.DUMMYFUNCTION("""COMPUTED_VALUE"""),7163.75233584249)</f>
        <v>7163.7523358424896</v>
      </c>
      <c r="B553" s="184"/>
      <c r="O553" s="184">
        <f t="shared" si="2"/>
        <v>0</v>
      </c>
    </row>
    <row r="554" spans="1:15">
      <c r="A554" s="46">
        <f ca="1">IFERROR(__xludf.DUMMYFUNCTION("""COMPUTED_VALUE"""),5209.39134055317)</f>
        <v>5209.3913405531703</v>
      </c>
      <c r="B554" s="184"/>
      <c r="O554" s="184">
        <f t="shared" si="2"/>
        <v>0</v>
      </c>
    </row>
    <row r="555" spans="1:15">
      <c r="A555" s="46">
        <f ca="1">IFERROR(__xludf.DUMMYFUNCTION("""COMPUTED_VALUE"""),4877.11014844433)</f>
        <v>4877.1101484443298</v>
      </c>
      <c r="B555" s="184"/>
      <c r="O555" s="184">
        <f t="shared" si="2"/>
        <v>0</v>
      </c>
    </row>
    <row r="556" spans="1:15">
      <c r="A556" s="46">
        <f ca="1">IFERROR(__xludf.DUMMYFUNCTION("""COMPUTED_VALUE"""),4572.78910275983)</f>
        <v>4572.7891027598298</v>
      </c>
      <c r="B556" s="184"/>
      <c r="O556" s="184">
        <f t="shared" si="2"/>
        <v>0</v>
      </c>
    </row>
    <row r="557" spans="1:15">
      <c r="A557" s="46">
        <f ca="1">IFERROR(__xludf.DUMMYFUNCTION("""COMPUTED_VALUE"""),4890.01639891438)</f>
        <v>4890.0163989143803</v>
      </c>
      <c r="B557" s="184"/>
      <c r="O557" s="184">
        <f t="shared" si="2"/>
        <v>0</v>
      </c>
    </row>
    <row r="558" spans="1:15">
      <c r="A558" s="46">
        <f ca="1">IFERROR(__xludf.DUMMYFUNCTION("""COMPUTED_VALUE"""),62358.8855701596)</f>
        <v>62358.885570159597</v>
      </c>
      <c r="B558" s="184"/>
      <c r="O558" s="184">
        <f t="shared" si="2"/>
        <v>0</v>
      </c>
    </row>
    <row r="559" spans="1:15">
      <c r="A559" s="40"/>
      <c r="B559" s="184"/>
      <c r="O559" s="184">
        <f t="shared" si="2"/>
        <v>0</v>
      </c>
    </row>
    <row r="560" spans="1:15">
      <c r="A560" s="40"/>
      <c r="B560" s="184"/>
      <c r="O560" s="184">
        <f t="shared" si="2"/>
        <v>0</v>
      </c>
    </row>
    <row r="561" spans="1:15">
      <c r="A561" s="40"/>
      <c r="B561" s="184"/>
      <c r="O561" s="184">
        <f t="shared" si="2"/>
        <v>0</v>
      </c>
    </row>
    <row r="562" spans="1:15">
      <c r="A562" s="40" t="str">
        <f ca="1">IFERROR(__xludf.DUMMYFUNCTION("""COMPUTED_VALUE"""),"S2")</f>
        <v>S2</v>
      </c>
      <c r="B562" s="184"/>
      <c r="O562" s="184">
        <f t="shared" si="2"/>
        <v>0</v>
      </c>
    </row>
    <row r="563" spans="1:15">
      <c r="A563" s="46">
        <f ca="1">IFERROR(__xludf.DUMMYFUNCTION("""COMPUTED_VALUE"""),8208.68545218794)</f>
        <v>8208.6854521879395</v>
      </c>
      <c r="B563" s="184"/>
      <c r="O563" s="184">
        <f t="shared" si="2"/>
        <v>0</v>
      </c>
    </row>
    <row r="564" spans="1:15">
      <c r="A564" s="46">
        <f ca="1">IFERROR(__xludf.DUMMYFUNCTION("""COMPUTED_VALUE"""),7121.88560521598)</f>
        <v>7121.8856052159799</v>
      </c>
      <c r="B564" s="184"/>
      <c r="O564" s="184">
        <f t="shared" si="2"/>
        <v>0</v>
      </c>
    </row>
    <row r="565" spans="1:15">
      <c r="A565" s="46">
        <f ca="1">IFERROR(__xludf.DUMMYFUNCTION("""COMPUTED_VALUE"""),7058.38707006983)</f>
        <v>7058.3870700698299</v>
      </c>
      <c r="B565" s="184"/>
      <c r="O565" s="184">
        <f t="shared" si="2"/>
        <v>0</v>
      </c>
    </row>
    <row r="566" spans="1:15">
      <c r="A566" s="46">
        <f ca="1">IFERROR(__xludf.DUMMYFUNCTION("""COMPUTED_VALUE"""),8300.99704887826)</f>
        <v>8300.9970488782601</v>
      </c>
      <c r="B566" s="184"/>
      <c r="O566" s="184">
        <f t="shared" si="2"/>
        <v>0</v>
      </c>
    </row>
    <row r="567" spans="1:15">
      <c r="A567" s="46">
        <f ca="1">IFERROR(__xludf.DUMMYFUNCTION("""COMPUTED_VALUE"""),9210.81680981419)</f>
        <v>9210.8168098141905</v>
      </c>
      <c r="B567" s="184"/>
      <c r="O567" s="184">
        <f t="shared" si="2"/>
        <v>0</v>
      </c>
    </row>
    <row r="568" spans="1:15">
      <c r="A568" s="46">
        <f ca="1">IFERROR(__xludf.DUMMYFUNCTION("""COMPUTED_VALUE"""),7566.34953944347)</f>
        <v>7566.3495394434703</v>
      </c>
      <c r="B568" s="184"/>
      <c r="O568" s="184">
        <f t="shared" si="2"/>
        <v>0</v>
      </c>
    </row>
    <row r="569" spans="1:15">
      <c r="A569" s="46">
        <f ca="1">IFERROR(__xludf.DUMMYFUNCTION("""COMPUTED_VALUE"""),9405.99143527381)</f>
        <v>9405.9914352738106</v>
      </c>
      <c r="B569" s="184"/>
      <c r="O569" s="184">
        <f t="shared" si="2"/>
        <v>0</v>
      </c>
    </row>
    <row r="570" spans="1:15">
      <c r="A570" s="46">
        <f ca="1">IFERROR(__xludf.DUMMYFUNCTION("""COMPUTED_VALUE"""),8947.72716366715)</f>
        <v>8947.7271636671503</v>
      </c>
      <c r="B570" s="184"/>
      <c r="O570" s="184">
        <f t="shared" si="2"/>
        <v>0</v>
      </c>
    </row>
    <row r="571" spans="1:15">
      <c r="A571" s="46">
        <f ca="1">IFERROR(__xludf.DUMMYFUNCTION("""COMPUTED_VALUE"""),5831.92040659675)</f>
        <v>5831.9204065967497</v>
      </c>
      <c r="B571" s="184"/>
      <c r="O571" s="184">
        <f t="shared" si="2"/>
        <v>0</v>
      </c>
    </row>
    <row r="572" spans="1:15">
      <c r="A572" s="46">
        <f ca="1">IFERROR(__xludf.DUMMYFUNCTION("""COMPUTED_VALUE"""),5791.78782564895)</f>
        <v>5791.7878256489503</v>
      </c>
      <c r="B572" s="184"/>
      <c r="O572" s="184">
        <f t="shared" si="2"/>
        <v>0</v>
      </c>
    </row>
    <row r="573" spans="1:15">
      <c r="A573" s="46">
        <f ca="1">IFERROR(__xludf.DUMMYFUNCTION("""COMPUTED_VALUE"""),5653.43304991101)</f>
        <v>5653.4330499110101</v>
      </c>
      <c r="B573" s="184"/>
      <c r="O573" s="184">
        <f t="shared" si="2"/>
        <v>0</v>
      </c>
    </row>
    <row r="574" spans="1:15">
      <c r="A574" s="46">
        <f ca="1">IFERROR(__xludf.DUMMYFUNCTION("""COMPUTED_VALUE"""),6948.180881082)</f>
        <v>6948.1808810820003</v>
      </c>
      <c r="B574" s="184"/>
      <c r="O574" s="184">
        <f t="shared" si="2"/>
        <v>0</v>
      </c>
    </row>
    <row r="575" spans="1:15">
      <c r="A575" s="46">
        <f ca="1">IFERROR(__xludf.DUMMYFUNCTION("""COMPUTED_VALUE"""),90046.1622877893)</f>
        <v>90046.162287789295</v>
      </c>
      <c r="B575" s="184"/>
      <c r="O575" s="184">
        <f t="shared" si="2"/>
        <v>0</v>
      </c>
    </row>
    <row r="576" spans="1:15">
      <c r="A576" s="40"/>
      <c r="B576" s="184"/>
      <c r="O576" s="184">
        <f t="shared" si="2"/>
        <v>0</v>
      </c>
    </row>
    <row r="577" spans="1:15">
      <c r="A577" s="40"/>
      <c r="B577" s="184"/>
      <c r="O577" s="184">
        <f t="shared" si="2"/>
        <v>0</v>
      </c>
    </row>
    <row r="578" spans="1:15">
      <c r="A578" s="40"/>
      <c r="B578" s="184"/>
      <c r="O578" s="184">
        <f t="shared" si="2"/>
        <v>0</v>
      </c>
    </row>
    <row r="579" spans="1:15">
      <c r="A579" s="40" t="str">
        <f ca="1">IFERROR(__xludf.DUMMYFUNCTION("""COMPUTED_VALUE"""),"S3")</f>
        <v>S3</v>
      </c>
      <c r="B579" s="184"/>
      <c r="O579" s="184">
        <f t="shared" si="2"/>
        <v>0</v>
      </c>
    </row>
    <row r="580" spans="1:15">
      <c r="A580" s="46">
        <f ca="1">IFERROR(__xludf.DUMMYFUNCTION("""COMPUTED_VALUE"""),5597.34076503408)</f>
        <v>5597.3407650340796</v>
      </c>
      <c r="B580" s="184"/>
      <c r="O580" s="184">
        <f t="shared" si="2"/>
        <v>0</v>
      </c>
    </row>
    <row r="581" spans="1:15">
      <c r="A581" s="46">
        <f ca="1">IFERROR(__xludf.DUMMYFUNCTION("""COMPUTED_VALUE"""),4294.73588629699)</f>
        <v>4294.7358862969904</v>
      </c>
      <c r="B581" s="184"/>
      <c r="O581" s="184">
        <f t="shared" si="2"/>
        <v>0</v>
      </c>
    </row>
    <row r="582" spans="1:15">
      <c r="A582" s="46">
        <f ca="1">IFERROR(__xludf.DUMMYFUNCTION("""COMPUTED_VALUE"""),4516.25402936335)</f>
        <v>4516.2540293633501</v>
      </c>
      <c r="B582" s="184"/>
      <c r="O582" s="184">
        <f t="shared" si="2"/>
        <v>0</v>
      </c>
    </row>
    <row r="583" spans="1:15">
      <c r="A583" s="46">
        <f ca="1">IFERROR(__xludf.DUMMYFUNCTION("""COMPUTED_VALUE"""),5457.34763446395)</f>
        <v>5457.3476344639503</v>
      </c>
      <c r="B583" s="184"/>
      <c r="O583" s="184">
        <f t="shared" si="2"/>
        <v>0</v>
      </c>
    </row>
    <row r="584" spans="1:15">
      <c r="A584" s="46">
        <f ca="1">IFERROR(__xludf.DUMMYFUNCTION("""COMPUTED_VALUE"""),5849.81457358265)</f>
        <v>5849.8145735826502</v>
      </c>
      <c r="B584" s="184"/>
      <c r="O584" s="184">
        <f t="shared" si="2"/>
        <v>0</v>
      </c>
    </row>
    <row r="585" spans="1:15">
      <c r="A585" s="46">
        <f ca="1">IFERROR(__xludf.DUMMYFUNCTION("""COMPUTED_VALUE"""),4996.71939085841)</f>
        <v>4996.7193908584104</v>
      </c>
      <c r="B585" s="184"/>
      <c r="O585" s="184">
        <f t="shared" si="2"/>
        <v>0</v>
      </c>
    </row>
    <row r="586" spans="1:15">
      <c r="A586" s="46">
        <f ca="1">IFERROR(__xludf.DUMMYFUNCTION("""COMPUTED_VALUE"""),6407.51397893878)</f>
        <v>6407.5139789387804</v>
      </c>
      <c r="B586" s="184"/>
      <c r="O586" s="184">
        <f t="shared" si="2"/>
        <v>0</v>
      </c>
    </row>
    <row r="587" spans="1:15">
      <c r="A587" s="46">
        <f ca="1">IFERROR(__xludf.DUMMYFUNCTION("""COMPUTED_VALUE"""),6763.18490427735)</f>
        <v>6763.1849042773501</v>
      </c>
      <c r="B587" s="184"/>
      <c r="O587" s="184">
        <f t="shared" si="2"/>
        <v>0</v>
      </c>
    </row>
    <row r="588" spans="1:15">
      <c r="A588" s="46">
        <f ca="1">IFERROR(__xludf.DUMMYFUNCTION("""COMPUTED_VALUE"""),5152.70716643214)</f>
        <v>5152.7071664321402</v>
      </c>
      <c r="B588" s="184"/>
      <c r="O588" s="184">
        <f t="shared" si="2"/>
        <v>0</v>
      </c>
    </row>
    <row r="589" spans="1:15">
      <c r="A589" s="46">
        <f ca="1">IFERROR(__xludf.DUMMYFUNCTION("""COMPUTED_VALUE"""),5275.21673848677)</f>
        <v>5275.2167384867698</v>
      </c>
      <c r="B589" s="184"/>
      <c r="O589" s="184">
        <f t="shared" si="2"/>
        <v>0</v>
      </c>
    </row>
    <row r="590" spans="1:15">
      <c r="A590" s="46">
        <f ca="1">IFERROR(__xludf.DUMMYFUNCTION("""COMPUTED_VALUE"""),4829.02286453887)</f>
        <v>4829.0228645388697</v>
      </c>
      <c r="B590" s="184"/>
      <c r="O590" s="184">
        <f t="shared" si="2"/>
        <v>0</v>
      </c>
    </row>
    <row r="591" spans="1:15">
      <c r="A591" s="46">
        <f ca="1">IFERROR(__xludf.DUMMYFUNCTION("""COMPUTED_VALUE"""),5092.1723300175)</f>
        <v>5092.1723300174999</v>
      </c>
      <c r="B591" s="184"/>
      <c r="O591" s="184">
        <f t="shared" si="2"/>
        <v>0</v>
      </c>
    </row>
    <row r="592" spans="1:15">
      <c r="A592" s="46">
        <f ca="1">IFERROR(__xludf.DUMMYFUNCTION("""COMPUTED_VALUE"""),64232.0302622908)</f>
        <v>64232.030262290798</v>
      </c>
      <c r="B592" s="184"/>
      <c r="O592" s="184">
        <f t="shared" si="2"/>
        <v>0</v>
      </c>
    </row>
    <row r="593" spans="1:15">
      <c r="A593" s="40"/>
      <c r="B593" s="184"/>
      <c r="O593" s="184">
        <f t="shared" si="2"/>
        <v>0</v>
      </c>
    </row>
    <row r="594" spans="1:15">
      <c r="A594" s="40"/>
      <c r="B594" s="184"/>
      <c r="O594" s="184">
        <f t="shared" si="2"/>
        <v>0</v>
      </c>
    </row>
    <row r="595" spans="1:15">
      <c r="A595" s="40"/>
      <c r="B595" s="184"/>
      <c r="O595" s="184">
        <f t="shared" si="2"/>
        <v>0</v>
      </c>
    </row>
    <row r="596" spans="1:15">
      <c r="A596" s="40" t="str">
        <f ca="1">IFERROR(__xludf.DUMMYFUNCTION("""COMPUTED_VALUE"""),"S4")</f>
        <v>S4</v>
      </c>
      <c r="B596" s="184"/>
      <c r="O596" s="184">
        <f t="shared" si="2"/>
        <v>0</v>
      </c>
    </row>
    <row r="597" spans="1:15">
      <c r="A597" s="46">
        <f ca="1">IFERROR(__xludf.DUMMYFUNCTION("""COMPUTED_VALUE"""),6855.84881641966)</f>
        <v>6855.8488164196597</v>
      </c>
      <c r="B597" s="184"/>
      <c r="O597" s="184">
        <f t="shared" si="2"/>
        <v>0</v>
      </c>
    </row>
    <row r="598" spans="1:15">
      <c r="A598" s="46">
        <f ca="1">IFERROR(__xludf.DUMMYFUNCTION("""COMPUTED_VALUE"""),4913.92808625917)</f>
        <v>4913.9280862591704</v>
      </c>
      <c r="B598" s="184"/>
      <c r="O598" s="184">
        <f t="shared" si="2"/>
        <v>0</v>
      </c>
    </row>
    <row r="599" spans="1:15">
      <c r="A599" s="46">
        <f ca="1">IFERROR(__xludf.DUMMYFUNCTION("""COMPUTED_VALUE"""),4515.53491360419)</f>
        <v>4515.5349136041896</v>
      </c>
      <c r="B599" s="184"/>
      <c r="O599" s="184">
        <f t="shared" si="2"/>
        <v>0</v>
      </c>
    </row>
    <row r="600" spans="1:15">
      <c r="A600" s="46">
        <f ca="1">IFERROR(__xludf.DUMMYFUNCTION("""COMPUTED_VALUE"""),5289.84831048829)</f>
        <v>5289.8483104882898</v>
      </c>
      <c r="B600" s="184"/>
      <c r="O600" s="184">
        <f t="shared" si="2"/>
        <v>0</v>
      </c>
    </row>
    <row r="601" spans="1:15">
      <c r="A601" s="46">
        <f ca="1">IFERROR(__xludf.DUMMYFUNCTION("""COMPUTED_VALUE"""),6420.73798434709)</f>
        <v>6420.7379843470899</v>
      </c>
      <c r="B601" s="184"/>
      <c r="O601" s="184">
        <f t="shared" si="2"/>
        <v>0</v>
      </c>
    </row>
    <row r="602" spans="1:15">
      <c r="A602" s="46">
        <f ca="1">IFERROR(__xludf.DUMMYFUNCTION("""COMPUTED_VALUE"""),5637.20058884285)</f>
        <v>5637.2005888428503</v>
      </c>
      <c r="B602" s="184"/>
      <c r="O602" s="184">
        <f t="shared" si="2"/>
        <v>0</v>
      </c>
    </row>
    <row r="603" spans="1:15">
      <c r="A603" s="46">
        <f ca="1">IFERROR(__xludf.DUMMYFUNCTION("""COMPUTED_VALUE"""),7696.30952188909)</f>
        <v>7696.3095218890903</v>
      </c>
      <c r="B603" s="184"/>
      <c r="O603" s="184">
        <f t="shared" si="2"/>
        <v>0</v>
      </c>
    </row>
    <row r="604" spans="1:15">
      <c r="A604" s="46">
        <f ca="1">IFERROR(__xludf.DUMMYFUNCTION("""COMPUTED_VALUE"""),7688.13544352233)</f>
        <v>7688.1354435223302</v>
      </c>
      <c r="B604" s="184"/>
      <c r="O604" s="184">
        <f t="shared" si="2"/>
        <v>0</v>
      </c>
    </row>
    <row r="605" spans="1:15">
      <c r="A605" s="46">
        <f ca="1">IFERROR(__xludf.DUMMYFUNCTION("""COMPUTED_VALUE"""),6321.07128064206)</f>
        <v>6321.0712806420597</v>
      </c>
      <c r="B605" s="184"/>
      <c r="O605" s="184">
        <f t="shared" si="2"/>
        <v>0</v>
      </c>
    </row>
    <row r="606" spans="1:15">
      <c r="A606" s="46">
        <f ca="1">IFERROR(__xludf.DUMMYFUNCTION("""COMPUTED_VALUE"""),5842.10858688495)</f>
        <v>5842.1085868849495</v>
      </c>
      <c r="B606" s="184"/>
      <c r="O606" s="184">
        <f t="shared" si="2"/>
        <v>0</v>
      </c>
    </row>
    <row r="607" spans="1:15">
      <c r="A607" s="46">
        <f ca="1">IFERROR(__xludf.DUMMYFUNCTION("""COMPUTED_VALUE"""),5361.19625184217)</f>
        <v>5361.1962518421697</v>
      </c>
      <c r="B607" s="184"/>
      <c r="O607" s="184">
        <f t="shared" si="2"/>
        <v>0</v>
      </c>
    </row>
    <row r="608" spans="1:15">
      <c r="A608" s="46">
        <f ca="1">IFERROR(__xludf.DUMMYFUNCTION("""COMPUTED_VALUE"""),5779.82837685485)</f>
        <v>5779.8283768548499</v>
      </c>
      <c r="B608" s="184"/>
      <c r="O608" s="184">
        <f t="shared" si="2"/>
        <v>0</v>
      </c>
    </row>
    <row r="609" spans="1:15">
      <c r="A609" s="46">
        <f ca="1">IFERROR(__xludf.DUMMYFUNCTION("""COMPUTED_VALUE"""),72321.7481615967)</f>
        <v>72321.748161596697</v>
      </c>
      <c r="B609" s="184"/>
      <c r="O609" s="184">
        <f t="shared" si="2"/>
        <v>0</v>
      </c>
    </row>
    <row r="610" spans="1:15">
      <c r="A610" s="40"/>
      <c r="B610" s="184"/>
      <c r="O610" s="184">
        <f t="shared" si="2"/>
        <v>0</v>
      </c>
    </row>
    <row r="611" spans="1:15">
      <c r="A611" s="40"/>
      <c r="B611" s="184"/>
      <c r="O611" s="184">
        <f t="shared" si="2"/>
        <v>0</v>
      </c>
    </row>
    <row r="612" spans="1:15">
      <c r="A612" s="40"/>
      <c r="B612" s="184"/>
      <c r="O612" s="184">
        <f t="shared" si="2"/>
        <v>0</v>
      </c>
    </row>
    <row r="613" spans="1:15">
      <c r="A613" s="40" t="str">
        <f ca="1">IFERROR(__xludf.DUMMYFUNCTION("""COMPUTED_VALUE"""),"S5")</f>
        <v>S5</v>
      </c>
      <c r="B613" s="184"/>
      <c r="O613" s="184">
        <f t="shared" si="2"/>
        <v>0</v>
      </c>
    </row>
    <row r="614" spans="1:15">
      <c r="A614" s="46">
        <f ca="1">IFERROR(__xludf.DUMMYFUNCTION("""COMPUTED_VALUE"""),6332.91116075914)</f>
        <v>6332.9111607591403</v>
      </c>
      <c r="B614" s="184"/>
      <c r="O614" s="184">
        <f t="shared" si="2"/>
        <v>0</v>
      </c>
    </row>
    <row r="615" spans="1:15">
      <c r="A615" s="46">
        <f ca="1">IFERROR(__xludf.DUMMYFUNCTION("""COMPUTED_VALUE"""),4812.30757395518)</f>
        <v>4812.3075739551796</v>
      </c>
      <c r="B615" s="184"/>
      <c r="O615" s="184">
        <f t="shared" si="2"/>
        <v>0</v>
      </c>
    </row>
    <row r="616" spans="1:15">
      <c r="A616" s="46">
        <f ca="1">IFERROR(__xludf.DUMMYFUNCTION("""COMPUTED_VALUE"""),4999.91595556479)</f>
        <v>4999.9159555647902</v>
      </c>
      <c r="B616" s="184"/>
      <c r="O616" s="184">
        <f t="shared" si="2"/>
        <v>0</v>
      </c>
    </row>
    <row r="617" spans="1:15">
      <c r="A617" s="46">
        <f ca="1">IFERROR(__xludf.DUMMYFUNCTION("""COMPUTED_VALUE"""),5848.85708577701)</f>
        <v>5848.8570857770101</v>
      </c>
      <c r="B617" s="184"/>
      <c r="O617" s="184">
        <f t="shared" si="2"/>
        <v>0</v>
      </c>
    </row>
    <row r="618" spans="1:15">
      <c r="A618" s="46">
        <f ca="1">IFERROR(__xludf.DUMMYFUNCTION("""COMPUTED_VALUE"""),6298.04023413852)</f>
        <v>6298.0402341385197</v>
      </c>
      <c r="B618" s="184"/>
      <c r="O618" s="184">
        <f t="shared" si="2"/>
        <v>0</v>
      </c>
    </row>
    <row r="619" spans="1:15">
      <c r="A619" s="46">
        <f ca="1">IFERROR(__xludf.DUMMYFUNCTION("""COMPUTED_VALUE"""),4935.05276569416)</f>
        <v>4935.0527656941604</v>
      </c>
      <c r="B619" s="184"/>
      <c r="O619" s="184">
        <f t="shared" si="2"/>
        <v>0</v>
      </c>
    </row>
    <row r="620" spans="1:15">
      <c r="A620" s="46">
        <f ca="1">IFERROR(__xludf.DUMMYFUNCTION("""COMPUTED_VALUE"""),6242.62945946936)</f>
        <v>6242.62945946936</v>
      </c>
      <c r="B620" s="184"/>
      <c r="O620" s="184">
        <f t="shared" si="2"/>
        <v>0</v>
      </c>
    </row>
    <row r="621" spans="1:15">
      <c r="A621" s="46">
        <f ca="1">IFERROR(__xludf.DUMMYFUNCTION("""COMPUTED_VALUE"""),6546.45222136323)</f>
        <v>6546.4522213632299</v>
      </c>
      <c r="B621" s="184"/>
      <c r="O621" s="184">
        <f t="shared" si="2"/>
        <v>0</v>
      </c>
    </row>
    <row r="622" spans="1:15">
      <c r="A622" s="46">
        <f ca="1">IFERROR(__xludf.DUMMYFUNCTION("""COMPUTED_VALUE"""),5094.69570105307)</f>
        <v>5094.6957010530696</v>
      </c>
      <c r="B622" s="184"/>
      <c r="O622" s="184">
        <f t="shared" si="2"/>
        <v>0</v>
      </c>
    </row>
    <row r="623" spans="1:15">
      <c r="A623" s="46">
        <f ca="1">IFERROR(__xludf.DUMMYFUNCTION("""COMPUTED_VALUE"""),4874.69765234823)</f>
        <v>4874.6976523482299</v>
      </c>
      <c r="B623" s="184"/>
      <c r="O623" s="184">
        <f t="shared" si="2"/>
        <v>0</v>
      </c>
    </row>
    <row r="624" spans="1:15">
      <c r="A624" s="46">
        <f ca="1">IFERROR(__xludf.DUMMYFUNCTION("""COMPUTED_VALUE"""),4619.17763028707)</f>
        <v>4619.1776302870703</v>
      </c>
      <c r="B624" s="184"/>
      <c r="O624" s="184">
        <f t="shared" si="2"/>
        <v>0</v>
      </c>
    </row>
    <row r="625" spans="1:15">
      <c r="A625" s="46">
        <f ca="1">IFERROR(__xludf.DUMMYFUNCTION("""COMPUTED_VALUE"""),5329.79174918091)</f>
        <v>5329.7917491809103</v>
      </c>
      <c r="B625" s="184"/>
      <c r="O625" s="184">
        <f t="shared" si="2"/>
        <v>0</v>
      </c>
    </row>
    <row r="626" spans="1:15">
      <c r="A626" s="46">
        <f ca="1">IFERROR(__xludf.DUMMYFUNCTION("""COMPUTED_VALUE"""),65934.5291895907)</f>
        <v>65934.529189590699</v>
      </c>
      <c r="B626" s="184"/>
      <c r="O626" s="184">
        <f t="shared" si="2"/>
        <v>0</v>
      </c>
    </row>
    <row r="627" spans="1:15">
      <c r="A627" s="40"/>
      <c r="B627" s="184"/>
      <c r="O627" s="184">
        <f t="shared" si="2"/>
        <v>0</v>
      </c>
    </row>
    <row r="628" spans="1:15">
      <c r="A628" s="40"/>
      <c r="B628" s="184"/>
      <c r="O628" s="184">
        <f t="shared" si="2"/>
        <v>0</v>
      </c>
    </row>
    <row r="629" spans="1:15">
      <c r="A629" s="40"/>
      <c r="B629" s="184"/>
      <c r="O629" s="184">
        <f t="shared" si="2"/>
        <v>0</v>
      </c>
    </row>
    <row r="630" spans="1:15">
      <c r="A630" s="40" t="str">
        <f ca="1">IFERROR(__xludf.DUMMYFUNCTION("""COMPUTED_VALUE"""),"S6")</f>
        <v>S6</v>
      </c>
      <c r="B630" s="184"/>
      <c r="O630" s="184">
        <f t="shared" si="2"/>
        <v>0</v>
      </c>
    </row>
    <row r="631" spans="1:15">
      <c r="A631" s="46">
        <f ca="1">IFERROR(__xludf.DUMMYFUNCTION("""COMPUTED_VALUE"""),5368.20795455637)</f>
        <v>5368.2079545563702</v>
      </c>
      <c r="B631" s="184"/>
      <c r="O631" s="184">
        <f t="shared" si="2"/>
        <v>0</v>
      </c>
    </row>
    <row r="632" spans="1:15">
      <c r="A632" s="46">
        <f ca="1">IFERROR(__xludf.DUMMYFUNCTION("""COMPUTED_VALUE"""),4093.09094957133)</f>
        <v>4093.0909495713299</v>
      </c>
      <c r="B632" s="184"/>
      <c r="O632" s="184">
        <f t="shared" si="2"/>
        <v>0</v>
      </c>
    </row>
    <row r="633" spans="1:15">
      <c r="A633" s="46">
        <f ca="1">IFERROR(__xludf.DUMMYFUNCTION("""COMPUTED_VALUE"""),4299.45088789483)</f>
        <v>4299.45088789483</v>
      </c>
      <c r="B633" s="184"/>
      <c r="O633" s="184">
        <f t="shared" si="2"/>
        <v>0</v>
      </c>
    </row>
    <row r="634" spans="1:15">
      <c r="A634" s="46">
        <f ca="1">IFERROR(__xludf.DUMMYFUNCTION("""COMPUTED_VALUE"""),5134.92379428471)</f>
        <v>5134.9237942847103</v>
      </c>
      <c r="B634" s="184"/>
      <c r="O634" s="184">
        <f t="shared" si="2"/>
        <v>0</v>
      </c>
    </row>
    <row r="635" spans="1:15">
      <c r="A635" s="46">
        <f ca="1">IFERROR(__xludf.DUMMYFUNCTION("""COMPUTED_VALUE"""),5582.26629807222)</f>
        <v>5582.2662980722198</v>
      </c>
      <c r="B635" s="184"/>
      <c r="O635" s="184">
        <f t="shared" si="2"/>
        <v>0</v>
      </c>
    </row>
    <row r="636" spans="1:15">
      <c r="A636" s="46">
        <f ca="1">IFERROR(__xludf.DUMMYFUNCTION("""COMPUTED_VALUE"""),4758.14665908187)</f>
        <v>4758.14665908187</v>
      </c>
      <c r="B636" s="184"/>
      <c r="O636" s="184">
        <f t="shared" si="2"/>
        <v>0</v>
      </c>
    </row>
    <row r="637" spans="1:15">
      <c r="A637" s="46">
        <f ca="1">IFERROR(__xludf.DUMMYFUNCTION("""COMPUTED_VALUE"""),6130.20714259204)</f>
        <v>6130.2071425920403</v>
      </c>
      <c r="B637" s="184"/>
      <c r="O637" s="184">
        <f t="shared" si="2"/>
        <v>0</v>
      </c>
    </row>
    <row r="638" spans="1:15">
      <c r="A638" s="46">
        <f ca="1">IFERROR(__xludf.DUMMYFUNCTION("""COMPUTED_VALUE"""),6464.28434197887)</f>
        <v>6464.2843419788696</v>
      </c>
      <c r="B638" s="184"/>
      <c r="O638" s="184">
        <f t="shared" si="2"/>
        <v>0</v>
      </c>
    </row>
    <row r="639" spans="1:15">
      <c r="A639" s="46">
        <f ca="1">IFERROR(__xludf.DUMMYFUNCTION("""COMPUTED_VALUE"""),5014.80490610523)</f>
        <v>5014.8049061052297</v>
      </c>
      <c r="B639" s="184"/>
      <c r="O639" s="184">
        <f t="shared" si="2"/>
        <v>0</v>
      </c>
    </row>
    <row r="640" spans="1:15">
      <c r="A640" s="46">
        <f ca="1">IFERROR(__xludf.DUMMYFUNCTION("""COMPUTED_VALUE"""),4793.37797624733)</f>
        <v>4793.3779762473296</v>
      </c>
      <c r="B640" s="184"/>
      <c r="O640" s="184">
        <f t="shared" si="2"/>
        <v>0</v>
      </c>
    </row>
    <row r="641" spans="1:15">
      <c r="A641" s="46">
        <f ca="1">IFERROR(__xludf.DUMMYFUNCTION("""COMPUTED_VALUE"""),4559.83196607311)</f>
        <v>4559.8319660731104</v>
      </c>
      <c r="B641" s="184"/>
      <c r="O641" s="184">
        <f t="shared" si="2"/>
        <v>0</v>
      </c>
    </row>
    <row r="642" spans="1:15">
      <c r="A642" s="46">
        <f ca="1">IFERROR(__xludf.DUMMYFUNCTION("""COMPUTED_VALUE"""),4903.4622106896)</f>
        <v>4903.4622106896004</v>
      </c>
      <c r="B642" s="184"/>
      <c r="O642" s="184">
        <f t="shared" si="2"/>
        <v>0</v>
      </c>
    </row>
    <row r="643" spans="1:15">
      <c r="A643" s="46">
        <f ca="1">IFERROR(__xludf.DUMMYFUNCTION("""COMPUTED_VALUE"""),61102.0550871475)</f>
        <v>61102.055087147499</v>
      </c>
      <c r="B643" s="184"/>
      <c r="O643" s="184">
        <f t="shared" si="2"/>
        <v>0</v>
      </c>
    </row>
    <row r="644" spans="1:15">
      <c r="A644" s="40"/>
      <c r="B644" s="184"/>
      <c r="O644" s="184">
        <f t="shared" si="2"/>
        <v>0</v>
      </c>
    </row>
    <row r="645" spans="1:15">
      <c r="A645" s="40"/>
      <c r="B645" s="184"/>
      <c r="O645" s="184">
        <f t="shared" si="2"/>
        <v>0</v>
      </c>
    </row>
    <row r="646" spans="1:15">
      <c r="A646" s="40"/>
      <c r="B646" s="184"/>
      <c r="O646" s="184">
        <f t="shared" si="2"/>
        <v>0</v>
      </c>
    </row>
    <row r="647" spans="1:15">
      <c r="A647" s="40" t="str">
        <f ca="1">IFERROR(__xludf.DUMMYFUNCTION("""COMPUTED_VALUE"""),"S7")</f>
        <v>S7</v>
      </c>
      <c r="B647" s="184"/>
      <c r="O647" s="184">
        <f t="shared" si="2"/>
        <v>0</v>
      </c>
    </row>
    <row r="648" spans="1:15">
      <c r="A648" s="46">
        <f ca="1">IFERROR(__xludf.DUMMYFUNCTION("""COMPUTED_VALUE"""),5447.3739049854)</f>
        <v>5447.3739049854003</v>
      </c>
      <c r="B648" s="184"/>
      <c r="O648" s="184">
        <f t="shared" si="2"/>
        <v>0</v>
      </c>
    </row>
    <row r="649" spans="1:15">
      <c r="A649" s="46">
        <f ca="1">IFERROR(__xludf.DUMMYFUNCTION("""COMPUTED_VALUE"""),4077.49067006412)</f>
        <v>4077.49067006412</v>
      </c>
      <c r="B649" s="184"/>
      <c r="O649" s="184">
        <f t="shared" si="2"/>
        <v>0</v>
      </c>
    </row>
    <row r="650" spans="1:15">
      <c r="A650" s="46">
        <f ca="1">IFERROR(__xludf.DUMMYFUNCTION("""COMPUTED_VALUE"""),4377.74947178991)</f>
        <v>4377.7494717899099</v>
      </c>
      <c r="B650" s="184"/>
      <c r="O650" s="184">
        <f t="shared" si="2"/>
        <v>0</v>
      </c>
    </row>
    <row r="651" spans="1:15">
      <c r="A651" s="46">
        <f ca="1">IFERROR(__xludf.DUMMYFUNCTION("""COMPUTED_VALUE"""),5167.9286679346)</f>
        <v>5167.9286679345996</v>
      </c>
      <c r="B651" s="184"/>
      <c r="O651" s="184">
        <f t="shared" si="2"/>
        <v>0</v>
      </c>
    </row>
    <row r="652" spans="1:15">
      <c r="A652" s="46">
        <f ca="1">IFERROR(__xludf.DUMMYFUNCTION("""COMPUTED_VALUE"""),5581.91052351562)</f>
        <v>5581.9105235156203</v>
      </c>
      <c r="B652" s="184"/>
      <c r="O652" s="184">
        <f t="shared" si="2"/>
        <v>0</v>
      </c>
    </row>
    <row r="653" spans="1:15">
      <c r="A653" s="46">
        <f ca="1">IFERROR(__xludf.DUMMYFUNCTION("""COMPUTED_VALUE"""),4740.61364851562)</f>
        <v>4740.6136485156203</v>
      </c>
      <c r="B653" s="184"/>
      <c r="O653" s="184">
        <f t="shared" si="2"/>
        <v>0</v>
      </c>
    </row>
    <row r="654" spans="1:15">
      <c r="A654" s="46">
        <f ca="1">IFERROR(__xludf.DUMMYFUNCTION("""COMPUTED_VALUE"""),6113.63069511297)</f>
        <v>6113.63069511297</v>
      </c>
      <c r="B654" s="184"/>
      <c r="O654" s="184">
        <f t="shared" si="2"/>
        <v>0</v>
      </c>
    </row>
    <row r="655" spans="1:15">
      <c r="A655" s="46">
        <f ca="1">IFERROR(__xludf.DUMMYFUNCTION("""COMPUTED_VALUE"""),6464.13908350029)</f>
        <v>6464.1390835002903</v>
      </c>
      <c r="B655" s="184"/>
      <c r="O655" s="184">
        <f t="shared" si="2"/>
        <v>0</v>
      </c>
    </row>
    <row r="656" spans="1:15">
      <c r="A656" s="46">
        <f ca="1">IFERROR(__xludf.DUMMYFUNCTION("""COMPUTED_VALUE"""),4817.20016535466)</f>
        <v>4817.2001653546604</v>
      </c>
      <c r="B656" s="184"/>
      <c r="O656" s="184">
        <f t="shared" si="2"/>
        <v>0</v>
      </c>
    </row>
    <row r="657" spans="1:15">
      <c r="A657" s="46">
        <f ca="1">IFERROR(__xludf.DUMMYFUNCTION("""COMPUTED_VALUE"""),5254.98126774294)</f>
        <v>5254.98126774294</v>
      </c>
      <c r="B657" s="184"/>
      <c r="O657" s="184">
        <f t="shared" si="2"/>
        <v>0</v>
      </c>
    </row>
    <row r="658" spans="1:15">
      <c r="A658" s="46">
        <f ca="1">IFERROR(__xludf.DUMMYFUNCTION("""COMPUTED_VALUE"""),4875.20471665009)</f>
        <v>4875.2047166500897</v>
      </c>
      <c r="B658" s="184"/>
      <c r="O658" s="184">
        <f t="shared" si="2"/>
        <v>0</v>
      </c>
    </row>
    <row r="659" spans="1:15">
      <c r="A659" s="46">
        <f ca="1">IFERROR(__xludf.DUMMYFUNCTION("""COMPUTED_VALUE"""),4936.2806065357)</f>
        <v>4936.2806065356999</v>
      </c>
      <c r="B659" s="184"/>
      <c r="O659" s="184">
        <f t="shared" si="2"/>
        <v>0</v>
      </c>
    </row>
    <row r="660" spans="1:15">
      <c r="A660" s="46">
        <f ca="1">IFERROR(__xludf.DUMMYFUNCTION("""COMPUTED_VALUE"""),61854.5034217019)</f>
        <v>61854.503421701898</v>
      </c>
      <c r="B660" s="184"/>
      <c r="O660" s="184">
        <f t="shared" si="2"/>
        <v>0</v>
      </c>
    </row>
    <row r="661" spans="1:15">
      <c r="A661" s="40"/>
      <c r="B661" s="184"/>
      <c r="O661" s="184">
        <f t="shared" si="2"/>
        <v>0</v>
      </c>
    </row>
    <row r="662" spans="1:15">
      <c r="A662" s="40"/>
      <c r="B662" s="184"/>
      <c r="O662" s="184">
        <f t="shared" si="2"/>
        <v>0</v>
      </c>
    </row>
    <row r="663" spans="1:15">
      <c r="A663" s="40"/>
      <c r="B663" s="184"/>
      <c r="O663" s="184">
        <f t="shared" si="2"/>
        <v>0</v>
      </c>
    </row>
    <row r="664" spans="1:15">
      <c r="A664" s="40" t="str">
        <f ca="1">IFERROR(__xludf.DUMMYFUNCTION("""COMPUTED_VALUE"""),"S8")</f>
        <v>S8</v>
      </c>
      <c r="B664" s="184"/>
      <c r="O664" s="184">
        <f t="shared" si="2"/>
        <v>0</v>
      </c>
    </row>
    <row r="665" spans="1:15">
      <c r="A665" s="46">
        <f ca="1">IFERROR(__xludf.DUMMYFUNCTION("""COMPUTED_VALUE"""),5475.71726995382)</f>
        <v>5475.7172699538196</v>
      </c>
      <c r="B665" s="184"/>
      <c r="O665" s="184">
        <f t="shared" si="2"/>
        <v>0</v>
      </c>
    </row>
    <row r="666" spans="1:15">
      <c r="A666" s="46">
        <f ca="1">IFERROR(__xludf.DUMMYFUNCTION("""COMPUTED_VALUE"""),6855.94947737411)</f>
        <v>6855.9494773741098</v>
      </c>
      <c r="B666" s="184"/>
      <c r="O666" s="184">
        <f t="shared" si="2"/>
        <v>0</v>
      </c>
    </row>
    <row r="667" spans="1:15">
      <c r="A667" s="46">
        <f ca="1">IFERROR(__xludf.DUMMYFUNCTION("""COMPUTED_VALUE"""),5922.8610357759)</f>
        <v>5922.8610357758998</v>
      </c>
      <c r="B667" s="184"/>
      <c r="O667" s="184">
        <f t="shared" si="2"/>
        <v>0</v>
      </c>
    </row>
    <row r="668" spans="1:15">
      <c r="A668" s="46">
        <f ca="1">IFERROR(__xludf.DUMMYFUNCTION("""COMPUTED_VALUE"""),6830.03065885797)</f>
        <v>6830.0306588579697</v>
      </c>
      <c r="B668" s="184"/>
      <c r="O668" s="184">
        <f t="shared" si="2"/>
        <v>0</v>
      </c>
    </row>
    <row r="669" spans="1:15">
      <c r="A669" s="46">
        <f ca="1">IFERROR(__xludf.DUMMYFUNCTION("""COMPUTED_VALUE"""),6981.26079827562)</f>
        <v>6981.2607982756199</v>
      </c>
      <c r="B669" s="184"/>
      <c r="O669" s="184">
        <f t="shared" si="2"/>
        <v>0</v>
      </c>
    </row>
    <row r="670" spans="1:15">
      <c r="A670" s="46">
        <f ca="1">IFERROR(__xludf.DUMMYFUNCTION("""COMPUTED_VALUE"""),5862.4505245895)</f>
        <v>5862.4505245894998</v>
      </c>
      <c r="B670" s="184"/>
      <c r="O670" s="184">
        <f t="shared" si="2"/>
        <v>0</v>
      </c>
    </row>
    <row r="671" spans="1:15">
      <c r="A671" s="46">
        <f ca="1">IFERROR(__xludf.DUMMYFUNCTION("""COMPUTED_VALUE"""),7718.78335933669)</f>
        <v>7718.7833593366904</v>
      </c>
      <c r="B671" s="184"/>
      <c r="O671" s="184">
        <f t="shared" si="2"/>
        <v>0</v>
      </c>
    </row>
    <row r="672" spans="1:15">
      <c r="A672" s="46">
        <f ca="1">IFERROR(__xludf.DUMMYFUNCTION("""COMPUTED_VALUE"""),7866.1739187706)</f>
        <v>7866.1739187705998</v>
      </c>
      <c r="B672" s="184"/>
      <c r="O672" s="184">
        <f t="shared" si="2"/>
        <v>0</v>
      </c>
    </row>
    <row r="673" spans="1:15">
      <c r="A673" s="46">
        <f ca="1">IFERROR(__xludf.DUMMYFUNCTION("""COMPUTED_VALUE"""),6148.60337206811)</f>
        <v>6148.6033720681098</v>
      </c>
      <c r="B673" s="184"/>
      <c r="O673" s="184">
        <f t="shared" si="2"/>
        <v>0</v>
      </c>
    </row>
    <row r="674" spans="1:15">
      <c r="A674" s="46">
        <f ca="1">IFERROR(__xludf.DUMMYFUNCTION("""COMPUTED_VALUE"""),5726.08608232474)</f>
        <v>5726.0860823247403</v>
      </c>
      <c r="B674" s="184"/>
      <c r="O674" s="184">
        <f t="shared" si="2"/>
        <v>0</v>
      </c>
    </row>
    <row r="675" spans="1:15">
      <c r="A675" s="46">
        <f ca="1">IFERROR(__xludf.DUMMYFUNCTION("""COMPUTED_VALUE"""),5558.91622311498)</f>
        <v>5558.9162231149803</v>
      </c>
      <c r="B675" s="184"/>
      <c r="O675" s="184">
        <f t="shared" si="2"/>
        <v>0</v>
      </c>
    </row>
    <row r="676" spans="1:15">
      <c r="A676" s="46">
        <f ca="1">IFERROR(__xludf.DUMMYFUNCTION("""COMPUTED_VALUE"""),5436.87171729871)</f>
        <v>5436.8717172987099</v>
      </c>
      <c r="B676" s="184"/>
      <c r="O676" s="184">
        <f t="shared" si="2"/>
        <v>0</v>
      </c>
    </row>
    <row r="677" spans="1:15">
      <c r="A677" s="46">
        <f ca="1">IFERROR(__xludf.DUMMYFUNCTION("""COMPUTED_VALUE"""),76383.7044377408)</f>
        <v>76383.704437740802</v>
      </c>
      <c r="B677" s="184"/>
      <c r="O677" s="184">
        <f t="shared" si="2"/>
        <v>0</v>
      </c>
    </row>
    <row r="678" spans="1:15">
      <c r="A678" s="40"/>
      <c r="B678" s="184"/>
      <c r="O678" s="184">
        <f t="shared" si="2"/>
        <v>0</v>
      </c>
    </row>
    <row r="679" spans="1:15">
      <c r="A679" s="40"/>
      <c r="B679" s="184"/>
      <c r="O679" s="184">
        <f t="shared" si="2"/>
        <v>0</v>
      </c>
    </row>
    <row r="680" spans="1:15">
      <c r="A680" s="40"/>
      <c r="B680" s="184"/>
      <c r="O680" s="184">
        <f t="shared" si="2"/>
        <v>0</v>
      </c>
    </row>
    <row r="681" spans="1:15">
      <c r="A681" s="40" t="str">
        <f ca="1">IFERROR(__xludf.DUMMYFUNCTION("""COMPUTED_VALUE"""),"S9")</f>
        <v>S9</v>
      </c>
      <c r="B681" s="184"/>
      <c r="O681" s="184">
        <f t="shared" si="2"/>
        <v>0</v>
      </c>
    </row>
    <row r="682" spans="1:15">
      <c r="A682" s="46">
        <f ca="1">IFERROR(__xludf.DUMMYFUNCTION("""COMPUTED_VALUE"""),6428.40320501552)</f>
        <v>6428.4032050155201</v>
      </c>
      <c r="B682" s="184"/>
      <c r="O682" s="184">
        <f t="shared" si="2"/>
        <v>0</v>
      </c>
    </row>
    <row r="683" spans="1:15">
      <c r="A683" s="46">
        <f ca="1">IFERROR(__xludf.DUMMYFUNCTION("""COMPUTED_VALUE"""),5047.97181178692)</f>
        <v>5047.9718117869197</v>
      </c>
      <c r="B683" s="184"/>
      <c r="O683" s="184">
        <f t="shared" si="2"/>
        <v>0</v>
      </c>
    </row>
    <row r="684" spans="1:15">
      <c r="A684" s="46">
        <f ca="1">IFERROR(__xludf.DUMMYFUNCTION("""COMPUTED_VALUE"""),4957.32629774397)</f>
        <v>4957.3262977439699</v>
      </c>
      <c r="B684" s="184"/>
      <c r="O684" s="184">
        <f t="shared" si="2"/>
        <v>0</v>
      </c>
    </row>
    <row r="685" spans="1:15">
      <c r="A685" s="46">
        <f ca="1">IFERROR(__xludf.DUMMYFUNCTION("""COMPUTED_VALUE"""),5443.14471752445)</f>
        <v>5443.1447175244502</v>
      </c>
      <c r="B685" s="184"/>
      <c r="O685" s="184">
        <f t="shared" si="2"/>
        <v>0</v>
      </c>
    </row>
    <row r="686" spans="1:15">
      <c r="A686" s="46">
        <f ca="1">IFERROR(__xludf.DUMMYFUNCTION("""COMPUTED_VALUE"""),6057.27561190196)</f>
        <v>6057.2756119019596</v>
      </c>
      <c r="B686" s="184"/>
      <c r="O686" s="184">
        <f t="shared" si="2"/>
        <v>0</v>
      </c>
    </row>
    <row r="687" spans="1:15">
      <c r="A687" s="46">
        <f ca="1">IFERROR(__xludf.DUMMYFUNCTION("""COMPUTED_VALUE"""),5203.76651563516)</f>
        <v>5203.7665156351604</v>
      </c>
      <c r="B687" s="184"/>
      <c r="O687" s="184">
        <f t="shared" si="2"/>
        <v>0</v>
      </c>
    </row>
    <row r="688" spans="1:15">
      <c r="A688" s="46">
        <f ca="1">IFERROR(__xludf.DUMMYFUNCTION("""COMPUTED_VALUE"""),6547.08554152701)</f>
        <v>6547.0855415270098</v>
      </c>
      <c r="B688" s="184"/>
      <c r="O688" s="184">
        <f t="shared" si="2"/>
        <v>0</v>
      </c>
    </row>
    <row r="689" spans="1:15">
      <c r="A689" s="46">
        <f ca="1">IFERROR(__xludf.DUMMYFUNCTION("""COMPUTED_VALUE"""),7519.88473870215)</f>
        <v>7519.8847387021497</v>
      </c>
      <c r="B689" s="184"/>
      <c r="O689" s="184">
        <f t="shared" si="2"/>
        <v>0</v>
      </c>
    </row>
    <row r="690" spans="1:15">
      <c r="A690" s="46">
        <f ca="1">IFERROR(__xludf.DUMMYFUNCTION("""COMPUTED_VALUE"""),5318.24240271722)</f>
        <v>5318.2424027172201</v>
      </c>
      <c r="B690" s="184"/>
      <c r="O690" s="184">
        <f t="shared" si="2"/>
        <v>0</v>
      </c>
    </row>
    <row r="691" spans="1:15">
      <c r="A691" s="46">
        <f ca="1">IFERROR(__xludf.DUMMYFUNCTION("""COMPUTED_VALUE"""),5491.82177259214)</f>
        <v>5491.8217725921404</v>
      </c>
      <c r="B691" s="184"/>
      <c r="O691" s="184">
        <f t="shared" si="2"/>
        <v>0</v>
      </c>
    </row>
    <row r="692" spans="1:15">
      <c r="A692" s="46">
        <f ca="1">IFERROR(__xludf.DUMMYFUNCTION("""COMPUTED_VALUE"""),5410.11582663381)</f>
        <v>5410.1158266338098</v>
      </c>
      <c r="B692" s="184"/>
      <c r="O692" s="184">
        <f t="shared" si="2"/>
        <v>0</v>
      </c>
    </row>
    <row r="693" spans="1:15">
      <c r="A693" s="46">
        <f ca="1">IFERROR(__xludf.DUMMYFUNCTION("""COMPUTED_VALUE"""),5266.74673487539)</f>
        <v>5266.7467348753898</v>
      </c>
      <c r="B693" s="184"/>
      <c r="O693" s="184">
        <f t="shared" si="2"/>
        <v>0</v>
      </c>
    </row>
    <row r="694" spans="1:15">
      <c r="A694" s="46">
        <f ca="1">IFERROR(__xludf.DUMMYFUNCTION("""COMPUTED_VALUE"""),68691.7851766557)</f>
        <v>68691.7851766557</v>
      </c>
      <c r="B694" s="184"/>
      <c r="O694" s="184">
        <f t="shared" si="2"/>
        <v>0</v>
      </c>
    </row>
    <row r="695" spans="1:15">
      <c r="A695" s="40"/>
      <c r="B695" s="184"/>
      <c r="O695" s="184">
        <f t="shared" si="2"/>
        <v>0</v>
      </c>
    </row>
    <row r="696" spans="1:15">
      <c r="A696" s="40"/>
      <c r="B696" s="184"/>
      <c r="O696" s="184">
        <f t="shared" si="2"/>
        <v>0</v>
      </c>
    </row>
    <row r="697" spans="1:15">
      <c r="A697" s="40"/>
      <c r="B697" s="184"/>
      <c r="O697" s="184">
        <f t="shared" si="2"/>
        <v>0</v>
      </c>
    </row>
    <row r="698" spans="1:15">
      <c r="A698" s="40" t="str">
        <f ca="1">IFERROR(__xludf.DUMMYFUNCTION("""COMPUTED_VALUE"""),"S10")</f>
        <v>S10</v>
      </c>
      <c r="B698" s="184"/>
      <c r="O698" s="184">
        <f t="shared" si="2"/>
        <v>0</v>
      </c>
    </row>
    <row r="699" spans="1:15">
      <c r="A699" s="46">
        <f ca="1">IFERROR(__xludf.DUMMYFUNCTION("""COMPUTED_VALUE"""),5399.94635053734)</f>
        <v>5399.9463505373396</v>
      </c>
      <c r="B699" s="184"/>
      <c r="O699" s="184">
        <f t="shared" si="2"/>
        <v>0</v>
      </c>
    </row>
    <row r="700" spans="1:15">
      <c r="A700" s="46">
        <f ca="1">IFERROR(__xludf.DUMMYFUNCTION("""COMPUTED_VALUE"""),4099.21442377042)</f>
        <v>4099.2144237704197</v>
      </c>
      <c r="B700" s="184"/>
      <c r="O700" s="184">
        <f t="shared" si="2"/>
        <v>0</v>
      </c>
    </row>
    <row r="701" spans="1:15">
      <c r="A701" s="46">
        <f ca="1">IFERROR(__xludf.DUMMYFUNCTION("""COMPUTED_VALUE"""),4325.0766390575)</f>
        <v>4325.0766390575</v>
      </c>
      <c r="B701" s="184"/>
      <c r="O701" s="184">
        <f t="shared" si="2"/>
        <v>0</v>
      </c>
    </row>
    <row r="702" spans="1:15">
      <c r="A702" s="46">
        <f ca="1">IFERROR(__xludf.DUMMYFUNCTION("""COMPUTED_VALUE"""),5156.52124575779)</f>
        <v>5156.52124575779</v>
      </c>
      <c r="B702" s="184"/>
      <c r="O702" s="184">
        <f t="shared" si="2"/>
        <v>0</v>
      </c>
    </row>
    <row r="703" spans="1:15">
      <c r="A703" s="46">
        <f ca="1">IFERROR(__xludf.DUMMYFUNCTION("""COMPUTED_VALUE"""),5645.63864096719)</f>
        <v>5645.6386409671904</v>
      </c>
      <c r="B703" s="184"/>
      <c r="O703" s="184">
        <f t="shared" si="2"/>
        <v>0</v>
      </c>
    </row>
    <row r="704" spans="1:15">
      <c r="A704" s="46">
        <f ca="1">IFERROR(__xludf.DUMMYFUNCTION("""COMPUTED_VALUE"""),4795.93128185274)</f>
        <v>4795.9312818527396</v>
      </c>
      <c r="B704" s="184"/>
      <c r="O704" s="184">
        <f t="shared" si="2"/>
        <v>0</v>
      </c>
    </row>
    <row r="705" spans="1:15">
      <c r="A705" s="46">
        <f ca="1">IFERROR(__xludf.DUMMYFUNCTION("""COMPUTED_VALUE"""),6185.9401342765)</f>
        <v>6185.9401342765004</v>
      </c>
      <c r="B705" s="184"/>
      <c r="O705" s="184">
        <f t="shared" si="2"/>
        <v>0</v>
      </c>
    </row>
    <row r="706" spans="1:15">
      <c r="A706" s="46">
        <f ca="1">IFERROR(__xludf.DUMMYFUNCTION("""COMPUTED_VALUE"""),6507.57136859621)</f>
        <v>6507.57136859621</v>
      </c>
      <c r="B706" s="184"/>
      <c r="O706" s="184">
        <f t="shared" si="2"/>
        <v>0</v>
      </c>
    </row>
    <row r="707" spans="1:15">
      <c r="A707" s="46">
        <f ca="1">IFERROR(__xludf.DUMMYFUNCTION("""COMPUTED_VALUE"""),4871.62400087403)</f>
        <v>4871.6240008740297</v>
      </c>
      <c r="B707" s="184"/>
      <c r="O707" s="184">
        <f t="shared" si="2"/>
        <v>0</v>
      </c>
    </row>
    <row r="708" spans="1:15">
      <c r="A708" s="46">
        <f ca="1">IFERROR(__xludf.DUMMYFUNCTION("""COMPUTED_VALUE"""),4780.98145784582)</f>
        <v>4780.9814578458199</v>
      </c>
      <c r="B708" s="184"/>
      <c r="O708" s="184">
        <f t="shared" si="2"/>
        <v>0</v>
      </c>
    </row>
    <row r="709" spans="1:15">
      <c r="A709" s="46">
        <f ca="1">IFERROR(__xludf.DUMMYFUNCTION("""COMPUTED_VALUE"""),4461.81271067974)</f>
        <v>4461.8127106797401</v>
      </c>
      <c r="B709" s="184"/>
      <c r="O709" s="184">
        <f t="shared" si="2"/>
        <v>0</v>
      </c>
    </row>
    <row r="710" spans="1:15">
      <c r="A710" s="46">
        <f ca="1">IFERROR(__xludf.DUMMYFUNCTION("""COMPUTED_VALUE"""),4632.24603369731)</f>
        <v>4632.2460336973099</v>
      </c>
      <c r="B710" s="184"/>
      <c r="O710" s="184">
        <f t="shared" si="2"/>
        <v>0</v>
      </c>
    </row>
    <row r="711" spans="1:15">
      <c r="A711" s="46">
        <f ca="1">IFERROR(__xludf.DUMMYFUNCTION("""COMPUTED_VALUE"""),60862.5042879126)</f>
        <v>60862.504287912598</v>
      </c>
      <c r="B711" s="184"/>
      <c r="O711" s="184">
        <f t="shared" si="2"/>
        <v>0</v>
      </c>
    </row>
    <row r="712" spans="1:15">
      <c r="A712" s="40"/>
      <c r="B712" s="184"/>
      <c r="O712" s="184">
        <f t="shared" si="2"/>
        <v>0</v>
      </c>
    </row>
    <row r="713" spans="1:15">
      <c r="A713" s="40"/>
      <c r="B713" s="184"/>
      <c r="O713" s="184">
        <f t="shared" si="2"/>
        <v>0</v>
      </c>
    </row>
    <row r="714" spans="1:15">
      <c r="A714" s="40"/>
      <c r="B714" s="184"/>
      <c r="O714" s="184">
        <f t="shared" si="2"/>
        <v>0</v>
      </c>
    </row>
    <row r="715" spans="1:15">
      <c r="A715" s="40" t="str">
        <f ca="1">IFERROR(__xludf.DUMMYFUNCTION("""COMPUTED_VALUE"""),"S11")</f>
        <v>S11</v>
      </c>
      <c r="B715" s="184"/>
      <c r="O715" s="184">
        <f t="shared" si="2"/>
        <v>0</v>
      </c>
    </row>
    <row r="716" spans="1:15">
      <c r="A716" s="46">
        <f ca="1">IFERROR(__xludf.DUMMYFUNCTION("""COMPUTED_VALUE"""),5377.51856990898)</f>
        <v>5377.5185699089798</v>
      </c>
      <c r="B716" s="184"/>
      <c r="O716" s="184">
        <f t="shared" si="2"/>
        <v>0</v>
      </c>
    </row>
    <row r="717" spans="1:15">
      <c r="A717" s="46">
        <f ca="1">IFERROR(__xludf.DUMMYFUNCTION("""COMPUTED_VALUE"""),4364.95376441039)</f>
        <v>4364.9537644103902</v>
      </c>
      <c r="B717" s="184"/>
      <c r="O717" s="184">
        <f t="shared" si="2"/>
        <v>0</v>
      </c>
    </row>
    <row r="718" spans="1:15">
      <c r="A718" s="46">
        <f ca="1">IFERROR(__xludf.DUMMYFUNCTION("""COMPUTED_VALUE"""),5104.92719034558)</f>
        <v>5104.9271903455801</v>
      </c>
      <c r="B718" s="184"/>
      <c r="O718" s="184">
        <f t="shared" si="2"/>
        <v>0</v>
      </c>
    </row>
    <row r="719" spans="1:15">
      <c r="A719" s="46">
        <f ca="1">IFERROR(__xludf.DUMMYFUNCTION("""COMPUTED_VALUE"""),5912.29678144012)</f>
        <v>5912.29678144012</v>
      </c>
      <c r="B719" s="184"/>
      <c r="O719" s="184">
        <f t="shared" si="2"/>
        <v>0</v>
      </c>
    </row>
    <row r="720" spans="1:15">
      <c r="A720" s="46">
        <f ca="1">IFERROR(__xludf.DUMMYFUNCTION("""COMPUTED_VALUE"""),6392.94309711246)</f>
        <v>6392.9430971124602</v>
      </c>
      <c r="B720" s="184"/>
      <c r="O720" s="184">
        <f t="shared" si="2"/>
        <v>0</v>
      </c>
    </row>
    <row r="721" spans="1:15">
      <c r="A721" s="46">
        <f ca="1">IFERROR(__xludf.DUMMYFUNCTION("""COMPUTED_VALUE"""),5150.96489581339)</f>
        <v>5150.9648958133903</v>
      </c>
      <c r="B721" s="184"/>
      <c r="O721" s="184">
        <f t="shared" si="2"/>
        <v>0</v>
      </c>
    </row>
    <row r="722" spans="1:15">
      <c r="A722" s="46">
        <f ca="1">IFERROR(__xludf.DUMMYFUNCTION("""COMPUTED_VALUE"""),6370.03433464507)</f>
        <v>6370.03433464507</v>
      </c>
      <c r="B722" s="184"/>
      <c r="O722" s="184">
        <f t="shared" si="2"/>
        <v>0</v>
      </c>
    </row>
    <row r="723" spans="1:15">
      <c r="A723" s="46">
        <f ca="1">IFERROR(__xludf.DUMMYFUNCTION("""COMPUTED_VALUE"""),7191.39986626587)</f>
        <v>7191.3998662658696</v>
      </c>
      <c r="B723" s="184"/>
      <c r="O723" s="184">
        <f t="shared" si="2"/>
        <v>0</v>
      </c>
    </row>
    <row r="724" spans="1:15">
      <c r="A724" s="46">
        <f ca="1">IFERROR(__xludf.DUMMYFUNCTION("""COMPUTED_VALUE"""),5517.87167688956)</f>
        <v>5517.8716768895601</v>
      </c>
      <c r="B724" s="184"/>
      <c r="O724" s="184">
        <f t="shared" si="2"/>
        <v>0</v>
      </c>
    </row>
    <row r="725" spans="1:15">
      <c r="A725" s="46">
        <f ca="1">IFERROR(__xludf.DUMMYFUNCTION("""COMPUTED_VALUE"""),5052.2573650213)</f>
        <v>5052.2573650212998</v>
      </c>
      <c r="B725" s="184"/>
      <c r="O725" s="184">
        <f t="shared" si="2"/>
        <v>0</v>
      </c>
    </row>
    <row r="726" spans="1:15">
      <c r="A726" s="46">
        <f ca="1">IFERROR(__xludf.DUMMYFUNCTION("""COMPUTED_VALUE"""),5055.81335474121)</f>
        <v>5055.8133547412099</v>
      </c>
      <c r="B726" s="184"/>
      <c r="O726" s="184">
        <f t="shared" si="2"/>
        <v>0</v>
      </c>
    </row>
    <row r="727" spans="1:15">
      <c r="A727" s="46">
        <f ca="1">IFERROR(__xludf.DUMMYFUNCTION("""COMPUTED_VALUE"""),5146.23872659154)</f>
        <v>5146.2387265915404</v>
      </c>
      <c r="B727" s="184"/>
      <c r="O727" s="184">
        <f t="shared" si="2"/>
        <v>0</v>
      </c>
    </row>
    <row r="728" spans="1:15">
      <c r="A728" s="46">
        <f ca="1">IFERROR(__xludf.DUMMYFUNCTION("""COMPUTED_VALUE"""),66637.2196231855)</f>
        <v>66637.219623185505</v>
      </c>
      <c r="B728" s="184"/>
      <c r="O728" s="184">
        <f t="shared" si="2"/>
        <v>0</v>
      </c>
    </row>
    <row r="729" spans="1:15">
      <c r="A729" s="40"/>
      <c r="B729" s="184"/>
      <c r="O729" s="184">
        <f t="shared" si="2"/>
        <v>0</v>
      </c>
    </row>
    <row r="730" spans="1:15">
      <c r="A730" s="40"/>
      <c r="B730" s="184"/>
      <c r="O730" s="184">
        <f t="shared" si="2"/>
        <v>0</v>
      </c>
    </row>
    <row r="731" spans="1:15">
      <c r="A731" s="40"/>
      <c r="B731" s="184"/>
      <c r="O731" s="184">
        <f t="shared" si="2"/>
        <v>0</v>
      </c>
    </row>
    <row r="732" spans="1:15">
      <c r="A732" s="40" t="str">
        <f ca="1">IFERROR(__xludf.DUMMYFUNCTION("""COMPUTED_VALUE"""),"S12")</f>
        <v>S12</v>
      </c>
      <c r="B732" s="184"/>
      <c r="O732" s="184">
        <f t="shared" si="2"/>
        <v>0</v>
      </c>
    </row>
    <row r="733" spans="1:15">
      <c r="A733" s="46">
        <f ca="1">IFERROR(__xludf.DUMMYFUNCTION("""COMPUTED_VALUE"""),6202.87118500567)</f>
        <v>6202.8711850056698</v>
      </c>
      <c r="B733" s="184"/>
      <c r="O733" s="184">
        <f t="shared" si="2"/>
        <v>0</v>
      </c>
    </row>
    <row r="734" spans="1:15">
      <c r="A734" s="46">
        <f ca="1">IFERROR(__xludf.DUMMYFUNCTION("""COMPUTED_VALUE"""),5987.65277165617)</f>
        <v>5987.6527716561704</v>
      </c>
      <c r="B734" s="184"/>
      <c r="O734" s="184">
        <f t="shared" si="2"/>
        <v>0</v>
      </c>
    </row>
    <row r="735" spans="1:15">
      <c r="A735" s="46">
        <f ca="1">IFERROR(__xludf.DUMMYFUNCTION("""COMPUTED_VALUE"""),5118.63884839021)</f>
        <v>5118.6388483902101</v>
      </c>
      <c r="B735" s="184"/>
      <c r="O735" s="184">
        <f t="shared" si="2"/>
        <v>0</v>
      </c>
    </row>
    <row r="736" spans="1:15">
      <c r="A736" s="46">
        <f ca="1">IFERROR(__xludf.DUMMYFUNCTION("""COMPUTED_VALUE"""),5904.94733553174)</f>
        <v>5904.9473355317396</v>
      </c>
      <c r="B736" s="184"/>
      <c r="O736" s="184">
        <f t="shared" si="2"/>
        <v>0</v>
      </c>
    </row>
    <row r="737" spans="1:15">
      <c r="A737" s="46">
        <f ca="1">IFERROR(__xludf.DUMMYFUNCTION("""COMPUTED_VALUE"""),6760.14691134666)</f>
        <v>6760.1469113466601</v>
      </c>
      <c r="B737" s="184"/>
      <c r="O737" s="184">
        <f t="shared" si="2"/>
        <v>0</v>
      </c>
    </row>
    <row r="738" spans="1:15">
      <c r="A738" s="46">
        <f ca="1">IFERROR(__xludf.DUMMYFUNCTION("""COMPUTED_VALUE"""),5234.7687463177)</f>
        <v>5234.7687463176999</v>
      </c>
      <c r="B738" s="184"/>
      <c r="O738" s="184">
        <f t="shared" si="2"/>
        <v>0</v>
      </c>
    </row>
    <row r="739" spans="1:15">
      <c r="A739" s="46">
        <f ca="1">IFERROR(__xludf.DUMMYFUNCTION("""COMPUTED_VALUE"""),6313.66378728834)</f>
        <v>6313.6637872883402</v>
      </c>
      <c r="B739" s="184"/>
      <c r="O739" s="184">
        <f t="shared" si="2"/>
        <v>0</v>
      </c>
    </row>
    <row r="740" spans="1:15">
      <c r="A740" s="46">
        <f ca="1">IFERROR(__xludf.DUMMYFUNCTION("""COMPUTED_VALUE"""),6717.1309336967)</f>
        <v>6717.1309336966997</v>
      </c>
      <c r="B740" s="184"/>
      <c r="O740" s="184">
        <f t="shared" si="2"/>
        <v>0</v>
      </c>
    </row>
    <row r="741" spans="1:15">
      <c r="A741" s="46">
        <f ca="1">IFERROR(__xludf.DUMMYFUNCTION("""COMPUTED_VALUE"""),5914.30734532615)</f>
        <v>5914.3073453261504</v>
      </c>
      <c r="B741" s="184"/>
      <c r="O741" s="184">
        <f t="shared" si="2"/>
        <v>0</v>
      </c>
    </row>
    <row r="742" spans="1:15">
      <c r="A742" s="46">
        <f ca="1">IFERROR(__xludf.DUMMYFUNCTION("""COMPUTED_VALUE"""),5003.07955998539)</f>
        <v>5003.07955998539</v>
      </c>
      <c r="B742" s="184"/>
      <c r="O742" s="184">
        <f t="shared" si="2"/>
        <v>0</v>
      </c>
    </row>
    <row r="743" spans="1:15">
      <c r="A743" s="46">
        <f ca="1">IFERROR(__xludf.DUMMYFUNCTION("""COMPUTED_VALUE"""),4687.77132717436)</f>
        <v>4687.7713271743596</v>
      </c>
      <c r="B743" s="184"/>
      <c r="O743" s="184">
        <f t="shared" si="2"/>
        <v>0</v>
      </c>
    </row>
    <row r="744" spans="1:15">
      <c r="A744" s="46">
        <f ca="1">IFERROR(__xludf.DUMMYFUNCTION("""COMPUTED_VALUE"""),4851.6692975686)</f>
        <v>4851.6692975686001</v>
      </c>
      <c r="B744" s="184"/>
      <c r="O744" s="184">
        <f t="shared" si="2"/>
        <v>0</v>
      </c>
    </row>
    <row r="745" spans="1:15">
      <c r="A745" s="46">
        <f ca="1">IFERROR(__xludf.DUMMYFUNCTION("""COMPUTED_VALUE"""),68696.6480492877)</f>
        <v>68696.648049287702</v>
      </c>
      <c r="B745" s="184"/>
      <c r="O745" s="184">
        <f t="shared" si="2"/>
        <v>0</v>
      </c>
    </row>
    <row r="746" spans="1:15">
      <c r="A746" s="40"/>
      <c r="B746" s="184"/>
      <c r="O746" s="184">
        <f t="shared" si="2"/>
        <v>0</v>
      </c>
    </row>
    <row r="747" spans="1:15">
      <c r="A747" s="40"/>
      <c r="B747" s="184"/>
      <c r="O747" s="184">
        <f t="shared" si="2"/>
        <v>0</v>
      </c>
    </row>
    <row r="748" spans="1:15">
      <c r="A748" s="40"/>
      <c r="B748" s="184"/>
      <c r="O748" s="184">
        <f t="shared" si="2"/>
        <v>0</v>
      </c>
    </row>
    <row r="749" spans="1:15">
      <c r="A749" s="40" t="str">
        <f ca="1">IFERROR(__xludf.DUMMYFUNCTION("""COMPUTED_VALUE"""),"S13")</f>
        <v>S13</v>
      </c>
      <c r="B749" s="184"/>
      <c r="O749" s="184">
        <f t="shared" si="2"/>
        <v>0</v>
      </c>
    </row>
    <row r="750" spans="1:15">
      <c r="A750" s="46">
        <f ca="1">IFERROR(__xludf.DUMMYFUNCTION("""COMPUTED_VALUE"""),5705.93031757189)</f>
        <v>5705.9303175718896</v>
      </c>
      <c r="B750" s="184"/>
      <c r="O750" s="184">
        <f t="shared" si="2"/>
        <v>0</v>
      </c>
    </row>
    <row r="751" spans="1:15">
      <c r="A751" s="46">
        <f ca="1">IFERROR(__xludf.DUMMYFUNCTION("""COMPUTED_VALUE"""),4461.43046171673)</f>
        <v>4461.43046171673</v>
      </c>
      <c r="B751" s="184"/>
      <c r="O751" s="184">
        <f t="shared" si="2"/>
        <v>0</v>
      </c>
    </row>
    <row r="752" spans="1:15">
      <c r="A752" s="46">
        <f ca="1">IFERROR(__xludf.DUMMYFUNCTION("""COMPUTED_VALUE"""),4778.53129330232)</f>
        <v>4778.5312933023197</v>
      </c>
      <c r="B752" s="184"/>
      <c r="O752" s="184">
        <f t="shared" si="2"/>
        <v>0</v>
      </c>
    </row>
    <row r="753" spans="1:15">
      <c r="A753" s="46">
        <f ca="1">IFERROR(__xludf.DUMMYFUNCTION("""COMPUTED_VALUE"""),5522.32034338402)</f>
        <v>5522.3203433840199</v>
      </c>
      <c r="B753" s="184"/>
      <c r="O753" s="184">
        <f t="shared" si="2"/>
        <v>0</v>
      </c>
    </row>
    <row r="754" spans="1:15">
      <c r="A754" s="46">
        <f ca="1">IFERROR(__xludf.DUMMYFUNCTION("""COMPUTED_VALUE"""),6028.01315462133)</f>
        <v>6028.0131546213297</v>
      </c>
      <c r="B754" s="184"/>
      <c r="O754" s="184">
        <f t="shared" si="2"/>
        <v>0</v>
      </c>
    </row>
    <row r="755" spans="1:15">
      <c r="A755" s="46">
        <f ca="1">IFERROR(__xludf.DUMMYFUNCTION("""COMPUTED_VALUE"""),5066.57563295721)</f>
        <v>5066.5756329572096</v>
      </c>
      <c r="B755" s="184"/>
      <c r="O755" s="184">
        <f t="shared" si="2"/>
        <v>0</v>
      </c>
    </row>
    <row r="756" spans="1:15">
      <c r="A756" s="46">
        <f ca="1">IFERROR(__xludf.DUMMYFUNCTION("""COMPUTED_VALUE"""),6354.5968581402)</f>
        <v>6354.5968581402003</v>
      </c>
      <c r="B756" s="184"/>
      <c r="O756" s="184">
        <f t="shared" si="2"/>
        <v>0</v>
      </c>
    </row>
    <row r="757" spans="1:15">
      <c r="A757" s="46">
        <f ca="1">IFERROR(__xludf.DUMMYFUNCTION("""COMPUTED_VALUE"""),6854.26197034806)</f>
        <v>6854.2619703480595</v>
      </c>
      <c r="B757" s="184"/>
      <c r="O757" s="184">
        <f t="shared" si="2"/>
        <v>0</v>
      </c>
    </row>
    <row r="758" spans="1:15">
      <c r="A758" s="46">
        <f ca="1">IFERROR(__xludf.DUMMYFUNCTION("""COMPUTED_VALUE"""),5227.88185778212)</f>
        <v>5227.8818577821203</v>
      </c>
      <c r="B758" s="184"/>
      <c r="O758" s="184">
        <f t="shared" si="2"/>
        <v>0</v>
      </c>
    </row>
    <row r="759" spans="1:15">
      <c r="A759" s="46">
        <f ca="1">IFERROR(__xludf.DUMMYFUNCTION("""COMPUTED_VALUE"""),4854.25472737934)</f>
        <v>4854.2547273793398</v>
      </c>
      <c r="B759" s="184"/>
      <c r="O759" s="184">
        <f t="shared" si="2"/>
        <v>0</v>
      </c>
    </row>
    <row r="760" spans="1:15">
      <c r="A760" s="46">
        <f ca="1">IFERROR(__xludf.DUMMYFUNCTION("""COMPUTED_VALUE"""),4566.51720983249)</f>
        <v>4566.5172098324902</v>
      </c>
      <c r="B760" s="184"/>
      <c r="O760" s="184">
        <f t="shared" si="2"/>
        <v>0</v>
      </c>
    </row>
    <row r="761" spans="1:15">
      <c r="A761" s="46">
        <f ca="1">IFERROR(__xludf.DUMMYFUNCTION("""COMPUTED_VALUE"""),4739.21977091794)</f>
        <v>4739.21977091794</v>
      </c>
      <c r="B761" s="184"/>
      <c r="O761" s="184">
        <f t="shared" si="2"/>
        <v>0</v>
      </c>
    </row>
    <row r="762" spans="1:15">
      <c r="A762" s="46">
        <f ca="1">IFERROR(__xludf.DUMMYFUNCTION("""COMPUTED_VALUE"""),64159.5335979536)</f>
        <v>64159.533597953603</v>
      </c>
      <c r="B762" s="184"/>
      <c r="O762" s="184">
        <f t="shared" si="2"/>
        <v>0</v>
      </c>
    </row>
    <row r="763" spans="1:15">
      <c r="A763" s="40"/>
      <c r="B763" s="184"/>
      <c r="O763" s="184">
        <f t="shared" si="2"/>
        <v>0</v>
      </c>
    </row>
    <row r="764" spans="1:15">
      <c r="A764" s="40"/>
      <c r="B764" s="184"/>
      <c r="O764" s="184">
        <f t="shared" si="2"/>
        <v>0</v>
      </c>
    </row>
    <row r="765" spans="1:15">
      <c r="A765" s="40"/>
      <c r="B765" s="184"/>
      <c r="O765" s="184">
        <f t="shared" si="2"/>
        <v>0</v>
      </c>
    </row>
    <row r="766" spans="1:15">
      <c r="A766" s="40" t="str">
        <f ca="1">IFERROR(__xludf.DUMMYFUNCTION("""COMPUTED_VALUE"""),"S14")</f>
        <v>S14</v>
      </c>
      <c r="B766" s="184"/>
      <c r="O766" s="184">
        <f t="shared" ref="O766:O768" si="3">SUM(C766:N766)</f>
        <v>0</v>
      </c>
    </row>
    <row r="767" spans="1:15">
      <c r="A767" s="46">
        <f ca="1">IFERROR(__xludf.DUMMYFUNCTION("""COMPUTED_VALUE"""),5716.52692952015)</f>
        <v>5716.5269295201497</v>
      </c>
      <c r="B767" s="184"/>
      <c r="O767" s="184">
        <f t="shared" si="3"/>
        <v>0</v>
      </c>
    </row>
    <row r="768" spans="1:15">
      <c r="A768" s="46">
        <f ca="1">IFERROR(__xludf.DUMMYFUNCTION("""COMPUTED_VALUE"""),4339.34976974752)</f>
        <v>4339.3497697475204</v>
      </c>
      <c r="B768" s="184"/>
      <c r="O768" s="184">
        <f t="shared" si="3"/>
        <v>0</v>
      </c>
    </row>
    <row r="769" spans="1:15">
      <c r="A769" s="46">
        <f ca="1">IFERROR(__xludf.DUMMYFUNCTION("""COMPUTED_VALUE"""),4763.77453937014)</f>
        <v>4763.7745393701398</v>
      </c>
      <c r="B769" s="184"/>
      <c r="O769" s="184"/>
    </row>
    <row r="770" spans="1:15">
      <c r="A770" s="46">
        <f ca="1">IFERROR(__xludf.DUMMYFUNCTION("""COMPUTED_VALUE"""),5695.64101867115)</f>
        <v>5695.6410186711501</v>
      </c>
      <c r="B770" s="184"/>
      <c r="O770" s="184"/>
    </row>
    <row r="771" spans="1:15">
      <c r="A771" s="46">
        <f ca="1">IFERROR(__xludf.DUMMYFUNCTION("""COMPUTED_VALUE"""),5962.23933346929)</f>
        <v>5962.2393334692897</v>
      </c>
      <c r="B771" s="184"/>
      <c r="O771" s="184"/>
    </row>
    <row r="772" spans="1:15">
      <c r="A772" s="46">
        <f ca="1">IFERROR(__xludf.DUMMYFUNCTION("""COMPUTED_VALUE"""),4938.48615576421)</f>
        <v>4938.4861557642098</v>
      </c>
      <c r="B772" s="184"/>
      <c r="O772" s="184"/>
    </row>
    <row r="773" spans="1:15">
      <c r="A773" s="46">
        <f ca="1">IFERROR(__xludf.DUMMYFUNCTION("""COMPUTED_VALUE"""),6317.35298095164)</f>
        <v>6317.3529809516403</v>
      </c>
      <c r="B773" s="184"/>
      <c r="O773" s="184"/>
    </row>
    <row r="774" spans="1:15">
      <c r="A774" s="46">
        <f ca="1">IFERROR(__xludf.DUMMYFUNCTION("""COMPUTED_VALUE"""),6939.67395575409)</f>
        <v>6939.6739557540895</v>
      </c>
      <c r="B774" s="184"/>
      <c r="O774" s="184"/>
    </row>
    <row r="775" spans="1:15">
      <c r="A775" s="46">
        <f ca="1">IFERROR(__xludf.DUMMYFUNCTION("""COMPUTED_VALUE"""),5090.2659547964)</f>
        <v>5090.2659547964004</v>
      </c>
      <c r="B775" s="184"/>
      <c r="O775" s="184"/>
    </row>
    <row r="776" spans="1:15">
      <c r="A776" s="46">
        <f ca="1">IFERROR(__xludf.DUMMYFUNCTION("""COMPUTED_VALUE"""),4970.35146258865)</f>
        <v>4970.3514625886501</v>
      </c>
      <c r="B776" s="184"/>
      <c r="O776" s="184"/>
    </row>
    <row r="777" spans="1:15">
      <c r="A777" s="46">
        <f ca="1">IFERROR(__xludf.DUMMYFUNCTION("""COMPUTED_VALUE"""),4701.87477896048)</f>
        <v>4701.8747789604804</v>
      </c>
      <c r="B777" s="184"/>
      <c r="O777" s="184"/>
    </row>
    <row r="778" spans="1:15">
      <c r="A778" s="46">
        <f ca="1">IFERROR(__xludf.DUMMYFUNCTION("""COMPUTED_VALUE"""),5462.94943564802)</f>
        <v>5462.94943564802</v>
      </c>
      <c r="B778" s="184"/>
      <c r="O778" s="184"/>
    </row>
    <row r="779" spans="1:15">
      <c r="A779" s="46">
        <f ca="1">IFERROR(__xludf.DUMMYFUNCTION("""COMPUTED_VALUE"""),64898.4863152418)</f>
        <v>64898.486315241797</v>
      </c>
      <c r="B779" s="184"/>
      <c r="O779" s="184"/>
    </row>
    <row r="780" spans="1:15">
      <c r="A780" s="40"/>
      <c r="B780" s="184"/>
      <c r="O780" s="184"/>
    </row>
    <row r="781" spans="1:15">
      <c r="A781" s="40"/>
      <c r="B781" s="184"/>
      <c r="O781" s="184"/>
    </row>
    <row r="782" spans="1:15">
      <c r="A782" s="40"/>
      <c r="B782" s="184"/>
      <c r="O782" s="184"/>
    </row>
    <row r="783" spans="1:15">
      <c r="A783" s="40" t="str">
        <f ca="1">IFERROR(__xludf.DUMMYFUNCTION("""COMPUTED_VALUE"""),"S15")</f>
        <v>S15</v>
      </c>
      <c r="B783" s="184"/>
      <c r="O783" s="184"/>
    </row>
    <row r="784" spans="1:15">
      <c r="A784" s="46">
        <f ca="1">IFERROR(__xludf.DUMMYFUNCTION("""COMPUTED_VALUE"""),7055.86666397155)</f>
        <v>7055.8666639715502</v>
      </c>
      <c r="B784" s="184"/>
      <c r="O784" s="184"/>
    </row>
    <row r="785" spans="1:15">
      <c r="A785" s="46">
        <f ca="1">IFERROR(__xludf.DUMMYFUNCTION("""COMPUTED_VALUE"""),5462.61849326831)</f>
        <v>5462.61849326831</v>
      </c>
      <c r="B785" s="184"/>
      <c r="O785" s="184"/>
    </row>
    <row r="786" spans="1:15">
      <c r="A786" s="46">
        <f ca="1">IFERROR(__xludf.DUMMYFUNCTION("""COMPUTED_VALUE"""),5274.36658619044)</f>
        <v>5274.3665861904401</v>
      </c>
      <c r="B786" s="184"/>
      <c r="O786" s="184"/>
    </row>
    <row r="787" spans="1:15">
      <c r="A787" s="46">
        <f ca="1">IFERROR(__xludf.DUMMYFUNCTION("""COMPUTED_VALUE"""),6502.36670083486)</f>
        <v>6502.3667008348602</v>
      </c>
      <c r="B787" s="184"/>
      <c r="O787" s="184"/>
    </row>
    <row r="788" spans="1:15">
      <c r="A788" s="46">
        <f ca="1">IFERROR(__xludf.DUMMYFUNCTION("""COMPUTED_VALUE"""),6787.63630478899)</f>
        <v>6787.6363047889899</v>
      </c>
      <c r="B788" s="184"/>
      <c r="O788" s="184"/>
    </row>
    <row r="789" spans="1:15">
      <c r="A789" s="46">
        <f ca="1">IFERROR(__xludf.DUMMYFUNCTION("""COMPUTED_VALUE"""),6032.15201486086)</f>
        <v>6032.1520148608597</v>
      </c>
      <c r="B789" s="184"/>
      <c r="O789" s="184"/>
    </row>
    <row r="790" spans="1:15">
      <c r="A790" s="46">
        <f ca="1">IFERROR(__xludf.DUMMYFUNCTION("""COMPUTED_VALUE"""),7878.35491487051)</f>
        <v>7878.3549148705097</v>
      </c>
      <c r="B790" s="184"/>
      <c r="O790" s="184"/>
    </row>
    <row r="791" spans="1:15">
      <c r="A791" s="46">
        <f ca="1">IFERROR(__xludf.DUMMYFUNCTION("""COMPUTED_VALUE"""),7991.53901865685)</f>
        <v>7991.5390186568502</v>
      </c>
      <c r="B791" s="184"/>
      <c r="O791" s="184"/>
    </row>
    <row r="792" spans="1:15">
      <c r="A792" s="46">
        <f ca="1">IFERROR(__xludf.DUMMYFUNCTION("""COMPUTED_VALUE"""),6351.77650618948)</f>
        <v>6351.7765061894797</v>
      </c>
      <c r="B792" s="184"/>
      <c r="O792" s="184"/>
    </row>
    <row r="793" spans="1:15">
      <c r="A793" s="46">
        <f ca="1">IFERROR(__xludf.DUMMYFUNCTION("""COMPUTED_VALUE"""),5896.67573284253)</f>
        <v>5896.6757328425301</v>
      </c>
      <c r="B793" s="184"/>
      <c r="O793" s="184"/>
    </row>
    <row r="794" spans="1:15">
      <c r="A794" s="46">
        <f ca="1">IFERROR(__xludf.DUMMYFUNCTION("""COMPUTED_VALUE"""),5683.89715754083)</f>
        <v>5683.8971575408304</v>
      </c>
      <c r="B794" s="184"/>
      <c r="O794" s="184"/>
    </row>
    <row r="795" spans="1:15">
      <c r="A795" s="46">
        <f ca="1">IFERROR(__xludf.DUMMYFUNCTION("""COMPUTED_VALUE"""),6096.80446377531)</f>
        <v>6096.8044637753101</v>
      </c>
      <c r="B795" s="184"/>
      <c r="O795" s="184"/>
    </row>
    <row r="796" spans="1:15">
      <c r="A796" s="46">
        <f ca="1">IFERROR(__xludf.DUMMYFUNCTION("""COMPUTED_VALUE"""),77014.0545577905)</f>
        <v>77014.0545577905</v>
      </c>
      <c r="B796" s="184"/>
      <c r="O796" s="184"/>
    </row>
    <row r="797" spans="1:15">
      <c r="A797" s="40"/>
      <c r="B797" s="184"/>
      <c r="O797" s="184"/>
    </row>
    <row r="798" spans="1:15">
      <c r="A798" s="40"/>
      <c r="B798" s="184"/>
      <c r="O798" s="184"/>
    </row>
    <row r="799" spans="1:15">
      <c r="A799" s="40"/>
      <c r="B799" s="184"/>
      <c r="O799" s="184"/>
    </row>
    <row r="800" spans="1:15">
      <c r="A800" s="40" t="str">
        <f ca="1">IFERROR(__xludf.DUMMYFUNCTION("""COMPUTED_VALUE"""),"S16")</f>
        <v>S16</v>
      </c>
      <c r="B800" s="184"/>
      <c r="O800" s="184"/>
    </row>
    <row r="801" spans="1:15">
      <c r="A801" s="46">
        <f ca="1">IFERROR(__xludf.DUMMYFUNCTION("""COMPUTED_VALUE"""),5801.48592756725)</f>
        <v>5801.4859275672497</v>
      </c>
      <c r="B801" s="184"/>
      <c r="O801" s="184"/>
    </row>
    <row r="802" spans="1:15">
      <c r="A802" s="46">
        <f ca="1">IFERROR(__xludf.DUMMYFUNCTION("""COMPUTED_VALUE"""),4388.42708217358)</f>
        <v>4388.4270821735799</v>
      </c>
      <c r="B802" s="184"/>
      <c r="O802" s="184"/>
    </row>
    <row r="803" spans="1:15">
      <c r="A803" s="46">
        <f ca="1">IFERROR(__xludf.DUMMYFUNCTION("""COMPUTED_VALUE"""),4590.36377915261)</f>
        <v>4590.3637791526098</v>
      </c>
      <c r="B803" s="184"/>
      <c r="O803" s="184"/>
    </row>
    <row r="804" spans="1:15">
      <c r="A804" s="46">
        <f ca="1">IFERROR(__xludf.DUMMYFUNCTION("""COMPUTED_VALUE"""),5525.93235206046)</f>
        <v>5525.9323520604603</v>
      </c>
      <c r="B804" s="184"/>
      <c r="O804" s="184"/>
    </row>
    <row r="805" spans="1:15">
      <c r="A805" s="46">
        <f ca="1">IFERROR(__xludf.DUMMYFUNCTION("""COMPUTED_VALUE"""),5931.59244083711)</f>
        <v>5931.5924408371102</v>
      </c>
      <c r="B805" s="184"/>
      <c r="O805" s="184"/>
    </row>
    <row r="806" spans="1:15">
      <c r="A806" s="46">
        <f ca="1">IFERROR(__xludf.DUMMYFUNCTION("""COMPUTED_VALUE"""),5083.94545542419)</f>
        <v>5083.9454554241902</v>
      </c>
      <c r="B806" s="184"/>
      <c r="O806" s="184"/>
    </row>
    <row r="807" spans="1:15">
      <c r="A807" s="46">
        <f ca="1">IFERROR(__xludf.DUMMYFUNCTION("""COMPUTED_VALUE"""),6532.61103107445)</f>
        <v>6532.6110310744498</v>
      </c>
      <c r="B807" s="184"/>
      <c r="O807" s="184"/>
    </row>
    <row r="808" spans="1:15">
      <c r="A808" s="46">
        <f ca="1">IFERROR(__xludf.DUMMYFUNCTION("""COMPUTED_VALUE"""),6944.8478086199)</f>
        <v>6944.8478086199002</v>
      </c>
      <c r="B808" s="184"/>
      <c r="O808" s="184"/>
    </row>
    <row r="809" spans="1:15">
      <c r="A809" s="46">
        <f ca="1">IFERROR(__xludf.DUMMYFUNCTION("""COMPUTED_VALUE"""),5376.8130182774)</f>
        <v>5376.8130182774003</v>
      </c>
      <c r="B809" s="184"/>
      <c r="O809" s="184"/>
    </row>
    <row r="810" spans="1:15">
      <c r="A810" s="46">
        <f ca="1">IFERROR(__xludf.DUMMYFUNCTION("""COMPUTED_VALUE"""),5083.36000699874)</f>
        <v>5083.3600069987397</v>
      </c>
      <c r="B810" s="184"/>
      <c r="O810" s="184"/>
    </row>
    <row r="811" spans="1:15">
      <c r="A811" s="46">
        <f ca="1">IFERROR(__xludf.DUMMYFUNCTION("""COMPUTED_VALUE"""),4792.4669697918)</f>
        <v>4792.4669697917998</v>
      </c>
      <c r="B811" s="184"/>
      <c r="O811" s="184"/>
    </row>
    <row r="812" spans="1:15">
      <c r="A812" s="46">
        <f ca="1">IFERROR(__xludf.DUMMYFUNCTION("""COMPUTED_VALUE"""),4839.37345653732)</f>
        <v>4839.3734565373197</v>
      </c>
      <c r="B812" s="184"/>
      <c r="O812" s="184"/>
    </row>
    <row r="813" spans="1:15">
      <c r="A813" s="46">
        <f ca="1">IFERROR(__xludf.DUMMYFUNCTION("""COMPUTED_VALUE"""),64891.2193285148)</f>
        <v>64891.219328514802</v>
      </c>
      <c r="B813" s="184"/>
      <c r="O813" s="184"/>
    </row>
    <row r="814" spans="1:15">
      <c r="A814" s="40"/>
      <c r="B814" s="184"/>
      <c r="O814" s="184"/>
    </row>
    <row r="815" spans="1:15">
      <c r="A815" s="40"/>
      <c r="B815" s="184"/>
      <c r="O815" s="184"/>
    </row>
    <row r="816" spans="1:15">
      <c r="A816" s="40"/>
      <c r="B816" s="184"/>
      <c r="O816" s="184"/>
    </row>
    <row r="817" spans="1:15">
      <c r="A817" s="40" t="str">
        <f ca="1">IFERROR(__xludf.DUMMYFUNCTION("""COMPUTED_VALUE"""),"T1")</f>
        <v>T1</v>
      </c>
      <c r="B817" s="184"/>
      <c r="O817" s="184"/>
    </row>
    <row r="818" spans="1:15">
      <c r="A818" s="46">
        <f ca="1">IFERROR(__xludf.DUMMYFUNCTION("""COMPUTED_VALUE"""),6826.47665417471)</f>
        <v>6826.4766541747103</v>
      </c>
      <c r="B818" s="184"/>
      <c r="O818" s="184"/>
    </row>
    <row r="819" spans="1:15">
      <c r="A819" s="46">
        <f ca="1">IFERROR(__xludf.DUMMYFUNCTION("""COMPUTED_VALUE"""),5607.58163581189)</f>
        <v>5607.58163581189</v>
      </c>
      <c r="B819" s="184"/>
      <c r="O819" s="184"/>
    </row>
    <row r="820" spans="1:15">
      <c r="A820" s="46">
        <f ca="1">IFERROR(__xludf.DUMMYFUNCTION("""COMPUTED_VALUE"""),5410.88946238404)</f>
        <v>5410.8894623840397</v>
      </c>
      <c r="B820" s="184"/>
      <c r="O820" s="184"/>
    </row>
    <row r="821" spans="1:15">
      <c r="A821" s="46">
        <f ca="1">IFERROR(__xludf.DUMMYFUNCTION("""COMPUTED_VALUE"""),6417.83044723598)</f>
        <v>6417.8304472359796</v>
      </c>
      <c r="B821" s="184"/>
      <c r="O821" s="184"/>
    </row>
    <row r="822" spans="1:15">
      <c r="A822" s="46">
        <f ca="1">IFERROR(__xludf.DUMMYFUNCTION("""COMPUTED_VALUE"""),6872.57167123331)</f>
        <v>6872.5716712333096</v>
      </c>
      <c r="B822" s="184"/>
      <c r="O822" s="184"/>
    </row>
    <row r="823" spans="1:15">
      <c r="A823" s="46">
        <f ca="1">IFERROR(__xludf.DUMMYFUNCTION("""COMPUTED_VALUE"""),6025.9606231287)</f>
        <v>6025.9606231286998</v>
      </c>
      <c r="B823" s="184"/>
      <c r="O823" s="184"/>
    </row>
    <row r="824" spans="1:15">
      <c r="A824" s="46">
        <f ca="1">IFERROR(__xludf.DUMMYFUNCTION("""COMPUTED_VALUE"""),7597.06335557207)</f>
        <v>7597.0633555720697</v>
      </c>
      <c r="B824" s="184"/>
      <c r="O824" s="184"/>
    </row>
    <row r="825" spans="1:15">
      <c r="A825" s="46">
        <f ca="1">IFERROR(__xludf.DUMMYFUNCTION("""COMPUTED_VALUE"""),7704.06545667345)</f>
        <v>7704.0654566734502</v>
      </c>
      <c r="B825" s="184"/>
      <c r="O825" s="184"/>
    </row>
    <row r="826" spans="1:15">
      <c r="A826" s="46">
        <f ca="1">IFERROR(__xludf.DUMMYFUNCTION("""COMPUTED_VALUE"""),6297.82088990458)</f>
        <v>6297.8208899045803</v>
      </c>
      <c r="B826" s="184"/>
      <c r="O826" s="184"/>
    </row>
    <row r="827" spans="1:15">
      <c r="A827" s="46">
        <f ca="1">IFERROR(__xludf.DUMMYFUNCTION("""COMPUTED_VALUE"""),6032.39885588052)</f>
        <v>6032.3988558805204</v>
      </c>
      <c r="B827" s="184"/>
      <c r="O827" s="184"/>
    </row>
    <row r="828" spans="1:15">
      <c r="A828" s="46">
        <f ca="1">IFERROR(__xludf.DUMMYFUNCTION("""COMPUTED_VALUE"""),5932.89281710323)</f>
        <v>5932.8928171032303</v>
      </c>
      <c r="B828" s="184"/>
      <c r="O828" s="184"/>
    </row>
    <row r="829" spans="1:15">
      <c r="A829" s="46">
        <f ca="1">IFERROR(__xludf.DUMMYFUNCTION("""COMPUTED_VALUE"""),5878.72586083312)</f>
        <v>5878.7258608331204</v>
      </c>
      <c r="B829" s="184"/>
      <c r="O829" s="184"/>
    </row>
    <row r="830" spans="1:15">
      <c r="A830" s="46">
        <f ca="1">IFERROR(__xludf.DUMMYFUNCTION("""COMPUTED_VALUE"""),76604.2777299356)</f>
        <v>76604.277729935595</v>
      </c>
      <c r="B830" s="184"/>
      <c r="O830" s="184"/>
    </row>
    <row r="831" spans="1:15">
      <c r="A831" s="40"/>
      <c r="B831" s="184"/>
      <c r="O831" s="184"/>
    </row>
    <row r="832" spans="1:15">
      <c r="A832" s="40"/>
      <c r="B832" s="184"/>
      <c r="O832" s="184"/>
    </row>
    <row r="833" spans="1:15">
      <c r="A833" s="40"/>
      <c r="B833" s="184"/>
      <c r="O833" s="184"/>
    </row>
    <row r="834" spans="1:15">
      <c r="A834" s="40" t="str">
        <f ca="1">IFERROR(__xludf.DUMMYFUNCTION("""COMPUTED_VALUE"""),"T2")</f>
        <v>T2</v>
      </c>
      <c r="B834" s="184"/>
      <c r="O834" s="184"/>
    </row>
    <row r="835" spans="1:15">
      <c r="A835" s="46">
        <f ca="1">IFERROR(__xludf.DUMMYFUNCTION("""COMPUTED_VALUE"""),6778.76011753802)</f>
        <v>6778.7601175380196</v>
      </c>
      <c r="B835" s="184"/>
      <c r="O835" s="184"/>
    </row>
    <row r="836" spans="1:15">
      <c r="A836" s="46">
        <f ca="1">IFERROR(__xludf.DUMMYFUNCTION("""COMPUTED_VALUE"""),5525.11680930031)</f>
        <v>5525.1168093003098</v>
      </c>
      <c r="B836" s="184"/>
      <c r="O836" s="184"/>
    </row>
    <row r="837" spans="1:15">
      <c r="A837" s="46">
        <f ca="1">IFERROR(__xludf.DUMMYFUNCTION("""COMPUTED_VALUE"""),5694.2443099716)</f>
        <v>5694.2443099716002</v>
      </c>
      <c r="B837" s="184"/>
      <c r="O837" s="184"/>
    </row>
    <row r="838" spans="1:15">
      <c r="A838" s="46">
        <f ca="1">IFERROR(__xludf.DUMMYFUNCTION("""COMPUTED_VALUE"""),6598.90144739827)</f>
        <v>6598.9014473982697</v>
      </c>
      <c r="B838" s="184"/>
      <c r="O838" s="184"/>
    </row>
    <row r="839" spans="1:15">
      <c r="A839" s="46">
        <f ca="1">IFERROR(__xludf.DUMMYFUNCTION("""COMPUTED_VALUE"""),6902.24018383484)</f>
        <v>6902.2401838348396</v>
      </c>
      <c r="B839" s="184"/>
      <c r="O839" s="184"/>
    </row>
    <row r="840" spans="1:15">
      <c r="A840" s="46">
        <f ca="1">IFERROR(__xludf.DUMMYFUNCTION("""COMPUTED_VALUE"""),5775.3820601187)</f>
        <v>5775.3820601186999</v>
      </c>
      <c r="B840" s="184"/>
      <c r="O840" s="184"/>
    </row>
    <row r="841" spans="1:15">
      <c r="A841" s="46">
        <f ca="1">IFERROR(__xludf.DUMMYFUNCTION("""COMPUTED_VALUE"""),7544.32887223929)</f>
        <v>7544.3288722392899</v>
      </c>
      <c r="B841" s="184"/>
      <c r="O841" s="184"/>
    </row>
    <row r="842" spans="1:15">
      <c r="A842" s="46">
        <f ca="1">IFERROR(__xludf.DUMMYFUNCTION("""COMPUTED_VALUE"""),7835.53141266013)</f>
        <v>7835.5314126601297</v>
      </c>
      <c r="B842" s="184"/>
      <c r="O842" s="184"/>
    </row>
    <row r="843" spans="1:15">
      <c r="A843" s="46">
        <f ca="1">IFERROR(__xludf.DUMMYFUNCTION("""COMPUTED_VALUE"""),5933.41095602282)</f>
        <v>5933.4109560228198</v>
      </c>
      <c r="B843" s="184"/>
      <c r="O843" s="184"/>
    </row>
    <row r="844" spans="1:15">
      <c r="A844" s="46">
        <f ca="1">IFERROR(__xludf.DUMMYFUNCTION("""COMPUTED_VALUE"""),5895.89631102687)</f>
        <v>5895.8963110268696</v>
      </c>
      <c r="B844" s="184"/>
      <c r="O844" s="184"/>
    </row>
    <row r="845" spans="1:15">
      <c r="A845" s="46">
        <f ca="1">IFERROR(__xludf.DUMMYFUNCTION("""COMPUTED_VALUE"""),5861.93415018269)</f>
        <v>5861.9341501826902</v>
      </c>
      <c r="B845" s="184"/>
      <c r="O845" s="184"/>
    </row>
    <row r="846" spans="1:15">
      <c r="A846" s="46">
        <f ca="1">IFERROR(__xludf.DUMMYFUNCTION("""COMPUTED_VALUE"""),6105.03117755884)</f>
        <v>6105.0311775588398</v>
      </c>
      <c r="B846" s="184"/>
      <c r="O846" s="184"/>
    </row>
    <row r="847" spans="1:15">
      <c r="A847" s="46">
        <f ca="1">IFERROR(__xludf.DUMMYFUNCTION("""COMPUTED_VALUE"""),76450.7778078524)</f>
        <v>76450.777807852399</v>
      </c>
      <c r="B847" s="184"/>
      <c r="O847" s="184"/>
    </row>
    <row r="848" spans="1:15">
      <c r="A848" s="40"/>
      <c r="B848" s="184"/>
      <c r="O848" s="184"/>
    </row>
    <row r="849" spans="1:15">
      <c r="A849" s="40"/>
      <c r="B849" s="184"/>
      <c r="O849" s="184"/>
    </row>
    <row r="850" spans="1:15">
      <c r="A850" s="40"/>
      <c r="B850" s="184"/>
      <c r="O850" s="184"/>
    </row>
    <row r="851" spans="1:15">
      <c r="A851" s="40" t="str">
        <f ca="1">IFERROR(__xludf.DUMMYFUNCTION("""COMPUTED_VALUE"""),"T3")</f>
        <v>T3</v>
      </c>
      <c r="B851" s="184"/>
      <c r="O851" s="184"/>
    </row>
    <row r="852" spans="1:15">
      <c r="A852" s="46">
        <f ca="1">IFERROR(__xludf.DUMMYFUNCTION("""COMPUTED_VALUE"""),6552.0646376545)</f>
        <v>6552.0646376545001</v>
      </c>
      <c r="B852" s="184"/>
      <c r="O852" s="184"/>
    </row>
    <row r="853" spans="1:15">
      <c r="A853" s="46">
        <f ca="1">IFERROR(__xludf.DUMMYFUNCTION("""COMPUTED_VALUE"""),4927.49488686986)</f>
        <v>4927.4948868698602</v>
      </c>
      <c r="B853" s="184"/>
      <c r="O853" s="184"/>
    </row>
    <row r="854" spans="1:15">
      <c r="A854" s="46">
        <f ca="1">IFERROR(__xludf.DUMMYFUNCTION("""COMPUTED_VALUE"""),4859.04548047899)</f>
        <v>4859.0454804789897</v>
      </c>
      <c r="B854" s="184"/>
      <c r="O854" s="184"/>
    </row>
    <row r="855" spans="1:15">
      <c r="A855" s="46">
        <f ca="1">IFERROR(__xludf.DUMMYFUNCTION("""COMPUTED_VALUE"""),6114.87505582508)</f>
        <v>6114.8750558250804</v>
      </c>
      <c r="B855" s="184"/>
      <c r="O855" s="184"/>
    </row>
    <row r="856" spans="1:15">
      <c r="A856" s="46">
        <f ca="1">IFERROR(__xludf.DUMMYFUNCTION("""COMPUTED_VALUE"""),6343.007052674)</f>
        <v>6343.0070526740001</v>
      </c>
      <c r="B856" s="184"/>
      <c r="O856" s="184"/>
    </row>
    <row r="857" spans="1:15">
      <c r="A857" s="46">
        <f ca="1">IFERROR(__xludf.DUMMYFUNCTION("""COMPUTED_VALUE"""),5604.74055728176)</f>
        <v>5604.7405572817597</v>
      </c>
      <c r="B857" s="184"/>
      <c r="O857" s="184"/>
    </row>
    <row r="858" spans="1:15">
      <c r="A858" s="46">
        <f ca="1">IFERROR(__xludf.DUMMYFUNCTION("""COMPUTED_VALUE"""),6652.49474600933)</f>
        <v>6652.4947460093299</v>
      </c>
      <c r="B858" s="184"/>
      <c r="O858" s="184"/>
    </row>
    <row r="859" spans="1:15">
      <c r="A859" s="46">
        <f ca="1">IFERROR(__xludf.DUMMYFUNCTION("""COMPUTED_VALUE"""),6769.47943834923)</f>
        <v>6769.4794383492299</v>
      </c>
      <c r="B859" s="184"/>
      <c r="O859" s="184"/>
    </row>
    <row r="860" spans="1:15">
      <c r="A860" s="46">
        <f ca="1">IFERROR(__xludf.DUMMYFUNCTION("""COMPUTED_VALUE"""),5340.36092859121)</f>
        <v>5340.3609285912098</v>
      </c>
      <c r="B860" s="184"/>
      <c r="O860" s="184"/>
    </row>
    <row r="861" spans="1:15">
      <c r="A861" s="46">
        <f ca="1">IFERROR(__xludf.DUMMYFUNCTION("""COMPUTED_VALUE"""),5404.52652923782)</f>
        <v>5404.5265292378199</v>
      </c>
      <c r="B861" s="184"/>
      <c r="O861" s="184"/>
    </row>
    <row r="862" spans="1:15">
      <c r="A862" s="46">
        <f ca="1">IFERROR(__xludf.DUMMYFUNCTION("""COMPUTED_VALUE"""),5275.84626134974)</f>
        <v>5275.8462613497404</v>
      </c>
      <c r="B862" s="184"/>
      <c r="O862" s="184"/>
    </row>
    <row r="863" spans="1:15">
      <c r="A863" s="46">
        <f ca="1">IFERROR(__xludf.DUMMYFUNCTION("""COMPUTED_VALUE"""),5430.75025481789)</f>
        <v>5430.75025481789</v>
      </c>
      <c r="B863" s="184"/>
      <c r="O863" s="184"/>
    </row>
    <row r="864" spans="1:15">
      <c r="A864" s="46">
        <f ca="1">IFERROR(__xludf.DUMMYFUNCTION("""COMPUTED_VALUE"""),69274.6858291394)</f>
        <v>69274.685829139402</v>
      </c>
      <c r="B864" s="184"/>
      <c r="O864" s="184"/>
    </row>
    <row r="865" spans="1:15">
      <c r="A865" s="40"/>
      <c r="B865" s="184"/>
      <c r="O865" s="184"/>
    </row>
    <row r="866" spans="1:15">
      <c r="A866" s="40"/>
      <c r="B866" s="184"/>
      <c r="O866" s="184"/>
    </row>
    <row r="867" spans="1:15">
      <c r="A867" s="40"/>
      <c r="B867" s="184"/>
      <c r="O867" s="184"/>
    </row>
    <row r="868" spans="1:15">
      <c r="A868" s="40" t="str">
        <f ca="1">IFERROR(__xludf.DUMMYFUNCTION("""COMPUTED_VALUE"""),"T4")</f>
        <v>T4</v>
      </c>
      <c r="B868" s="184"/>
      <c r="O868" s="184"/>
    </row>
    <row r="869" spans="1:15">
      <c r="A869" s="46">
        <f ca="1">IFERROR(__xludf.DUMMYFUNCTION("""COMPUTED_VALUE"""),5573.98706685683)</f>
        <v>5573.9870668568301</v>
      </c>
      <c r="B869" s="184"/>
      <c r="O869" s="184"/>
    </row>
    <row r="870" spans="1:15">
      <c r="A870" s="46">
        <f ca="1">IFERROR(__xludf.DUMMYFUNCTION("""COMPUTED_VALUE"""),4216.05410273882)</f>
        <v>4216.0541027388199</v>
      </c>
      <c r="B870" s="184"/>
      <c r="O870" s="184"/>
    </row>
    <row r="871" spans="1:15">
      <c r="A871" s="46">
        <f ca="1">IFERROR(__xludf.DUMMYFUNCTION("""COMPUTED_VALUE"""),4925.97342111754)</f>
        <v>4925.9734211175401</v>
      </c>
      <c r="B871" s="184"/>
      <c r="O871" s="184"/>
    </row>
    <row r="872" spans="1:15">
      <c r="A872" s="46">
        <f ca="1">IFERROR(__xludf.DUMMYFUNCTION("""COMPUTED_VALUE"""),6261.41308774058)</f>
        <v>6261.4130877405796</v>
      </c>
      <c r="B872" s="184"/>
      <c r="O872" s="184"/>
    </row>
    <row r="873" spans="1:15">
      <c r="A873" s="46">
        <f ca="1">IFERROR(__xludf.DUMMYFUNCTION("""COMPUTED_VALUE"""),6562.20865136121)</f>
        <v>6562.2086513612103</v>
      </c>
      <c r="B873" s="184"/>
      <c r="O873" s="184"/>
    </row>
    <row r="874" spans="1:15">
      <c r="A874" s="46">
        <f ca="1">IFERROR(__xludf.DUMMYFUNCTION("""COMPUTED_VALUE"""),5493.6324903226)</f>
        <v>5493.6324903225996</v>
      </c>
      <c r="B874" s="184"/>
      <c r="O874" s="184"/>
    </row>
    <row r="875" spans="1:15">
      <c r="A875" s="46">
        <f ca="1">IFERROR(__xludf.DUMMYFUNCTION("""COMPUTED_VALUE"""),6984.50186234503)</f>
        <v>6984.5018623450296</v>
      </c>
      <c r="B875" s="184"/>
      <c r="O875" s="184"/>
    </row>
    <row r="876" spans="1:15">
      <c r="A876" s="46">
        <f ca="1">IFERROR(__xludf.DUMMYFUNCTION("""COMPUTED_VALUE"""),7106.91488409446)</f>
        <v>7106.9148840944599</v>
      </c>
      <c r="B876" s="184"/>
      <c r="O876" s="184"/>
    </row>
    <row r="877" spans="1:15">
      <c r="A877" s="46">
        <f ca="1">IFERROR(__xludf.DUMMYFUNCTION("""COMPUTED_VALUE"""),5468.92191266903)</f>
        <v>5468.9219126690296</v>
      </c>
      <c r="B877" s="184"/>
      <c r="O877" s="184"/>
    </row>
    <row r="878" spans="1:15">
      <c r="A878" s="46">
        <f ca="1">IFERROR(__xludf.DUMMYFUNCTION("""COMPUTED_VALUE"""),5364.44197871798)</f>
        <v>5364.4419787179804</v>
      </c>
      <c r="B878" s="184"/>
      <c r="O878" s="184"/>
    </row>
    <row r="879" spans="1:15">
      <c r="A879" s="46">
        <f ca="1">IFERROR(__xludf.DUMMYFUNCTION("""COMPUTED_VALUE"""),5572.92076546075)</f>
        <v>5572.9207654607499</v>
      </c>
      <c r="B879" s="184"/>
      <c r="O879" s="184"/>
    </row>
    <row r="880" spans="1:15">
      <c r="A880" s="46">
        <f ca="1">IFERROR(__xludf.DUMMYFUNCTION("""COMPUTED_VALUE"""),5566.22565438204)</f>
        <v>5566.2256543820404</v>
      </c>
      <c r="B880" s="184"/>
      <c r="O880" s="184"/>
    </row>
    <row r="881" spans="1:15">
      <c r="A881" s="46">
        <f ca="1">IFERROR(__xludf.DUMMYFUNCTION("""COMPUTED_VALUE"""),69097.1958778069)</f>
        <v>69097.195877806895</v>
      </c>
      <c r="B881" s="184"/>
      <c r="O881" s="184"/>
    </row>
    <row r="882" spans="1:15">
      <c r="A882" s="40"/>
      <c r="B882" s="184"/>
      <c r="O882" s="184"/>
    </row>
    <row r="883" spans="1:15">
      <c r="A883" s="40"/>
      <c r="B883" s="184"/>
      <c r="O883" s="184"/>
    </row>
    <row r="884" spans="1:15">
      <c r="A884" s="40"/>
      <c r="B884" s="184"/>
      <c r="O884" s="184"/>
    </row>
    <row r="885" spans="1:15">
      <c r="A885" s="40" t="str">
        <f ca="1">IFERROR(__xludf.DUMMYFUNCTION("""COMPUTED_VALUE"""),"T5")</f>
        <v>T5</v>
      </c>
      <c r="B885" s="184"/>
      <c r="O885" s="184"/>
    </row>
    <row r="886" spans="1:15">
      <c r="A886" s="46">
        <f ca="1">IFERROR(__xludf.DUMMYFUNCTION("""COMPUTED_VALUE"""),5971.08315860332)</f>
        <v>5971.08315860332</v>
      </c>
      <c r="B886" s="184"/>
      <c r="O886" s="184"/>
    </row>
    <row r="887" spans="1:15">
      <c r="A887" s="46">
        <f ca="1">IFERROR(__xludf.DUMMYFUNCTION("""COMPUTED_VALUE"""),4449.56462616134)</f>
        <v>4449.5646261613401</v>
      </c>
      <c r="B887" s="184"/>
      <c r="O887" s="184"/>
    </row>
    <row r="888" spans="1:15">
      <c r="A888" s="46">
        <f ca="1">IFERROR(__xludf.DUMMYFUNCTION("""COMPUTED_VALUE"""),4459.72679320915)</f>
        <v>4459.7267932091499</v>
      </c>
      <c r="B888" s="184"/>
      <c r="O888" s="184"/>
    </row>
    <row r="889" spans="1:15">
      <c r="A889" s="46">
        <f ca="1">IFERROR(__xludf.DUMMYFUNCTION("""COMPUTED_VALUE"""),5301.48117579112)</f>
        <v>5301.4811757911202</v>
      </c>
      <c r="B889" s="184"/>
      <c r="O889" s="184"/>
    </row>
    <row r="890" spans="1:15">
      <c r="A890" s="46">
        <f ca="1">IFERROR(__xludf.DUMMYFUNCTION("""COMPUTED_VALUE"""),5701.71760545179)</f>
        <v>5701.7176054517904</v>
      </c>
      <c r="B890" s="184"/>
      <c r="O890" s="184"/>
    </row>
    <row r="891" spans="1:15">
      <c r="A891" s="46">
        <f ca="1">IFERROR(__xludf.DUMMYFUNCTION("""COMPUTED_VALUE"""),4776.5464701705)</f>
        <v>4776.5464701704996</v>
      </c>
      <c r="B891" s="184"/>
      <c r="O891" s="184"/>
    </row>
    <row r="892" spans="1:15">
      <c r="A892" s="46">
        <f ca="1">IFERROR(__xludf.DUMMYFUNCTION("""COMPUTED_VALUE"""),6189.97798686755)</f>
        <v>6189.9779868675496</v>
      </c>
      <c r="B892" s="184"/>
      <c r="O892" s="184"/>
    </row>
    <row r="893" spans="1:15">
      <c r="A893" s="46">
        <f ca="1">IFERROR(__xludf.DUMMYFUNCTION("""COMPUTED_VALUE"""),6846.60465760583)</f>
        <v>6846.6046576058297</v>
      </c>
      <c r="B893" s="184"/>
      <c r="O893" s="184"/>
    </row>
    <row r="894" spans="1:15">
      <c r="A894" s="46">
        <f ca="1">IFERROR(__xludf.DUMMYFUNCTION("""COMPUTED_VALUE"""),4937.36648502827)</f>
        <v>4937.3664850282703</v>
      </c>
      <c r="B894" s="184"/>
      <c r="O894" s="184"/>
    </row>
    <row r="895" spans="1:15">
      <c r="A895" s="46">
        <f ca="1">IFERROR(__xludf.DUMMYFUNCTION("""COMPUTED_VALUE"""),4864.63939939371)</f>
        <v>4864.6393993937099</v>
      </c>
      <c r="B895" s="184"/>
      <c r="O895" s="184"/>
    </row>
    <row r="896" spans="1:15">
      <c r="A896" s="46">
        <f ca="1">IFERROR(__xludf.DUMMYFUNCTION("""COMPUTED_VALUE"""),4511.31688557821)</f>
        <v>4511.3168855782096</v>
      </c>
      <c r="B896" s="184"/>
      <c r="O896" s="184"/>
    </row>
    <row r="897" spans="1:15">
      <c r="A897" s="46">
        <f ca="1">IFERROR(__xludf.DUMMYFUNCTION("""COMPUTED_VALUE"""),4846.98095530487)</f>
        <v>4846.9809553048699</v>
      </c>
      <c r="B897" s="184"/>
      <c r="O897" s="184"/>
    </row>
    <row r="898" spans="1:15">
      <c r="A898" s="46">
        <f ca="1">IFERROR(__xludf.DUMMYFUNCTION("""COMPUTED_VALUE"""),62857.0061991657)</f>
        <v>62857.006199165698</v>
      </c>
      <c r="B898" s="184"/>
      <c r="O898" s="184"/>
    </row>
    <row r="899" spans="1:15">
      <c r="A899" s="40"/>
      <c r="B899" s="184"/>
      <c r="O899" s="184"/>
    </row>
    <row r="900" spans="1:15">
      <c r="A900" s="40"/>
      <c r="B900" s="184"/>
      <c r="O900" s="184"/>
    </row>
    <row r="901" spans="1:15">
      <c r="A901" s="40"/>
      <c r="B901" s="184"/>
      <c r="O901" s="184"/>
    </row>
    <row r="902" spans="1:15">
      <c r="A902" s="40" t="str">
        <f ca="1">IFERROR(__xludf.DUMMYFUNCTION("""COMPUTED_VALUE"""),"T6")</f>
        <v>T6</v>
      </c>
      <c r="B902" s="184"/>
      <c r="O902" s="184"/>
    </row>
    <row r="903" spans="1:15">
      <c r="A903" s="46">
        <f ca="1">IFERROR(__xludf.DUMMYFUNCTION("""COMPUTED_VALUE"""),6745.25310919262)</f>
        <v>6745.2531091926203</v>
      </c>
      <c r="B903" s="184"/>
      <c r="O903" s="184"/>
    </row>
    <row r="904" spans="1:15">
      <c r="A904" s="46">
        <f ca="1">IFERROR(__xludf.DUMMYFUNCTION("""COMPUTED_VALUE"""),5170.04482458628)</f>
        <v>5170.0448245862799</v>
      </c>
      <c r="B904" s="184"/>
      <c r="O904" s="184"/>
    </row>
    <row r="905" spans="1:15">
      <c r="A905" s="46">
        <f ca="1">IFERROR(__xludf.DUMMYFUNCTION("""COMPUTED_VALUE"""),5521.6696264641)</f>
        <v>5521.6696264640996</v>
      </c>
      <c r="B905" s="184"/>
      <c r="O905" s="184"/>
    </row>
    <row r="906" spans="1:15">
      <c r="A906" s="46">
        <f ca="1">IFERROR(__xludf.DUMMYFUNCTION("""COMPUTED_VALUE"""),6295.50500705544)</f>
        <v>6295.5050070554398</v>
      </c>
      <c r="B906" s="184"/>
      <c r="O906" s="184"/>
    </row>
    <row r="907" spans="1:15">
      <c r="A907" s="46">
        <f ca="1">IFERROR(__xludf.DUMMYFUNCTION("""COMPUTED_VALUE"""),6709.89375522644)</f>
        <v>6709.8937552264397</v>
      </c>
      <c r="B907" s="184"/>
      <c r="O907" s="184"/>
    </row>
    <row r="908" spans="1:15">
      <c r="A908" s="46">
        <f ca="1">IFERROR(__xludf.DUMMYFUNCTION("""COMPUTED_VALUE"""),5634.403187157)</f>
        <v>5634.4031871569996</v>
      </c>
      <c r="B908" s="184"/>
      <c r="O908" s="184"/>
    </row>
    <row r="909" spans="1:15">
      <c r="A909" s="46">
        <f ca="1">IFERROR(__xludf.DUMMYFUNCTION("""COMPUTED_VALUE"""),7471.83679560996)</f>
        <v>7471.8367956099601</v>
      </c>
      <c r="B909" s="184"/>
      <c r="O909" s="184"/>
    </row>
    <row r="910" spans="1:15">
      <c r="A910" s="46">
        <f ca="1">IFERROR(__xludf.DUMMYFUNCTION("""COMPUTED_VALUE"""),7632.88880216843)</f>
        <v>7632.8888021684297</v>
      </c>
      <c r="B910" s="184"/>
      <c r="O910" s="184"/>
    </row>
    <row r="911" spans="1:15">
      <c r="A911" s="46">
        <f ca="1">IFERROR(__xludf.DUMMYFUNCTION("""COMPUTED_VALUE"""),5838.04795014866)</f>
        <v>5838.0479501486598</v>
      </c>
      <c r="B911" s="184"/>
      <c r="O911" s="184"/>
    </row>
    <row r="912" spans="1:15">
      <c r="A912" s="46">
        <f ca="1">IFERROR(__xludf.DUMMYFUNCTION("""COMPUTED_VALUE"""),5459.74651331513)</f>
        <v>5459.74651331513</v>
      </c>
      <c r="B912" s="184"/>
      <c r="O912" s="184"/>
    </row>
    <row r="913" spans="1:15">
      <c r="A913" s="46">
        <f ca="1">IFERROR(__xludf.DUMMYFUNCTION("""COMPUTED_VALUE"""),5952.7736146149)</f>
        <v>5952.7736146149</v>
      </c>
      <c r="B913" s="184"/>
      <c r="O913" s="184"/>
    </row>
    <row r="914" spans="1:15">
      <c r="A914" s="46">
        <f ca="1">IFERROR(__xludf.DUMMYFUNCTION("""COMPUTED_VALUE"""),6245.92036529985)</f>
        <v>6245.9203652998503</v>
      </c>
      <c r="B914" s="184"/>
      <c r="O914" s="184"/>
    </row>
    <row r="915" spans="1:15">
      <c r="A915" s="46">
        <f ca="1">IFERROR(__xludf.DUMMYFUNCTION("""COMPUTED_VALUE"""),74677.9835508388)</f>
        <v>74677.983550838806</v>
      </c>
      <c r="B915" s="184"/>
      <c r="O915" s="184"/>
    </row>
    <row r="916" spans="1:15">
      <c r="A916" s="40"/>
      <c r="B916" s="184"/>
      <c r="O916" s="184"/>
    </row>
    <row r="917" spans="1:15">
      <c r="A917" s="40"/>
      <c r="B917" s="184"/>
      <c r="O917" s="184"/>
    </row>
    <row r="918" spans="1:15">
      <c r="A918" s="40"/>
      <c r="B918" s="184"/>
      <c r="O918" s="184"/>
    </row>
    <row r="919" spans="1:15">
      <c r="A919" s="40" t="str">
        <f ca="1">IFERROR(__xludf.DUMMYFUNCTION("""COMPUTED_VALUE"""),"T7")</f>
        <v>T7</v>
      </c>
      <c r="B919" s="184"/>
      <c r="O919" s="184"/>
    </row>
    <row r="920" spans="1:15">
      <c r="A920" s="46">
        <f ca="1">IFERROR(__xludf.DUMMYFUNCTION("""COMPUTED_VALUE"""),5378.08440841107)</f>
        <v>5378.0844084110704</v>
      </c>
      <c r="B920" s="184"/>
      <c r="O920" s="184"/>
    </row>
    <row r="921" spans="1:15">
      <c r="A921" s="46">
        <f ca="1">IFERROR(__xludf.DUMMYFUNCTION("""COMPUTED_VALUE"""),4092.60495955553)</f>
        <v>4092.6049595555301</v>
      </c>
      <c r="B921" s="184"/>
      <c r="O921" s="184"/>
    </row>
    <row r="922" spans="1:15">
      <c r="A922" s="46">
        <f ca="1">IFERROR(__xludf.DUMMYFUNCTION("""COMPUTED_VALUE"""),4403.50063445908)</f>
        <v>4403.5006344590802</v>
      </c>
      <c r="B922" s="184"/>
      <c r="O922" s="184"/>
    </row>
    <row r="923" spans="1:15">
      <c r="A923" s="46">
        <f ca="1">IFERROR(__xludf.DUMMYFUNCTION("""COMPUTED_VALUE"""),5248.14133217388)</f>
        <v>5248.1413321738801</v>
      </c>
      <c r="B923" s="184"/>
      <c r="O923" s="184"/>
    </row>
    <row r="924" spans="1:15">
      <c r="A924" s="46">
        <f ca="1">IFERROR(__xludf.DUMMYFUNCTION("""COMPUTED_VALUE"""),5777.98677602362)</f>
        <v>5777.9867760236202</v>
      </c>
      <c r="B924" s="184"/>
      <c r="O924" s="184"/>
    </row>
    <row r="925" spans="1:15">
      <c r="A925" s="46">
        <f ca="1">IFERROR(__xludf.DUMMYFUNCTION("""COMPUTED_VALUE"""),4802.86568603175)</f>
        <v>4802.8656860317496</v>
      </c>
      <c r="B925" s="184"/>
      <c r="O925" s="184"/>
    </row>
    <row r="926" spans="1:15">
      <c r="A926" s="46">
        <f ca="1">IFERROR(__xludf.DUMMYFUNCTION("""COMPUTED_VALUE"""),6308.0320455166)</f>
        <v>6308.0320455166002</v>
      </c>
      <c r="B926" s="184"/>
      <c r="O926" s="184"/>
    </row>
    <row r="927" spans="1:15">
      <c r="A927" s="46">
        <f ca="1">IFERROR(__xludf.DUMMYFUNCTION("""COMPUTED_VALUE"""),6561.89803958575)</f>
        <v>6561.8980395857498</v>
      </c>
      <c r="B927" s="184"/>
      <c r="O927" s="184"/>
    </row>
    <row r="928" spans="1:15">
      <c r="A928" s="46">
        <f ca="1">IFERROR(__xludf.DUMMYFUNCTION("""COMPUTED_VALUE"""),4916.66279023364)</f>
        <v>4916.6627902336404</v>
      </c>
      <c r="B928" s="184"/>
      <c r="O928" s="184"/>
    </row>
    <row r="929" spans="1:15">
      <c r="A929" s="46">
        <f ca="1">IFERROR(__xludf.DUMMYFUNCTION("""COMPUTED_VALUE"""),5295.15951182599)</f>
        <v>5295.1595118259902</v>
      </c>
      <c r="B929" s="184"/>
      <c r="O929" s="184"/>
    </row>
    <row r="930" spans="1:15">
      <c r="A930" s="46">
        <f ca="1">IFERROR(__xludf.DUMMYFUNCTION("""COMPUTED_VALUE"""),4499.00266025382)</f>
        <v>4499.0026602538201</v>
      </c>
      <c r="B930" s="184"/>
      <c r="O930" s="184"/>
    </row>
    <row r="931" spans="1:15">
      <c r="A931" s="46">
        <f ca="1">IFERROR(__xludf.DUMMYFUNCTION("""COMPUTED_VALUE"""),4712.43437826467)</f>
        <v>4712.4343782646702</v>
      </c>
      <c r="B931" s="184"/>
      <c r="O931" s="184"/>
    </row>
    <row r="932" spans="1:15">
      <c r="A932" s="46">
        <f ca="1">IFERROR(__xludf.DUMMYFUNCTION("""COMPUTED_VALUE"""),61996.3732223354)</f>
        <v>61996.373222335402</v>
      </c>
      <c r="B932" s="184"/>
      <c r="O932" s="184"/>
    </row>
    <row r="933" spans="1:15">
      <c r="A933" s="40"/>
      <c r="B933" s="184"/>
      <c r="O933" s="184"/>
    </row>
    <row r="934" spans="1:15">
      <c r="A934" s="40"/>
      <c r="B934" s="184"/>
      <c r="O934" s="184"/>
    </row>
    <row r="935" spans="1:15">
      <c r="A935" s="40"/>
      <c r="B935" s="184"/>
      <c r="O935" s="184"/>
    </row>
    <row r="936" spans="1:15">
      <c r="A936" s="40" t="str">
        <f ca="1">IFERROR(__xludf.DUMMYFUNCTION("""COMPUTED_VALUE"""),"T8")</f>
        <v>T8</v>
      </c>
      <c r="B936" s="184"/>
      <c r="O936" s="184"/>
    </row>
    <row r="937" spans="1:15">
      <c r="A937" s="46">
        <f ca="1">IFERROR(__xludf.DUMMYFUNCTION("""COMPUTED_VALUE"""),6035.07434920353)</f>
        <v>6035.0743492035299</v>
      </c>
      <c r="B937" s="184"/>
      <c r="O937" s="184"/>
    </row>
    <row r="938" spans="1:15">
      <c r="A938" s="46">
        <f ca="1">IFERROR(__xludf.DUMMYFUNCTION("""COMPUTED_VALUE"""),4795.00632939267)</f>
        <v>4795.0063293926696</v>
      </c>
      <c r="B938" s="184"/>
      <c r="O938" s="184"/>
    </row>
    <row r="939" spans="1:15">
      <c r="A939" s="46">
        <f ca="1">IFERROR(__xludf.DUMMYFUNCTION("""COMPUTED_VALUE"""),4529.45559082633)</f>
        <v>4529.4555908263301</v>
      </c>
      <c r="B939" s="184"/>
      <c r="O939" s="184"/>
    </row>
    <row r="940" spans="1:15">
      <c r="A940" s="46">
        <f ca="1">IFERROR(__xludf.DUMMYFUNCTION("""COMPUTED_VALUE"""),5200.48265533244)</f>
        <v>5200.4826553324401</v>
      </c>
      <c r="B940" s="184"/>
      <c r="O940" s="184"/>
    </row>
    <row r="941" spans="1:15">
      <c r="A941" s="46">
        <f ca="1">IFERROR(__xludf.DUMMYFUNCTION("""COMPUTED_VALUE"""),5707.14316743999)</f>
        <v>5707.1431674399901</v>
      </c>
      <c r="B941" s="184"/>
      <c r="O941" s="184"/>
    </row>
    <row r="942" spans="1:15">
      <c r="A942" s="46">
        <f ca="1">IFERROR(__xludf.DUMMYFUNCTION("""COMPUTED_VALUE"""),4881.07473316435)</f>
        <v>4881.0747331643497</v>
      </c>
      <c r="B942" s="184"/>
      <c r="O942" s="184"/>
    </row>
    <row r="943" spans="1:15">
      <c r="A943" s="46">
        <f ca="1">IFERROR(__xludf.DUMMYFUNCTION("""COMPUTED_VALUE"""),6140.19551479097)</f>
        <v>6140.1955147909703</v>
      </c>
      <c r="B943" s="184"/>
      <c r="O943" s="184"/>
    </row>
    <row r="944" spans="1:15">
      <c r="A944" s="46">
        <f ca="1">IFERROR(__xludf.DUMMYFUNCTION("""COMPUTED_VALUE"""),6607.26710439609)</f>
        <v>6607.26710439609</v>
      </c>
      <c r="B944" s="184"/>
      <c r="O944" s="184"/>
    </row>
    <row r="945" spans="1:15">
      <c r="A945" s="46">
        <f ca="1">IFERROR(__xludf.DUMMYFUNCTION("""COMPUTED_VALUE"""),4817.48313157053)</f>
        <v>4817.4831315705296</v>
      </c>
      <c r="B945" s="184"/>
      <c r="O945" s="184"/>
    </row>
    <row r="946" spans="1:15">
      <c r="A946" s="46">
        <f ca="1">IFERROR(__xludf.DUMMYFUNCTION("""COMPUTED_VALUE"""),5288.01390659726)</f>
        <v>5288.0139065972598</v>
      </c>
      <c r="B946" s="184"/>
      <c r="O946" s="184"/>
    </row>
    <row r="947" spans="1:15">
      <c r="A947" s="46">
        <f ca="1">IFERROR(__xludf.DUMMYFUNCTION("""COMPUTED_VALUE"""),4776.2952762935)</f>
        <v>4776.2952762935001</v>
      </c>
      <c r="B947" s="184"/>
      <c r="O947" s="184"/>
    </row>
    <row r="948" spans="1:15">
      <c r="A948" s="46">
        <f ca="1">IFERROR(__xludf.DUMMYFUNCTION("""COMPUTED_VALUE"""),4917.65992641278)</f>
        <v>4917.6599264127799</v>
      </c>
      <c r="B948" s="184"/>
      <c r="O948" s="184"/>
    </row>
    <row r="949" spans="1:15">
      <c r="A949" s="46">
        <f ca="1">IFERROR(__xludf.DUMMYFUNCTION("""COMPUTED_VALUE"""),63695.1516854205)</f>
        <v>63695.151685420497</v>
      </c>
      <c r="B949" s="184"/>
      <c r="O949" s="184"/>
    </row>
    <row r="950" spans="1:15">
      <c r="A950" s="40"/>
      <c r="B950" s="184"/>
      <c r="O950" s="184"/>
    </row>
    <row r="951" spans="1:15">
      <c r="A951" s="40"/>
      <c r="B951" s="184"/>
      <c r="O951" s="184"/>
    </row>
    <row r="952" spans="1:15">
      <c r="A952" s="40"/>
      <c r="B952" s="184"/>
      <c r="O952" s="184"/>
    </row>
    <row r="953" spans="1:15">
      <c r="A953" s="40" t="str">
        <f ca="1">IFERROR(__xludf.DUMMYFUNCTION("""COMPUTED_VALUE"""),"T9")</f>
        <v>T9</v>
      </c>
      <c r="B953" s="184"/>
      <c r="O953" s="184"/>
    </row>
    <row r="954" spans="1:15">
      <c r="A954" s="46">
        <f ca="1">IFERROR(__xludf.DUMMYFUNCTION("""COMPUTED_VALUE"""),6009.16831482929)</f>
        <v>6009.1683148292896</v>
      </c>
      <c r="B954" s="184"/>
      <c r="O954" s="184"/>
    </row>
    <row r="955" spans="1:15">
      <c r="A955" s="46">
        <f ca="1">IFERROR(__xludf.DUMMYFUNCTION("""COMPUTED_VALUE"""),5448.67057981482)</f>
        <v>5448.6705798148196</v>
      </c>
      <c r="B955" s="184"/>
      <c r="O955" s="184"/>
    </row>
    <row r="956" spans="1:15">
      <c r="A956" s="46">
        <f ca="1">IFERROR(__xludf.DUMMYFUNCTION("""COMPUTED_VALUE"""),5328.92059152043)</f>
        <v>5328.9205915204302</v>
      </c>
      <c r="B956" s="184"/>
      <c r="O956" s="184"/>
    </row>
    <row r="957" spans="1:15">
      <c r="A957" s="46">
        <f ca="1">IFERROR(__xludf.DUMMYFUNCTION("""COMPUTED_VALUE"""),5839.69917620038)</f>
        <v>5839.69917620038</v>
      </c>
      <c r="B957" s="184"/>
      <c r="O957" s="184"/>
    </row>
    <row r="958" spans="1:15">
      <c r="A958" s="46">
        <f ca="1">IFERROR(__xludf.DUMMYFUNCTION("""COMPUTED_VALUE"""),6294.26593841934)</f>
        <v>6294.2659384193403</v>
      </c>
      <c r="B958" s="184"/>
      <c r="O958" s="184"/>
    </row>
    <row r="959" spans="1:15">
      <c r="A959" s="46">
        <f ca="1">IFERROR(__xludf.DUMMYFUNCTION("""COMPUTED_VALUE"""),5244.86074040055)</f>
        <v>5244.8607404005497</v>
      </c>
      <c r="B959" s="184"/>
      <c r="O959" s="184"/>
    </row>
    <row r="960" spans="1:15">
      <c r="A960" s="46">
        <f ca="1">IFERROR(__xludf.DUMMYFUNCTION("""COMPUTED_VALUE"""),6555.90506166011)</f>
        <v>6555.9050616601098</v>
      </c>
      <c r="B960" s="184"/>
      <c r="O960" s="184"/>
    </row>
    <row r="961" spans="1:15">
      <c r="A961" s="46">
        <f ca="1">IFERROR(__xludf.DUMMYFUNCTION("""COMPUTED_VALUE"""),7005.57288553731)</f>
        <v>7005.57288553731</v>
      </c>
      <c r="B961" s="184"/>
      <c r="O961" s="184"/>
    </row>
    <row r="962" spans="1:15">
      <c r="A962" s="46">
        <f ca="1">IFERROR(__xludf.DUMMYFUNCTION("""COMPUTED_VALUE"""),5478.07115364889)</f>
        <v>5478.0711536488898</v>
      </c>
      <c r="B962" s="184"/>
      <c r="O962" s="184"/>
    </row>
    <row r="963" spans="1:15">
      <c r="A963" s="46">
        <f ca="1">IFERROR(__xludf.DUMMYFUNCTION("""COMPUTED_VALUE"""),5485.40082144405)</f>
        <v>5485.4008214440501</v>
      </c>
      <c r="B963" s="184"/>
      <c r="O963" s="184"/>
    </row>
    <row r="964" spans="1:15">
      <c r="A964" s="46">
        <f ca="1">IFERROR(__xludf.DUMMYFUNCTION("""COMPUTED_VALUE"""),4658.45353464394)</f>
        <v>4658.4535346439397</v>
      </c>
      <c r="B964" s="184"/>
      <c r="O964" s="184"/>
    </row>
    <row r="965" spans="1:15">
      <c r="A965" s="46">
        <f ca="1">IFERROR(__xludf.DUMMYFUNCTION("""COMPUTED_VALUE"""),4785.08591174328)</f>
        <v>4785.0859117432801</v>
      </c>
      <c r="B965" s="184"/>
      <c r="O965" s="184"/>
    </row>
    <row r="966" spans="1:15">
      <c r="A966" s="46">
        <f ca="1">IFERROR(__xludf.DUMMYFUNCTION("""COMPUTED_VALUE"""),68134.0747098624)</f>
        <v>68134.074709862398</v>
      </c>
      <c r="B966" s="184"/>
      <c r="O966" s="184"/>
    </row>
    <row r="967" spans="1:15">
      <c r="A967" s="40"/>
      <c r="B967" s="184"/>
      <c r="O967" s="184"/>
    </row>
    <row r="968" spans="1:15">
      <c r="A968" s="40"/>
      <c r="B968" s="184"/>
      <c r="O968" s="184"/>
    </row>
    <row r="969" spans="1:15">
      <c r="A969" s="40"/>
      <c r="B969" s="184"/>
      <c r="O969" s="184"/>
    </row>
    <row r="970" spans="1:15">
      <c r="A970" s="40" t="str">
        <f ca="1">IFERROR(__xludf.DUMMYFUNCTION("""COMPUTED_VALUE"""),"T10")</f>
        <v>T10</v>
      </c>
      <c r="B970" s="184"/>
      <c r="O970" s="184"/>
    </row>
    <row r="971" spans="1:15">
      <c r="A971" s="46">
        <f ca="1">IFERROR(__xludf.DUMMYFUNCTION("""COMPUTED_VALUE"""),6609.66441355505)</f>
        <v>6609.6644135550496</v>
      </c>
      <c r="B971" s="184"/>
      <c r="O971" s="184"/>
    </row>
    <row r="972" spans="1:15">
      <c r="A972" s="46">
        <f ca="1">IFERROR(__xludf.DUMMYFUNCTION("""COMPUTED_VALUE"""),4975.91202088973)</f>
        <v>4975.9120208897302</v>
      </c>
      <c r="B972" s="184"/>
      <c r="O972" s="184"/>
    </row>
    <row r="973" spans="1:15">
      <c r="A973" s="46">
        <f ca="1">IFERROR(__xludf.DUMMYFUNCTION("""COMPUTED_VALUE"""),5280.41707904287)</f>
        <v>5280.4170790428698</v>
      </c>
      <c r="B973" s="184"/>
      <c r="O973" s="184"/>
    </row>
    <row r="974" spans="1:15">
      <c r="A974" s="46">
        <f ca="1">IFERROR(__xludf.DUMMYFUNCTION("""COMPUTED_VALUE"""),5885.05906016032)</f>
        <v>5885.0590601603199</v>
      </c>
      <c r="B974" s="184"/>
      <c r="O974" s="184"/>
    </row>
    <row r="975" spans="1:15">
      <c r="A975" s="46">
        <f ca="1">IFERROR(__xludf.DUMMYFUNCTION("""COMPUTED_VALUE"""),6634.31889662844)</f>
        <v>6634.3188966284397</v>
      </c>
      <c r="B975" s="184"/>
      <c r="O975" s="184"/>
    </row>
    <row r="976" spans="1:15">
      <c r="A976" s="46">
        <f ca="1">IFERROR(__xludf.DUMMYFUNCTION("""COMPUTED_VALUE"""),5796.12143262958)</f>
        <v>5796.1214326295803</v>
      </c>
      <c r="B976" s="184"/>
      <c r="O976" s="184"/>
    </row>
    <row r="977" spans="1:15">
      <c r="A977" s="46">
        <f ca="1">IFERROR(__xludf.DUMMYFUNCTION("""COMPUTED_VALUE"""),7141.1268014694)</f>
        <v>7141.1268014693997</v>
      </c>
      <c r="B977" s="184"/>
      <c r="O977" s="184"/>
    </row>
    <row r="978" spans="1:15">
      <c r="A978" s="46">
        <f ca="1">IFERROR(__xludf.DUMMYFUNCTION("""COMPUTED_VALUE"""),7240.38244863071)</f>
        <v>7240.3824486307103</v>
      </c>
      <c r="B978" s="184"/>
      <c r="O978" s="184"/>
    </row>
    <row r="979" spans="1:15">
      <c r="A979" s="46">
        <f ca="1">IFERROR(__xludf.DUMMYFUNCTION("""COMPUTED_VALUE"""),5573.66122728373)</f>
        <v>5573.6612272837301</v>
      </c>
      <c r="B979" s="184"/>
      <c r="O979" s="184"/>
    </row>
    <row r="980" spans="1:15">
      <c r="A980" s="46">
        <f ca="1">IFERROR(__xludf.DUMMYFUNCTION("""COMPUTED_VALUE"""),6779.42962991609)</f>
        <v>6779.4296299160897</v>
      </c>
      <c r="B980" s="184"/>
      <c r="O980" s="184"/>
    </row>
    <row r="981" spans="1:15">
      <c r="A981" s="46">
        <f ca="1">IFERROR(__xludf.DUMMYFUNCTION("""COMPUTED_VALUE"""),5920.2021225136)</f>
        <v>5920.2021225136004</v>
      </c>
      <c r="B981" s="184"/>
      <c r="O981" s="184"/>
    </row>
    <row r="982" spans="1:15">
      <c r="A982" s="46">
        <f ca="1">IFERROR(__xludf.DUMMYFUNCTION("""COMPUTED_VALUE"""),5652.93145496163)</f>
        <v>5652.9314549616302</v>
      </c>
      <c r="B982" s="184"/>
      <c r="O982" s="184"/>
    </row>
    <row r="983" spans="1:15">
      <c r="A983" s="46">
        <f ca="1">IFERROR(__xludf.DUMMYFUNCTION("""COMPUTED_VALUE"""),73489.2265876812)</f>
        <v>73489.226587681202</v>
      </c>
      <c r="B983" s="184"/>
      <c r="O983" s="184"/>
    </row>
    <row r="984" spans="1:15">
      <c r="A984" s="40"/>
      <c r="B984" s="184"/>
      <c r="O984" s="184"/>
    </row>
    <row r="985" spans="1:15">
      <c r="A985" s="40"/>
      <c r="B985" s="184"/>
      <c r="O985" s="184"/>
    </row>
    <row r="986" spans="1:15">
      <c r="A986" s="40"/>
      <c r="B986" s="184"/>
      <c r="O986" s="184"/>
    </row>
    <row r="987" spans="1:15">
      <c r="A987" s="40" t="str">
        <f ca="1">IFERROR(__xludf.DUMMYFUNCTION("""COMPUTED_VALUE"""),"T11")</f>
        <v>T11</v>
      </c>
      <c r="B987" s="184"/>
      <c r="O987" s="184"/>
    </row>
    <row r="988" spans="1:15">
      <c r="A988" s="46">
        <f ca="1">IFERROR(__xludf.DUMMYFUNCTION("""COMPUTED_VALUE"""),5706.63081867112)</f>
        <v>5706.6308186711203</v>
      </c>
      <c r="B988" s="184"/>
      <c r="O988" s="184"/>
    </row>
    <row r="989" spans="1:15">
      <c r="A989" s="46">
        <f ca="1">IFERROR(__xludf.DUMMYFUNCTION("""COMPUTED_VALUE"""),4876.40965703933)</f>
        <v>4876.4096570393303</v>
      </c>
      <c r="B989" s="184"/>
      <c r="O989" s="184"/>
    </row>
    <row r="990" spans="1:15">
      <c r="A990" s="46">
        <f ca="1">IFERROR(__xludf.DUMMYFUNCTION("""COMPUTED_VALUE"""),4585.05469204386)</f>
        <v>4585.0546920438601</v>
      </c>
      <c r="B990" s="184"/>
      <c r="O990" s="184"/>
    </row>
    <row r="991" spans="1:15">
      <c r="A991" s="46">
        <f ca="1">IFERROR(__xludf.DUMMYFUNCTION("""COMPUTED_VALUE"""),5351.25901801719)</f>
        <v>5351.2590180171901</v>
      </c>
      <c r="B991" s="184"/>
      <c r="O991" s="184"/>
    </row>
    <row r="992" spans="1:15">
      <c r="A992" s="46">
        <f ca="1">IFERROR(__xludf.DUMMYFUNCTION("""COMPUTED_VALUE"""),5680.50454751432)</f>
        <v>5680.5045475143197</v>
      </c>
      <c r="B992" s="184"/>
      <c r="O992" s="184"/>
    </row>
    <row r="993" spans="1:15">
      <c r="A993" s="46">
        <f ca="1">IFERROR(__xludf.DUMMYFUNCTION("""COMPUTED_VALUE"""),4833.83410469484)</f>
        <v>4833.8341046948399</v>
      </c>
      <c r="B993" s="184"/>
      <c r="O993" s="184"/>
    </row>
    <row r="994" spans="1:15">
      <c r="A994" s="46">
        <f ca="1">IFERROR(__xludf.DUMMYFUNCTION("""COMPUTED_VALUE"""),6194.01583945861)</f>
        <v>6194.0158394586097</v>
      </c>
      <c r="B994" s="184"/>
      <c r="O994" s="184"/>
    </row>
    <row r="995" spans="1:15">
      <c r="A995" s="46">
        <f ca="1">IFERROR(__xludf.DUMMYFUNCTION("""COMPUTED_VALUE"""),6978.40251717227)</f>
        <v>6978.4025171722697</v>
      </c>
      <c r="B995" s="184"/>
      <c r="O995" s="184"/>
    </row>
    <row r="996" spans="1:15">
      <c r="A996" s="46">
        <f ca="1">IFERROR(__xludf.DUMMYFUNCTION("""COMPUTED_VALUE"""),5229.34045877214)</f>
        <v>5229.3404587721398</v>
      </c>
      <c r="B996" s="184"/>
      <c r="O996" s="184"/>
    </row>
    <row r="997" spans="1:15">
      <c r="A997" s="46">
        <f ca="1">IFERROR(__xludf.DUMMYFUNCTION("""COMPUTED_VALUE"""),5145.78798290093)</f>
        <v>5145.7879829009298</v>
      </c>
      <c r="B997" s="184"/>
      <c r="O997" s="184"/>
    </row>
    <row r="998" spans="1:15">
      <c r="A998" s="46">
        <f ca="1">IFERROR(__xludf.DUMMYFUNCTION("""COMPUTED_VALUE"""),4887.76621557537)</f>
        <v>4887.7662155753696</v>
      </c>
      <c r="B998" s="184"/>
      <c r="O998" s="184"/>
    </row>
    <row r="999" spans="1:15">
      <c r="A999" s="46">
        <f ca="1">IFERROR(__xludf.DUMMYFUNCTION("""COMPUTED_VALUE"""),4938.97861481955)</f>
        <v>4938.9786148195499</v>
      </c>
      <c r="B999" s="184"/>
      <c r="O999" s="184"/>
    </row>
    <row r="1000" spans="1:15">
      <c r="A1000" s="46">
        <f ca="1">IFERROR(__xludf.DUMMYFUNCTION("""COMPUTED_VALUE"""),64407.9844666795)</f>
        <v>64407.984466679503</v>
      </c>
      <c r="B1000" s="184"/>
      <c r="O1000" s="184"/>
    </row>
    <row r="1001" spans="1:15">
      <c r="A1001" s="40"/>
      <c r="B1001" s="184"/>
      <c r="O1001" s="184"/>
    </row>
    <row r="1002" spans="1:15">
      <c r="A1002" s="40"/>
      <c r="B1002" s="184"/>
      <c r="O1002" s="184"/>
    </row>
    <row r="1003" spans="1:15">
      <c r="A1003" s="40"/>
      <c r="B1003" s="184"/>
      <c r="O1003" s="184"/>
    </row>
    <row r="1004" spans="1:15">
      <c r="A1004" s="40" t="str">
        <f ca="1">IFERROR(__xludf.DUMMYFUNCTION("""COMPUTED_VALUE"""),"T12")</f>
        <v>T12</v>
      </c>
      <c r="B1004" s="184"/>
      <c r="O1004" s="184"/>
    </row>
    <row r="1005" spans="1:15">
      <c r="A1005" s="46">
        <f ca="1">IFERROR(__xludf.DUMMYFUNCTION("""COMPUTED_VALUE"""),5470.8304828903)</f>
        <v>5470.8304828903001</v>
      </c>
      <c r="B1005" s="184"/>
      <c r="O1005" s="184"/>
    </row>
    <row r="1006" spans="1:15">
      <c r="A1006" s="46">
        <f ca="1">IFERROR(__xludf.DUMMYFUNCTION("""COMPUTED_VALUE"""),4212.20710244414)</f>
        <v>4212.2071024441402</v>
      </c>
      <c r="B1006" s="184"/>
      <c r="O1006" s="184"/>
    </row>
    <row r="1007" spans="1:15">
      <c r="A1007" s="46">
        <f ca="1">IFERROR(__xludf.DUMMYFUNCTION("""COMPUTED_VALUE"""),4410.3982673169)</f>
        <v>4410.3982673169003</v>
      </c>
      <c r="B1007" s="184"/>
      <c r="O1007" s="184"/>
    </row>
    <row r="1008" spans="1:15">
      <c r="A1008" s="46">
        <f ca="1">IFERROR(__xludf.DUMMYFUNCTION("""COMPUTED_VALUE"""),5218.69845991517)</f>
        <v>5218.6984599151701</v>
      </c>
      <c r="B1008" s="184"/>
      <c r="O1008" s="184"/>
    </row>
    <row r="1009" spans="1:15">
      <c r="A1009" s="46">
        <f ca="1">IFERROR(__xludf.DUMMYFUNCTION("""COMPUTED_VALUE"""),5695.22471979378)</f>
        <v>5695.2247197937804</v>
      </c>
      <c r="B1009" s="184"/>
      <c r="O1009" s="184"/>
    </row>
    <row r="1010" spans="1:15">
      <c r="A1010" s="46">
        <f ca="1">IFERROR(__xludf.DUMMYFUNCTION("""COMPUTED_VALUE"""),4826.82090046833)</f>
        <v>4826.8209004683304</v>
      </c>
      <c r="B1010" s="184"/>
      <c r="O1010" s="184"/>
    </row>
    <row r="1011" spans="1:15">
      <c r="A1011" s="46">
        <f ca="1">IFERROR(__xludf.DUMMYFUNCTION("""COMPUTED_VALUE"""),6263.61566701498)</f>
        <v>6263.6156670149803</v>
      </c>
      <c r="B1011" s="184"/>
      <c r="O1011" s="184"/>
    </row>
    <row r="1012" spans="1:15">
      <c r="A1012" s="46">
        <f ca="1">IFERROR(__xludf.DUMMYFUNCTION("""COMPUTED_VALUE"""),6898.60719293807)</f>
        <v>6898.6071929380696</v>
      </c>
      <c r="B1012" s="184"/>
      <c r="O1012" s="184"/>
    </row>
    <row r="1013" spans="1:15">
      <c r="A1013" s="46">
        <f ca="1">IFERROR(__xludf.DUMMYFUNCTION("""COMPUTED_VALUE"""),4994.47849959843)</f>
        <v>4994.4784995984301</v>
      </c>
      <c r="B1013" s="184"/>
      <c r="O1013" s="184"/>
    </row>
    <row r="1014" spans="1:15">
      <c r="A1014" s="46">
        <f ca="1">IFERROR(__xludf.DUMMYFUNCTION("""COMPUTED_VALUE"""),4964.7023143951)</f>
        <v>4964.7023143951001</v>
      </c>
      <c r="B1014" s="184"/>
      <c r="O1014" s="184"/>
    </row>
    <row r="1015" spans="1:15">
      <c r="A1015" s="46">
        <f ca="1">IFERROR(__xludf.DUMMYFUNCTION("""COMPUTED_VALUE"""),4604.34121423358)</f>
        <v>4604.3412142335801</v>
      </c>
      <c r="B1015" s="184"/>
      <c r="O1015" s="184"/>
    </row>
    <row r="1016" spans="1:15">
      <c r="A1016" s="46">
        <f ca="1">IFERROR(__xludf.DUMMYFUNCTION("""COMPUTED_VALUE"""),4805.62623816727)</f>
        <v>4805.6262381672695</v>
      </c>
      <c r="B1016" s="184"/>
      <c r="O1016" s="184"/>
    </row>
    <row r="1017" spans="1:15">
      <c r="A1017" s="46">
        <f ca="1">IFERROR(__xludf.DUMMYFUNCTION("""COMPUTED_VALUE"""),62365.5510591761)</f>
        <v>62365.551059176098</v>
      </c>
      <c r="B1017" s="184"/>
      <c r="O1017" s="184"/>
    </row>
    <row r="1018" spans="1:15">
      <c r="A1018" s="40"/>
      <c r="B1018" s="184"/>
      <c r="O1018" s="184"/>
    </row>
    <row r="1019" spans="1:15">
      <c r="A1019" s="40"/>
      <c r="B1019" s="184"/>
      <c r="O1019" s="184"/>
    </row>
    <row r="1020" spans="1:15">
      <c r="A1020" s="40"/>
      <c r="B1020" s="184"/>
      <c r="O1020" s="184"/>
    </row>
    <row r="1021" spans="1:15">
      <c r="A1021" s="40" t="str">
        <f ca="1">IFERROR(__xludf.DUMMYFUNCTION("""COMPUTED_VALUE"""),"T13")</f>
        <v>T13</v>
      </c>
      <c r="B1021" s="184"/>
      <c r="O1021" s="184"/>
    </row>
    <row r="1022" spans="1:15">
      <c r="A1022" s="46">
        <f ca="1">IFERROR(__xludf.DUMMYFUNCTION("""COMPUTED_VALUE"""),5694.20202861944)</f>
        <v>5694.2020286194402</v>
      </c>
      <c r="B1022" s="184"/>
      <c r="O1022" s="184"/>
    </row>
    <row r="1023" spans="1:15">
      <c r="A1023" s="46">
        <f ca="1">IFERROR(__xludf.DUMMYFUNCTION("""COMPUTED_VALUE"""),4543.61137338867)</f>
        <v>4543.6113733886696</v>
      </c>
      <c r="B1023" s="184"/>
      <c r="O1023" s="184"/>
    </row>
    <row r="1024" spans="1:15">
      <c r="A1024" s="46">
        <f ca="1">IFERROR(__xludf.DUMMYFUNCTION("""COMPUTED_VALUE"""),4891.40164915747)</f>
        <v>4891.4016491574703</v>
      </c>
      <c r="B1024" s="184"/>
      <c r="O1024" s="184"/>
    </row>
    <row r="1025" spans="1:15">
      <c r="A1025" s="46">
        <f ca="1">IFERROR(__xludf.DUMMYFUNCTION("""COMPUTED_VALUE"""),5534.94515844135)</f>
        <v>5534.94515844135</v>
      </c>
      <c r="B1025" s="184"/>
      <c r="O1025" s="184"/>
    </row>
    <row r="1026" spans="1:15">
      <c r="A1026" s="46">
        <f ca="1">IFERROR(__xludf.DUMMYFUNCTION("""COMPUTED_VALUE"""),6092.14151844908)</f>
        <v>6092.1415184490797</v>
      </c>
      <c r="B1026" s="184"/>
      <c r="O1026" s="184"/>
    </row>
    <row r="1027" spans="1:15">
      <c r="A1027" s="46">
        <f ca="1">IFERROR(__xludf.DUMMYFUNCTION("""COMPUTED_VALUE"""),5042.0688181882)</f>
        <v>5042.0688181881997</v>
      </c>
      <c r="B1027" s="184"/>
      <c r="O1027" s="184"/>
    </row>
    <row r="1028" spans="1:15">
      <c r="A1028" s="46">
        <f ca="1">IFERROR(__xludf.DUMMYFUNCTION("""COMPUTED_VALUE"""),6302.63607085002)</f>
        <v>6302.6360708500197</v>
      </c>
      <c r="B1028" s="184"/>
      <c r="O1028" s="184"/>
    </row>
    <row r="1029" spans="1:15">
      <c r="A1029" s="46">
        <f ca="1">IFERROR(__xludf.DUMMYFUNCTION("""COMPUTED_VALUE"""),7071.90759075627)</f>
        <v>7071.9075907562701</v>
      </c>
      <c r="B1029" s="184"/>
      <c r="O1029" s="184"/>
    </row>
    <row r="1030" spans="1:15">
      <c r="A1030" s="46">
        <f ca="1">IFERROR(__xludf.DUMMYFUNCTION("""COMPUTED_VALUE"""),5485.14530904569)</f>
        <v>5485.1453090456898</v>
      </c>
      <c r="B1030" s="184"/>
      <c r="O1030" s="184"/>
    </row>
    <row r="1031" spans="1:15">
      <c r="A1031" s="46">
        <f ca="1">IFERROR(__xludf.DUMMYFUNCTION("""COMPUTED_VALUE"""),5204.73473715605)</f>
        <v>5204.73473715605</v>
      </c>
      <c r="B1031" s="184"/>
      <c r="O1031" s="184"/>
    </row>
    <row r="1032" spans="1:15">
      <c r="A1032" s="46">
        <f ca="1">IFERROR(__xludf.DUMMYFUNCTION("""COMPUTED_VALUE"""),4990.88816368242)</f>
        <v>4990.8881636824199</v>
      </c>
      <c r="B1032" s="184"/>
      <c r="O1032" s="184"/>
    </row>
    <row r="1033" spans="1:15">
      <c r="A1033" s="46">
        <f ca="1">IFERROR(__xludf.DUMMYFUNCTION("""COMPUTED_VALUE"""),5788.25846724918)</f>
        <v>5788.2584672491803</v>
      </c>
      <c r="B1033" s="184"/>
      <c r="O1033" s="184"/>
    </row>
    <row r="1034" spans="1:15">
      <c r="A1034" s="46">
        <f ca="1">IFERROR(__xludf.DUMMYFUNCTION("""COMPUTED_VALUE"""),66641.9408849839)</f>
        <v>66641.940884983895</v>
      </c>
      <c r="B1034" s="184"/>
      <c r="O1034" s="184"/>
    </row>
    <row r="1035" spans="1:15">
      <c r="A1035" s="40"/>
      <c r="B1035" s="184"/>
      <c r="O1035" s="184"/>
    </row>
    <row r="1036" spans="1:15">
      <c r="A1036" s="40"/>
      <c r="B1036" s="184"/>
      <c r="O1036" s="184"/>
    </row>
    <row r="1037" spans="1:15">
      <c r="A1037" s="40"/>
      <c r="B1037" s="184"/>
      <c r="O1037" s="184"/>
    </row>
    <row r="1038" spans="1:15">
      <c r="A1038" s="40" t="str">
        <f ca="1">IFERROR(__xludf.DUMMYFUNCTION("""COMPUTED_VALUE"""),"T14")</f>
        <v>T14</v>
      </c>
      <c r="B1038" s="184"/>
      <c r="O1038" s="184"/>
    </row>
    <row r="1039" spans="1:15">
      <c r="A1039" s="46">
        <f ca="1">IFERROR(__xludf.DUMMYFUNCTION("""COMPUTED_VALUE"""),6372.3337534446)</f>
        <v>6372.3337534446</v>
      </c>
      <c r="B1039" s="184"/>
      <c r="O1039" s="184"/>
    </row>
    <row r="1040" spans="1:15">
      <c r="A1040" s="46">
        <f ca="1">IFERROR(__xludf.DUMMYFUNCTION("""COMPUTED_VALUE"""),4561.15561295909)</f>
        <v>4561.1556129590899</v>
      </c>
      <c r="B1040" s="184"/>
      <c r="O1040" s="184"/>
    </row>
    <row r="1041" spans="1:15">
      <c r="A1041" s="46">
        <f ca="1">IFERROR(__xludf.DUMMYFUNCTION("""COMPUTED_VALUE"""),4851.77161310166)</f>
        <v>4851.7716131016596</v>
      </c>
      <c r="B1041" s="184"/>
      <c r="O1041" s="184"/>
    </row>
    <row r="1042" spans="1:15">
      <c r="A1042" s="46">
        <f ca="1">IFERROR(__xludf.DUMMYFUNCTION("""COMPUTED_VALUE"""),5513.39279559347)</f>
        <v>5513.3927955934696</v>
      </c>
      <c r="B1042" s="184"/>
      <c r="O1042" s="184"/>
    </row>
    <row r="1043" spans="1:15">
      <c r="A1043" s="46">
        <f ca="1">IFERROR(__xludf.DUMMYFUNCTION("""COMPUTED_VALUE"""),6276.29932331087)</f>
        <v>6276.29932331087</v>
      </c>
      <c r="B1043" s="184"/>
      <c r="O1043" s="184"/>
    </row>
    <row r="1044" spans="1:15">
      <c r="A1044" s="46">
        <f ca="1">IFERROR(__xludf.DUMMYFUNCTION("""COMPUTED_VALUE"""),5236.58673541423)</f>
        <v>5236.5867354142301</v>
      </c>
      <c r="B1044" s="184"/>
      <c r="O1044" s="184"/>
    </row>
    <row r="1045" spans="1:15">
      <c r="A1045" s="46">
        <f ca="1">IFERROR(__xludf.DUMMYFUNCTION("""COMPUTED_VALUE"""),6525.62116722719)</f>
        <v>6525.6211672271902</v>
      </c>
      <c r="B1045" s="184"/>
      <c r="O1045" s="184"/>
    </row>
    <row r="1046" spans="1:15">
      <c r="A1046" s="46">
        <f ca="1">IFERROR(__xludf.DUMMYFUNCTION("""COMPUTED_VALUE"""),6963.3510877629)</f>
        <v>6963.3510877628996</v>
      </c>
      <c r="B1046" s="184"/>
      <c r="O1046" s="184"/>
    </row>
    <row r="1047" spans="1:15">
      <c r="A1047" s="46">
        <f ca="1">IFERROR(__xludf.DUMMYFUNCTION("""COMPUTED_VALUE"""),5511.17820090591)</f>
        <v>5511.1782009059098</v>
      </c>
      <c r="B1047" s="184"/>
      <c r="O1047" s="184"/>
    </row>
    <row r="1048" spans="1:15">
      <c r="A1048" s="46">
        <f ca="1">IFERROR(__xludf.DUMMYFUNCTION("""COMPUTED_VALUE"""),5164.61307131166)</f>
        <v>5164.61307131166</v>
      </c>
      <c r="B1048" s="184"/>
      <c r="O1048" s="184"/>
    </row>
    <row r="1049" spans="1:15">
      <c r="A1049" s="46">
        <f ca="1">IFERROR(__xludf.DUMMYFUNCTION("""COMPUTED_VALUE"""),4936.4879714863)</f>
        <v>4936.4879714863</v>
      </c>
      <c r="B1049" s="184"/>
      <c r="O1049" s="184"/>
    </row>
    <row r="1050" spans="1:15">
      <c r="A1050" s="46">
        <f ca="1">IFERROR(__xludf.DUMMYFUNCTION("""COMPUTED_VALUE"""),5178.11052830452)</f>
        <v>5178.1105283045199</v>
      </c>
      <c r="B1050" s="184"/>
      <c r="O1050" s="184"/>
    </row>
    <row r="1051" spans="1:15">
      <c r="A1051" s="46">
        <f ca="1">IFERROR(__xludf.DUMMYFUNCTION("""COMPUTED_VALUE"""),67090.9018608224)</f>
        <v>67090.9018608224</v>
      </c>
      <c r="B1051" s="184"/>
      <c r="O1051" s="184"/>
    </row>
    <row r="1052" spans="1:15">
      <c r="A1052" s="40"/>
      <c r="B1052" s="184"/>
      <c r="O1052" s="184"/>
    </row>
    <row r="1053" spans="1:15">
      <c r="A1053" s="40"/>
      <c r="B1053" s="184"/>
      <c r="O1053" s="184"/>
    </row>
    <row r="1054" spans="1:15">
      <c r="A1054" s="40"/>
      <c r="B1054" s="184"/>
      <c r="O1054" s="184"/>
    </row>
    <row r="1055" spans="1:15">
      <c r="A1055" s="40" t="str">
        <f ca="1">IFERROR(__xludf.DUMMYFUNCTION("""COMPUTED_VALUE"""),"T15")</f>
        <v>T15</v>
      </c>
      <c r="B1055" s="184"/>
      <c r="O1055" s="184"/>
    </row>
    <row r="1056" spans="1:15">
      <c r="A1056" s="46">
        <f ca="1">IFERROR(__xludf.DUMMYFUNCTION("""COMPUTED_VALUE"""),6270.63714265955)</f>
        <v>6270.6371426595497</v>
      </c>
      <c r="B1056" s="184"/>
      <c r="O1056" s="184"/>
    </row>
    <row r="1057" spans="1:15">
      <c r="A1057" s="46">
        <f ca="1">IFERROR(__xludf.DUMMYFUNCTION("""COMPUTED_VALUE"""),5213.69440717505)</f>
        <v>5213.6944071750504</v>
      </c>
      <c r="B1057" s="184"/>
      <c r="O1057" s="184"/>
    </row>
    <row r="1058" spans="1:15">
      <c r="A1058" s="46">
        <f ca="1">IFERROR(__xludf.DUMMYFUNCTION("""COMPUTED_VALUE"""),5151.58872132134)</f>
        <v>5151.58872132134</v>
      </c>
      <c r="B1058" s="184"/>
      <c r="O1058" s="184"/>
    </row>
    <row r="1059" spans="1:15">
      <c r="A1059" s="46">
        <f ca="1">IFERROR(__xludf.DUMMYFUNCTION("""COMPUTED_VALUE"""),6160.95563078435)</f>
        <v>6160.9556307843504</v>
      </c>
      <c r="B1059" s="184"/>
      <c r="O1059" s="184"/>
    </row>
    <row r="1060" spans="1:15">
      <c r="A1060" s="46">
        <f ca="1">IFERROR(__xludf.DUMMYFUNCTION("""COMPUTED_VALUE"""),7579.28583007817)</f>
        <v>7579.28583007817</v>
      </c>
      <c r="B1060" s="184"/>
      <c r="O1060" s="184"/>
    </row>
    <row r="1061" spans="1:15">
      <c r="A1061" s="46">
        <f ca="1">IFERROR(__xludf.DUMMYFUNCTION("""COMPUTED_VALUE"""),5511.4807010788)</f>
        <v>5511.4807010787999</v>
      </c>
      <c r="B1061" s="184"/>
      <c r="O1061" s="184"/>
    </row>
    <row r="1062" spans="1:15">
      <c r="A1062" s="46">
        <f ca="1">IFERROR(__xludf.DUMMYFUNCTION("""COMPUTED_VALUE"""),7138.04652008389)</f>
        <v>7138.0465200838898</v>
      </c>
      <c r="B1062" s="184"/>
      <c r="O1062" s="184"/>
    </row>
    <row r="1063" spans="1:15">
      <c r="A1063" s="46">
        <f ca="1">IFERROR(__xludf.DUMMYFUNCTION("""COMPUTED_VALUE"""),7376.36936186346)</f>
        <v>7376.3693618634597</v>
      </c>
      <c r="B1063" s="184"/>
      <c r="O1063" s="184"/>
    </row>
    <row r="1064" spans="1:15">
      <c r="A1064" s="46">
        <f ca="1">IFERROR(__xludf.DUMMYFUNCTION("""COMPUTED_VALUE"""),5804.09539536934)</f>
        <v>5804.0953953693397</v>
      </c>
      <c r="B1064" s="184"/>
      <c r="O1064" s="184"/>
    </row>
    <row r="1065" spans="1:15">
      <c r="A1065" s="46">
        <f ca="1">IFERROR(__xludf.DUMMYFUNCTION("""COMPUTED_VALUE"""),11613.9945580067)</f>
        <v>11613.9945580067</v>
      </c>
      <c r="B1065" s="184"/>
      <c r="O1065" s="184"/>
    </row>
    <row r="1066" spans="1:15">
      <c r="A1066" s="46">
        <f ca="1">IFERROR(__xludf.DUMMYFUNCTION("""COMPUTED_VALUE"""),5352.89671538752)</f>
        <v>5352.8967153875201</v>
      </c>
      <c r="B1066" s="184"/>
      <c r="O1066" s="184"/>
    </row>
    <row r="1067" spans="1:15">
      <c r="A1067" s="46">
        <f ca="1">IFERROR(__xludf.DUMMYFUNCTION("""COMPUTED_VALUE"""),5419.78130310652)</f>
        <v>5419.7813031065198</v>
      </c>
      <c r="B1067" s="184"/>
      <c r="O1067" s="184"/>
    </row>
    <row r="1068" spans="1:15">
      <c r="A1068" s="46">
        <f ca="1">IFERROR(__xludf.DUMMYFUNCTION("""COMPUTED_VALUE"""),78592.8262869147)</f>
        <v>78592.8262869147</v>
      </c>
      <c r="B1068" s="184"/>
      <c r="O1068" s="184"/>
    </row>
    <row r="1069" spans="1:15">
      <c r="A1069" s="40"/>
      <c r="B1069" s="184"/>
      <c r="O1069" s="184"/>
    </row>
    <row r="1070" spans="1:15">
      <c r="A1070" s="40"/>
      <c r="B1070" s="184"/>
      <c r="O1070" s="184"/>
    </row>
    <row r="1071" spans="1:15">
      <c r="A1071" s="40"/>
      <c r="B1071" s="184"/>
      <c r="O1071" s="184"/>
    </row>
    <row r="1072" spans="1:15">
      <c r="A1072" s="40" t="str">
        <f ca="1">IFERROR(__xludf.DUMMYFUNCTION("""COMPUTED_VALUE"""),"T16")</f>
        <v>T16</v>
      </c>
      <c r="B1072" s="184"/>
      <c r="O1072" s="184"/>
    </row>
    <row r="1073" spans="1:15">
      <c r="A1073" s="46">
        <f ca="1">IFERROR(__xludf.DUMMYFUNCTION("""COMPUTED_VALUE"""),5663.88429183128)</f>
        <v>5663.8842918312803</v>
      </c>
      <c r="B1073" s="184"/>
      <c r="O1073" s="184"/>
    </row>
    <row r="1074" spans="1:15">
      <c r="A1074" s="46">
        <f ca="1">IFERROR(__xludf.DUMMYFUNCTION("""COMPUTED_VALUE"""),4136.19826397287)</f>
        <v>4136.1982639728703</v>
      </c>
      <c r="B1074" s="184"/>
      <c r="O1074" s="184"/>
    </row>
    <row r="1075" spans="1:15">
      <c r="A1075" s="46">
        <f ca="1">IFERROR(__xludf.DUMMYFUNCTION("""COMPUTED_VALUE"""),4961.74905375155)</f>
        <v>4961.7490537515496</v>
      </c>
      <c r="B1075" s="184"/>
      <c r="O1075" s="184"/>
    </row>
    <row r="1076" spans="1:15">
      <c r="A1076" s="46">
        <f ca="1">IFERROR(__xludf.DUMMYFUNCTION("""COMPUTED_VALUE"""),5875.2339315218)</f>
        <v>5875.2339315217996</v>
      </c>
      <c r="B1076" s="184"/>
      <c r="O1076" s="184"/>
    </row>
    <row r="1077" spans="1:15">
      <c r="A1077" s="46">
        <f ca="1">IFERROR(__xludf.DUMMYFUNCTION("""COMPUTED_VALUE"""),6217.01257887212)</f>
        <v>6217.0125788721198</v>
      </c>
      <c r="B1077" s="184"/>
      <c r="O1077" s="184"/>
    </row>
    <row r="1078" spans="1:15">
      <c r="A1078" s="46">
        <f ca="1">IFERROR(__xludf.DUMMYFUNCTION("""COMPUTED_VALUE"""),5153.95929761797)</f>
        <v>5153.9592976179702</v>
      </c>
      <c r="B1078" s="184"/>
      <c r="O1078" s="184"/>
    </row>
    <row r="1079" spans="1:15">
      <c r="A1079" s="46">
        <f ca="1">IFERROR(__xludf.DUMMYFUNCTION("""COMPUTED_VALUE"""),6593.1788199403)</f>
        <v>6593.1788199402999</v>
      </c>
      <c r="B1079" s="184"/>
      <c r="O1079" s="184"/>
    </row>
    <row r="1080" spans="1:15">
      <c r="A1080" s="46">
        <f ca="1">IFERROR(__xludf.DUMMYFUNCTION("""COMPUTED_VALUE"""),7142.98037340531)</f>
        <v>7142.9803734053103</v>
      </c>
      <c r="B1080" s="184"/>
      <c r="O1080" s="184"/>
    </row>
    <row r="1081" spans="1:15">
      <c r="A1081" s="46">
        <f ca="1">IFERROR(__xludf.DUMMYFUNCTION("""COMPUTED_VALUE"""),5476.36996522834)</f>
        <v>5476.3699652283403</v>
      </c>
      <c r="B1081" s="184"/>
      <c r="O1081" s="184"/>
    </row>
    <row r="1082" spans="1:15">
      <c r="A1082" s="46">
        <f ca="1">IFERROR(__xludf.DUMMYFUNCTION("""COMPUTED_VALUE"""),5369.92742789104)</f>
        <v>5369.9274278910398</v>
      </c>
      <c r="B1082" s="184"/>
      <c r="O1082" s="184"/>
    </row>
    <row r="1083" spans="1:15">
      <c r="A1083" s="46">
        <f ca="1">IFERROR(__xludf.DUMMYFUNCTION("""COMPUTED_VALUE"""),5365.59772193804)</f>
        <v>5365.5977219380402</v>
      </c>
      <c r="B1083" s="184"/>
      <c r="O1083" s="184"/>
    </row>
    <row r="1084" spans="1:15">
      <c r="A1084" s="46">
        <f ca="1">IFERROR(__xludf.DUMMYFUNCTION("""COMPUTED_VALUE"""),5231.11541342263)</f>
        <v>5231.1154134226299</v>
      </c>
      <c r="B1084" s="184"/>
      <c r="O1084" s="184"/>
    </row>
    <row r="1085" spans="1:15">
      <c r="A1085" s="46">
        <f ca="1">IFERROR(__xludf.DUMMYFUNCTION("""COMPUTED_VALUE"""),67187.2071393933)</f>
        <v>67187.2071393933</v>
      </c>
      <c r="B1085" s="184"/>
      <c r="O1085" s="184"/>
    </row>
    <row r="1086" spans="1:15">
      <c r="A1086" s="40"/>
      <c r="B1086" s="184"/>
      <c r="O1086" s="184"/>
    </row>
    <row r="1087" spans="1:15">
      <c r="A1087" s="40"/>
      <c r="B1087" s="184"/>
      <c r="O1087" s="184"/>
    </row>
    <row r="1088" spans="1:15">
      <c r="A1088" s="40"/>
      <c r="B1088" s="184"/>
      <c r="O1088" s="184"/>
    </row>
    <row r="1089" spans="2:15">
      <c r="B1089" s="184"/>
      <c r="O1089" s="184"/>
    </row>
    <row r="1090" spans="2:15">
      <c r="B1090" s="184"/>
      <c r="O1090" s="184"/>
    </row>
    <row r="1091" spans="2:15">
      <c r="B1091" s="184"/>
      <c r="O1091" s="184"/>
    </row>
    <row r="1092" spans="2:15">
      <c r="B1092" s="184"/>
      <c r="O1092" s="184"/>
    </row>
    <row r="1093" spans="2:15">
      <c r="B1093" s="184"/>
      <c r="O1093" s="184"/>
    </row>
    <row r="1094" spans="2:15">
      <c r="B1094" s="184"/>
      <c r="O1094" s="184"/>
    </row>
    <row r="1095" spans="2:15">
      <c r="B1095" s="184"/>
      <c r="O1095" s="184"/>
    </row>
    <row r="1096" spans="2:15">
      <c r="B1096" s="184"/>
      <c r="O1096" s="184"/>
    </row>
    <row r="1097" spans="2:15">
      <c r="B1097" s="184"/>
      <c r="O1097" s="184"/>
    </row>
    <row r="1098" spans="2:15">
      <c r="B1098" s="184"/>
      <c r="O1098" s="184"/>
    </row>
    <row r="1099" spans="2:15">
      <c r="B1099" s="184"/>
      <c r="O1099" s="184"/>
    </row>
    <row r="1100" spans="2:15">
      <c r="B1100" s="184"/>
      <c r="O1100" s="184"/>
    </row>
    <row r="1101" spans="2:15">
      <c r="B1101" s="184"/>
      <c r="O1101" s="184"/>
    </row>
    <row r="1102" spans="2:15">
      <c r="B1102" s="184"/>
      <c r="O1102" s="184"/>
    </row>
    <row r="1103" spans="2:15">
      <c r="B1103" s="184"/>
      <c r="O1103" s="184"/>
    </row>
    <row r="1104" spans="2:15">
      <c r="B1104" s="184"/>
      <c r="O1104" s="184"/>
    </row>
    <row r="1105" spans="2:15">
      <c r="B1105" s="184"/>
      <c r="O1105" s="184"/>
    </row>
    <row r="1106" spans="2:15">
      <c r="B1106" s="184"/>
      <c r="O1106" s="184"/>
    </row>
    <row r="1107" spans="2:15">
      <c r="B1107" s="184"/>
      <c r="O1107" s="184"/>
    </row>
    <row r="1108" spans="2:15">
      <c r="B1108" s="184"/>
      <c r="O1108" s="184"/>
    </row>
    <row r="1109" spans="2:15">
      <c r="B1109" s="184"/>
      <c r="O1109" s="184"/>
    </row>
    <row r="1110" spans="2:15">
      <c r="B1110" s="184"/>
      <c r="O1110" s="184"/>
    </row>
    <row r="1111" spans="2:15">
      <c r="B1111" s="184"/>
      <c r="O1111" s="184"/>
    </row>
    <row r="1112" spans="2:15">
      <c r="B1112" s="184"/>
      <c r="O1112" s="184"/>
    </row>
    <row r="1113" spans="2:15">
      <c r="B1113" s="184"/>
      <c r="O1113" s="184"/>
    </row>
    <row r="1114" spans="2:15">
      <c r="B1114" s="184"/>
      <c r="O1114" s="184"/>
    </row>
    <row r="1115" spans="2:15">
      <c r="B1115" s="184"/>
      <c r="O1115" s="184"/>
    </row>
    <row r="1116" spans="2:15">
      <c r="B1116" s="184"/>
      <c r="O1116" s="184"/>
    </row>
    <row r="1117" spans="2:15">
      <c r="B1117" s="184"/>
      <c r="O1117" s="184"/>
    </row>
    <row r="1118" spans="2:15">
      <c r="B1118" s="184"/>
      <c r="O1118" s="184"/>
    </row>
    <row r="1119" spans="2:15">
      <c r="B1119" s="184"/>
      <c r="O1119" s="184"/>
    </row>
    <row r="1120" spans="2:15">
      <c r="B1120" s="184"/>
      <c r="O1120" s="184"/>
    </row>
    <row r="1121" spans="2:15">
      <c r="B1121" s="184"/>
      <c r="O1121" s="184"/>
    </row>
    <row r="1122" spans="2:15">
      <c r="B1122" s="184"/>
      <c r="O1122" s="184"/>
    </row>
    <row r="1123" spans="2:15">
      <c r="B1123" s="184"/>
      <c r="O1123" s="184"/>
    </row>
    <row r="1124" spans="2:15">
      <c r="B1124" s="184"/>
      <c r="O1124" s="184"/>
    </row>
    <row r="1125" spans="2:15">
      <c r="B1125" s="184"/>
      <c r="O1125" s="184"/>
    </row>
    <row r="1126" spans="2:15">
      <c r="B1126" s="184"/>
      <c r="O1126" s="184"/>
    </row>
    <row r="1127" spans="2:15">
      <c r="B1127" s="184"/>
      <c r="O1127" s="184"/>
    </row>
    <row r="1128" spans="2:15">
      <c r="B1128" s="184"/>
      <c r="O1128" s="184"/>
    </row>
    <row r="1129" spans="2:15">
      <c r="B1129" s="184"/>
      <c r="O1129" s="184"/>
    </row>
    <row r="1130" spans="2:15">
      <c r="B1130" s="184"/>
      <c r="O1130" s="184"/>
    </row>
    <row r="1131" spans="2:15">
      <c r="B1131" s="184"/>
      <c r="O1131" s="184"/>
    </row>
    <row r="1132" spans="2:15">
      <c r="B1132" s="184"/>
      <c r="O1132" s="184"/>
    </row>
    <row r="1133" spans="2:15">
      <c r="B1133" s="184"/>
      <c r="O1133" s="184"/>
    </row>
    <row r="1134" spans="2:15">
      <c r="B1134" s="184"/>
      <c r="O1134" s="184"/>
    </row>
    <row r="1135" spans="2:15">
      <c r="B1135" s="184"/>
      <c r="O1135" s="184"/>
    </row>
    <row r="1136" spans="2:15">
      <c r="B1136" s="184"/>
      <c r="O1136" s="184"/>
    </row>
    <row r="1137" spans="2:15">
      <c r="B1137" s="184"/>
      <c r="O1137" s="184"/>
    </row>
    <row r="1138" spans="2:15">
      <c r="B1138" s="184"/>
      <c r="O1138" s="184"/>
    </row>
    <row r="1139" spans="2:15">
      <c r="B1139" s="184"/>
      <c r="O1139" s="184"/>
    </row>
    <row r="1140" spans="2:15">
      <c r="B1140" s="184"/>
      <c r="O1140" s="184"/>
    </row>
    <row r="1141" spans="2:15">
      <c r="B1141" s="184"/>
      <c r="O1141" s="184"/>
    </row>
    <row r="1142" spans="2:15">
      <c r="B1142" s="184"/>
      <c r="O1142" s="184"/>
    </row>
    <row r="1143" spans="2:15">
      <c r="B1143" s="184"/>
      <c r="O1143" s="184"/>
    </row>
    <row r="1144" spans="2:15">
      <c r="B1144" s="184"/>
      <c r="O1144" s="184"/>
    </row>
    <row r="1145" spans="2:15">
      <c r="B1145" s="184"/>
      <c r="O1145" s="184"/>
    </row>
    <row r="1146" spans="2:15">
      <c r="B1146" s="184"/>
      <c r="O1146" s="184"/>
    </row>
    <row r="1147" spans="2:15">
      <c r="B1147" s="184"/>
      <c r="O1147" s="184"/>
    </row>
    <row r="1148" spans="2:15">
      <c r="B1148" s="184"/>
      <c r="O1148" s="184"/>
    </row>
    <row r="1149" spans="2:15">
      <c r="B1149" s="184"/>
      <c r="O1149" s="184"/>
    </row>
    <row r="1150" spans="2:15">
      <c r="B1150" s="184"/>
      <c r="O1150" s="184"/>
    </row>
    <row r="1151" spans="2:15">
      <c r="B1151" s="184"/>
      <c r="O1151" s="184"/>
    </row>
    <row r="1152" spans="2:15">
      <c r="B1152" s="184"/>
      <c r="O1152" s="184"/>
    </row>
    <row r="1153" spans="2:15">
      <c r="B1153" s="184"/>
      <c r="O1153" s="184"/>
    </row>
    <row r="1154" spans="2:15">
      <c r="B1154" s="184"/>
      <c r="O1154" s="184"/>
    </row>
    <row r="1155" spans="2:15">
      <c r="B1155" s="184"/>
      <c r="O1155" s="184"/>
    </row>
    <row r="1156" spans="2:15">
      <c r="B1156" s="184"/>
      <c r="O1156" s="184"/>
    </row>
    <row r="1157" spans="2:15">
      <c r="B1157" s="184"/>
      <c r="O1157" s="184"/>
    </row>
    <row r="1158" spans="2:15">
      <c r="B1158" s="184"/>
      <c r="O1158" s="184"/>
    </row>
    <row r="1159" spans="2:15">
      <c r="B1159" s="184"/>
      <c r="O1159" s="184"/>
    </row>
    <row r="1160" spans="2:15">
      <c r="B1160" s="184"/>
      <c r="O1160" s="184"/>
    </row>
    <row r="1161" spans="2:15">
      <c r="B1161" s="184"/>
      <c r="O1161" s="184"/>
    </row>
    <row r="1162" spans="2:15">
      <c r="B1162" s="184"/>
      <c r="O1162" s="184"/>
    </row>
    <row r="1163" spans="2:15">
      <c r="B1163" s="184"/>
      <c r="O1163" s="184"/>
    </row>
    <row r="1164" spans="2:15">
      <c r="B1164" s="184"/>
      <c r="O1164" s="184"/>
    </row>
    <row r="1165" spans="2:15">
      <c r="B1165" s="184"/>
      <c r="O1165" s="184"/>
    </row>
    <row r="1166" spans="2:15">
      <c r="B1166" s="184"/>
      <c r="O1166" s="184"/>
    </row>
    <row r="1167" spans="2:15">
      <c r="B1167" s="184"/>
      <c r="O1167" s="184"/>
    </row>
    <row r="1168" spans="2:15">
      <c r="B1168" s="184"/>
      <c r="O1168" s="184"/>
    </row>
    <row r="1169" spans="2:15">
      <c r="B1169" s="184"/>
      <c r="O1169" s="184"/>
    </row>
    <row r="1170" spans="2:15">
      <c r="B1170" s="184"/>
      <c r="O1170" s="184"/>
    </row>
    <row r="1171" spans="2:15">
      <c r="B1171" s="184"/>
      <c r="O1171" s="184"/>
    </row>
    <row r="1172" spans="2:15">
      <c r="B1172" s="184"/>
      <c r="O1172" s="184"/>
    </row>
    <row r="1173" spans="2:15">
      <c r="B1173" s="184"/>
      <c r="O1173" s="184"/>
    </row>
    <row r="1174" spans="2:15">
      <c r="B1174" s="184"/>
      <c r="O1174" s="184"/>
    </row>
    <row r="1175" spans="2:15">
      <c r="B1175" s="184"/>
      <c r="O1175" s="184"/>
    </row>
    <row r="1176" spans="2:15">
      <c r="B1176" s="184"/>
      <c r="O1176" s="184"/>
    </row>
    <row r="1177" spans="2:15">
      <c r="B1177" s="184"/>
      <c r="O1177" s="184"/>
    </row>
    <row r="1178" spans="2:15">
      <c r="B1178" s="184"/>
      <c r="O1178" s="184"/>
    </row>
    <row r="1179" spans="2:15">
      <c r="B1179" s="184"/>
      <c r="O1179" s="184"/>
    </row>
    <row r="1180" spans="2:15">
      <c r="B1180" s="184"/>
      <c r="O1180" s="184"/>
    </row>
    <row r="1181" spans="2:15">
      <c r="B1181" s="184"/>
      <c r="O1181" s="184"/>
    </row>
    <row r="1182" spans="2:15">
      <c r="B1182" s="184"/>
      <c r="O1182" s="184"/>
    </row>
    <row r="1183" spans="2:15">
      <c r="B1183" s="184"/>
      <c r="O1183" s="184"/>
    </row>
    <row r="1184" spans="2:15">
      <c r="B1184" s="184"/>
      <c r="O1184" s="184"/>
    </row>
    <row r="1185" spans="2:15">
      <c r="B1185" s="184"/>
      <c r="O1185" s="184"/>
    </row>
    <row r="1186" spans="2:15">
      <c r="B1186" s="184"/>
      <c r="O1186" s="184"/>
    </row>
    <row r="1187" spans="2:15">
      <c r="B1187" s="184"/>
      <c r="O1187" s="184"/>
    </row>
    <row r="1188" spans="2:15">
      <c r="B1188" s="184"/>
      <c r="O1188" s="184"/>
    </row>
    <row r="1189" spans="2:15">
      <c r="B1189" s="184"/>
      <c r="O1189" s="184"/>
    </row>
    <row r="1190" spans="2:15">
      <c r="B1190" s="184"/>
      <c r="O1190" s="184"/>
    </row>
    <row r="1191" spans="2:15">
      <c r="B1191" s="184"/>
      <c r="O1191" s="184"/>
    </row>
    <row r="1192" spans="2:15">
      <c r="B1192" s="184"/>
      <c r="O1192" s="184"/>
    </row>
    <row r="1193" spans="2:15">
      <c r="B1193" s="184"/>
      <c r="O1193" s="184"/>
    </row>
    <row r="1194" spans="2:15">
      <c r="B1194" s="184"/>
      <c r="O1194" s="184"/>
    </row>
    <row r="1195" spans="2:15">
      <c r="B1195" s="184"/>
      <c r="O1195" s="184"/>
    </row>
    <row r="1196" spans="2:15">
      <c r="B1196" s="184"/>
      <c r="O1196" s="184"/>
    </row>
    <row r="1197" spans="2:15">
      <c r="B1197" s="184"/>
      <c r="O1197" s="184"/>
    </row>
    <row r="1198" spans="2:15">
      <c r="B1198" s="184"/>
      <c r="O1198" s="184"/>
    </row>
    <row r="1199" spans="2:15">
      <c r="B1199" s="184"/>
      <c r="O1199" s="184"/>
    </row>
    <row r="1200" spans="2:15">
      <c r="B1200" s="184"/>
      <c r="O1200" s="184"/>
    </row>
    <row r="1201" spans="2:15">
      <c r="B1201" s="184"/>
      <c r="O1201" s="184"/>
    </row>
    <row r="1202" spans="2:15">
      <c r="B1202" s="184"/>
      <c r="O1202" s="184"/>
    </row>
    <row r="1203" spans="2:15">
      <c r="B1203" s="184"/>
      <c r="O1203" s="184"/>
    </row>
    <row r="1204" spans="2:15">
      <c r="B1204" s="184"/>
      <c r="O1204" s="184"/>
    </row>
    <row r="1205" spans="2:15">
      <c r="B1205" s="184"/>
      <c r="O1205" s="184"/>
    </row>
    <row r="1206" spans="2:15">
      <c r="B1206" s="184"/>
      <c r="O1206" s="184"/>
    </row>
    <row r="1207" spans="2:15">
      <c r="B1207" s="184"/>
      <c r="O1207" s="184"/>
    </row>
    <row r="1208" spans="2:15">
      <c r="B1208" s="184"/>
      <c r="O1208" s="184"/>
    </row>
    <row r="1209" spans="2:15">
      <c r="B1209" s="184"/>
      <c r="O1209" s="184"/>
    </row>
    <row r="1210" spans="2:15">
      <c r="B1210" s="184"/>
      <c r="O1210" s="184"/>
    </row>
    <row r="1211" spans="2:15">
      <c r="B1211" s="184"/>
      <c r="O1211" s="184"/>
    </row>
    <row r="1212" spans="2:15">
      <c r="B1212" s="184"/>
      <c r="O1212" s="184"/>
    </row>
    <row r="1213" spans="2:15">
      <c r="B1213" s="184"/>
      <c r="O1213" s="184"/>
    </row>
    <row r="1214" spans="2:15">
      <c r="B1214" s="184"/>
      <c r="O1214" s="184"/>
    </row>
    <row r="1215" spans="2:15">
      <c r="B1215" s="184"/>
      <c r="O1215" s="184"/>
    </row>
    <row r="1216" spans="2:15">
      <c r="B1216" s="184"/>
      <c r="O1216" s="184"/>
    </row>
    <row r="1217" spans="2:15">
      <c r="B1217" s="184"/>
      <c r="O1217" s="184"/>
    </row>
    <row r="1218" spans="2:15">
      <c r="B1218" s="184"/>
      <c r="O1218" s="184"/>
    </row>
    <row r="1219" spans="2:15">
      <c r="B1219" s="184"/>
      <c r="O1219" s="184"/>
    </row>
    <row r="1220" spans="2:15">
      <c r="B1220" s="184"/>
      <c r="O1220" s="184"/>
    </row>
    <row r="1221" spans="2:15">
      <c r="B1221" s="184"/>
      <c r="O1221" s="184"/>
    </row>
    <row r="1222" spans="2:15">
      <c r="B1222" s="184"/>
      <c r="O1222" s="184"/>
    </row>
    <row r="1223" spans="2:15">
      <c r="B1223" s="184"/>
      <c r="O1223" s="184"/>
    </row>
    <row r="1224" spans="2:15">
      <c r="B1224" s="184"/>
      <c r="O1224" s="184"/>
    </row>
    <row r="1225" spans="2:15">
      <c r="B1225" s="184"/>
      <c r="O1225" s="184"/>
    </row>
    <row r="1226" spans="2:15">
      <c r="B1226" s="184"/>
      <c r="O1226" s="184"/>
    </row>
    <row r="1227" spans="2:15">
      <c r="B1227" s="184"/>
      <c r="O1227" s="184"/>
    </row>
    <row r="1228" spans="2:15">
      <c r="B1228" s="184"/>
      <c r="O1228" s="184"/>
    </row>
    <row r="1229" spans="2:15">
      <c r="B1229" s="184"/>
      <c r="O1229" s="184"/>
    </row>
    <row r="1230" spans="2:15">
      <c r="B1230" s="184"/>
      <c r="O1230" s="184"/>
    </row>
    <row r="1231" spans="2:15">
      <c r="B1231" s="184"/>
      <c r="O1231" s="184"/>
    </row>
    <row r="1232" spans="2:15">
      <c r="B1232" s="184"/>
      <c r="O1232" s="184"/>
    </row>
    <row r="1233" spans="2:15">
      <c r="B1233" s="184"/>
      <c r="O1233" s="184"/>
    </row>
    <row r="1234" spans="2:15">
      <c r="B1234" s="184"/>
      <c r="O1234" s="184"/>
    </row>
    <row r="1235" spans="2:15">
      <c r="B1235" s="184"/>
      <c r="O1235" s="184"/>
    </row>
    <row r="1236" spans="2:15">
      <c r="B1236" s="184"/>
      <c r="O1236" s="184"/>
    </row>
    <row r="1237" spans="2:15">
      <c r="B1237" s="184"/>
      <c r="O1237" s="184"/>
    </row>
    <row r="1238" spans="2:15">
      <c r="B1238" s="184"/>
      <c r="O1238" s="184"/>
    </row>
    <row r="1239" spans="2:15">
      <c r="B1239" s="184"/>
      <c r="O1239" s="184"/>
    </row>
    <row r="1240" spans="2:15">
      <c r="B1240" s="184"/>
      <c r="O1240" s="184"/>
    </row>
    <row r="1241" spans="2:15">
      <c r="B1241" s="184"/>
      <c r="O1241" s="184"/>
    </row>
    <row r="1242" spans="2:15">
      <c r="B1242" s="184"/>
      <c r="O1242" s="184"/>
    </row>
    <row r="1243" spans="2:15">
      <c r="B1243" s="184"/>
      <c r="O1243" s="184"/>
    </row>
    <row r="1244" spans="2:15">
      <c r="B1244" s="184"/>
      <c r="O1244" s="184"/>
    </row>
    <row r="1245" spans="2:15">
      <c r="B1245" s="184"/>
      <c r="O1245" s="184"/>
    </row>
    <row r="1246" spans="2:15">
      <c r="B1246" s="184"/>
      <c r="O1246" s="184"/>
    </row>
    <row r="1247" spans="2:15">
      <c r="B1247" s="184"/>
      <c r="O1247" s="184"/>
    </row>
    <row r="1248" spans="2:15">
      <c r="B1248" s="184"/>
      <c r="O1248" s="184"/>
    </row>
    <row r="1249" spans="2:15">
      <c r="B1249" s="184"/>
      <c r="O1249" s="184"/>
    </row>
    <row r="1250" spans="2:15">
      <c r="B1250" s="184"/>
      <c r="O1250" s="184"/>
    </row>
    <row r="1251" spans="2:15">
      <c r="B1251" s="184"/>
      <c r="O1251" s="184"/>
    </row>
    <row r="1252" spans="2:15">
      <c r="B1252" s="184"/>
      <c r="O1252" s="184"/>
    </row>
    <row r="1253" spans="2:15">
      <c r="B1253" s="184"/>
      <c r="O1253" s="184"/>
    </row>
    <row r="1254" spans="2:15">
      <c r="B1254" s="184"/>
      <c r="O1254" s="184"/>
    </row>
    <row r="1255" spans="2:15">
      <c r="B1255" s="184"/>
      <c r="O1255" s="184"/>
    </row>
    <row r="1256" spans="2:15">
      <c r="B1256" s="184"/>
      <c r="O1256" s="184"/>
    </row>
    <row r="1257" spans="2:15">
      <c r="B1257" s="184"/>
      <c r="O1257" s="184"/>
    </row>
    <row r="1258" spans="2:15">
      <c r="B1258" s="184"/>
      <c r="O1258" s="184"/>
    </row>
    <row r="1259" spans="2:15">
      <c r="B1259" s="184"/>
      <c r="O1259" s="184"/>
    </row>
    <row r="1260" spans="2:15">
      <c r="B1260" s="184"/>
      <c r="O1260" s="184"/>
    </row>
    <row r="1261" spans="2:15">
      <c r="B1261" s="184"/>
      <c r="O1261" s="184"/>
    </row>
    <row r="1262" spans="2:15">
      <c r="B1262" s="184"/>
      <c r="O1262" s="184"/>
    </row>
    <row r="1263" spans="2:15">
      <c r="B1263" s="184"/>
      <c r="O1263" s="184"/>
    </row>
    <row r="1264" spans="2:15">
      <c r="B1264" s="184"/>
      <c r="O1264" s="184"/>
    </row>
    <row r="1265" spans="2:15">
      <c r="B1265" s="184"/>
      <c r="O1265" s="184"/>
    </row>
    <row r="1266" spans="2:15">
      <c r="B1266" s="184"/>
      <c r="O1266" s="184"/>
    </row>
    <row r="1267" spans="2:15">
      <c r="B1267" s="184"/>
      <c r="O1267" s="184"/>
    </row>
    <row r="1268" spans="2:15">
      <c r="B1268" s="184"/>
      <c r="O1268" s="184"/>
    </row>
    <row r="1269" spans="2:15">
      <c r="B1269" s="184"/>
      <c r="O1269" s="184"/>
    </row>
    <row r="1270" spans="2:15">
      <c r="B1270" s="184"/>
      <c r="O1270" s="184"/>
    </row>
    <row r="1271" spans="2:15">
      <c r="B1271" s="184"/>
      <c r="O1271" s="184"/>
    </row>
    <row r="1272" spans="2:15">
      <c r="B1272" s="184"/>
      <c r="O1272" s="184"/>
    </row>
    <row r="1273" spans="2:15">
      <c r="B1273" s="184"/>
      <c r="O1273" s="184"/>
    </row>
    <row r="1274" spans="2:15">
      <c r="B1274" s="184"/>
      <c r="O1274" s="184"/>
    </row>
    <row r="1275" spans="2:15">
      <c r="B1275" s="184"/>
      <c r="O1275" s="184"/>
    </row>
    <row r="1276" spans="2:15">
      <c r="B1276" s="184"/>
      <c r="O1276" s="184"/>
    </row>
    <row r="1277" spans="2:15">
      <c r="B1277" s="184"/>
      <c r="O1277" s="184"/>
    </row>
    <row r="1278" spans="2:15">
      <c r="B1278" s="184"/>
      <c r="O1278" s="184"/>
    </row>
    <row r="1279" spans="2:15">
      <c r="B1279" s="184"/>
      <c r="O1279" s="184"/>
    </row>
    <row r="1280" spans="2:15">
      <c r="B1280" s="184"/>
      <c r="O1280" s="184"/>
    </row>
    <row r="1281" spans="2:15">
      <c r="B1281" s="184"/>
      <c r="O1281" s="184"/>
    </row>
    <row r="1282" spans="2:15">
      <c r="B1282" s="184"/>
      <c r="O1282" s="184"/>
    </row>
    <row r="1283" spans="2:15">
      <c r="B1283" s="184"/>
      <c r="O1283" s="184"/>
    </row>
    <row r="1284" spans="2:15">
      <c r="B1284" s="184"/>
      <c r="O1284" s="184"/>
    </row>
    <row r="1285" spans="2:15">
      <c r="B1285" s="184"/>
      <c r="O1285" s="184"/>
    </row>
    <row r="1286" spans="2:15">
      <c r="B1286" s="184"/>
      <c r="O1286" s="184"/>
    </row>
    <row r="1287" spans="2:15">
      <c r="B1287" s="184"/>
      <c r="O1287" s="184"/>
    </row>
    <row r="1288" spans="2:15">
      <c r="B1288" s="184"/>
      <c r="O1288" s="184"/>
    </row>
    <row r="1289" spans="2:15">
      <c r="B1289" s="184"/>
      <c r="O1289" s="184"/>
    </row>
    <row r="1290" spans="2:15">
      <c r="B1290" s="184"/>
      <c r="O1290" s="184"/>
    </row>
    <row r="1291" spans="2:15">
      <c r="B1291" s="184"/>
      <c r="O1291" s="184"/>
    </row>
    <row r="1292" spans="2:15">
      <c r="B1292" s="184"/>
      <c r="O1292" s="184"/>
    </row>
    <row r="1293" spans="2:15">
      <c r="B1293" s="184"/>
      <c r="O1293" s="184"/>
    </row>
    <row r="1294" spans="2:15">
      <c r="B1294" s="184"/>
      <c r="O1294" s="184"/>
    </row>
    <row r="1295" spans="2:15">
      <c r="B1295" s="184"/>
      <c r="O1295" s="184"/>
    </row>
    <row r="1296" spans="2:15">
      <c r="B1296" s="184"/>
      <c r="O1296" s="184"/>
    </row>
    <row r="1297" spans="2:15">
      <c r="B1297" s="184"/>
      <c r="O1297" s="184"/>
    </row>
    <row r="1298" spans="2:15">
      <c r="B1298" s="184"/>
      <c r="O1298" s="184"/>
    </row>
    <row r="1299" spans="2:15">
      <c r="B1299" s="184"/>
      <c r="O1299" s="184"/>
    </row>
    <row r="1300" spans="2:15">
      <c r="B1300" s="184"/>
      <c r="O1300" s="184"/>
    </row>
    <row r="1301" spans="2:15">
      <c r="B1301" s="184"/>
      <c r="O1301" s="184"/>
    </row>
    <row r="1302" spans="2:15">
      <c r="B1302" s="184"/>
      <c r="O1302" s="184"/>
    </row>
    <row r="1303" spans="2:15">
      <c r="B1303" s="184"/>
      <c r="O1303" s="184"/>
    </row>
    <row r="1304" spans="2:15">
      <c r="B1304" s="184"/>
      <c r="O1304" s="184"/>
    </row>
    <row r="1305" spans="2:15">
      <c r="B1305" s="184"/>
      <c r="O1305" s="184"/>
    </row>
    <row r="1306" spans="2:15">
      <c r="B1306" s="184"/>
      <c r="O1306" s="184"/>
    </row>
    <row r="1307" spans="2:15">
      <c r="B1307" s="184"/>
      <c r="O1307" s="184"/>
    </row>
    <row r="1308" spans="2:15">
      <c r="B1308" s="184"/>
      <c r="O1308" s="184"/>
    </row>
    <row r="1309" spans="2:15">
      <c r="B1309" s="184"/>
      <c r="O1309" s="184"/>
    </row>
    <row r="1310" spans="2:15">
      <c r="B1310" s="184"/>
      <c r="O1310" s="184"/>
    </row>
    <row r="1311" spans="2:15">
      <c r="B1311" s="184"/>
      <c r="O1311" s="184"/>
    </row>
    <row r="1312" spans="2:15">
      <c r="B1312" s="184"/>
      <c r="O1312" s="184"/>
    </row>
    <row r="1313" spans="2:15">
      <c r="B1313" s="184"/>
      <c r="O1313" s="184"/>
    </row>
    <row r="1314" spans="2:15">
      <c r="B1314" s="184"/>
      <c r="O1314" s="184"/>
    </row>
    <row r="1315" spans="2:15">
      <c r="B1315" s="184"/>
      <c r="O1315" s="184"/>
    </row>
    <row r="1316" spans="2:15">
      <c r="B1316" s="184"/>
      <c r="O1316" s="184"/>
    </row>
    <row r="1317" spans="2:15">
      <c r="B1317" s="184"/>
      <c r="O1317" s="184"/>
    </row>
    <row r="1318" spans="2:15">
      <c r="B1318" s="184"/>
      <c r="O1318" s="184"/>
    </row>
    <row r="1319" spans="2:15">
      <c r="B1319" s="184"/>
      <c r="O1319" s="184"/>
    </row>
    <row r="1320" spans="2:15">
      <c r="B1320" s="184"/>
      <c r="O1320" s="184"/>
    </row>
    <row r="1321" spans="2:15">
      <c r="B1321" s="184"/>
      <c r="O1321" s="184"/>
    </row>
    <row r="1322" spans="2:15">
      <c r="B1322" s="184"/>
      <c r="O1322" s="184"/>
    </row>
    <row r="1323" spans="2:15">
      <c r="B1323" s="184"/>
      <c r="O1323" s="184"/>
    </row>
    <row r="1324" spans="2:15">
      <c r="B1324" s="184"/>
      <c r="O1324" s="184"/>
    </row>
    <row r="1325" spans="2:15">
      <c r="B1325" s="184"/>
      <c r="O1325" s="184"/>
    </row>
    <row r="1326" spans="2:15">
      <c r="B1326" s="184"/>
      <c r="O1326" s="184"/>
    </row>
    <row r="1327" spans="2:15">
      <c r="B1327" s="184"/>
      <c r="O1327" s="184"/>
    </row>
    <row r="1328" spans="2:15">
      <c r="B1328" s="184"/>
      <c r="O1328" s="184"/>
    </row>
    <row r="1329" spans="2:15">
      <c r="B1329" s="184"/>
      <c r="O1329" s="184"/>
    </row>
    <row r="1330" spans="2:15">
      <c r="B1330" s="184"/>
      <c r="O1330" s="184"/>
    </row>
    <row r="1331" spans="2:15">
      <c r="B1331" s="184"/>
      <c r="O1331" s="184"/>
    </row>
    <row r="1332" spans="2:15">
      <c r="B1332" s="184"/>
      <c r="O1332" s="184"/>
    </row>
    <row r="1333" spans="2:15">
      <c r="B1333" s="184"/>
      <c r="O1333" s="184"/>
    </row>
    <row r="1334" spans="2:15">
      <c r="B1334" s="184"/>
      <c r="O1334" s="184"/>
    </row>
    <row r="1335" spans="2:15">
      <c r="B1335" s="184"/>
      <c r="O1335" s="184"/>
    </row>
    <row r="1336" spans="2:15">
      <c r="B1336" s="184"/>
      <c r="O1336" s="184"/>
    </row>
    <row r="1337" spans="2:15">
      <c r="B1337" s="184"/>
      <c r="O1337" s="184"/>
    </row>
    <row r="1338" spans="2:15">
      <c r="B1338" s="184"/>
      <c r="O1338" s="184"/>
    </row>
    <row r="1339" spans="2:15">
      <c r="B1339" s="184"/>
      <c r="O1339" s="184"/>
    </row>
    <row r="1340" spans="2:15">
      <c r="B1340" s="184"/>
      <c r="O1340" s="184"/>
    </row>
    <row r="1341" spans="2:15">
      <c r="B1341" s="184"/>
      <c r="O1341" s="184"/>
    </row>
    <row r="1342" spans="2:15">
      <c r="B1342" s="184"/>
      <c r="O1342" s="184"/>
    </row>
    <row r="1343" spans="2:15">
      <c r="B1343" s="184"/>
      <c r="O1343" s="184"/>
    </row>
    <row r="1344" spans="2:15">
      <c r="B1344" s="184"/>
      <c r="O1344" s="184"/>
    </row>
    <row r="1345" spans="2:15">
      <c r="B1345" s="184"/>
      <c r="O1345" s="184"/>
    </row>
    <row r="1346" spans="2:15">
      <c r="B1346" s="184"/>
      <c r="O1346" s="184"/>
    </row>
    <row r="1347" spans="2:15">
      <c r="B1347" s="184"/>
      <c r="O1347" s="184"/>
    </row>
    <row r="1348" spans="2:15">
      <c r="B1348" s="184"/>
      <c r="O1348" s="184"/>
    </row>
    <row r="1349" spans="2:15">
      <c r="B1349" s="184"/>
      <c r="O1349" s="184"/>
    </row>
    <row r="1350" spans="2:15">
      <c r="B1350" s="184"/>
      <c r="O1350" s="184"/>
    </row>
    <row r="1351" spans="2:15">
      <c r="B1351" s="184"/>
      <c r="O1351" s="184"/>
    </row>
    <row r="1352" spans="2:15">
      <c r="B1352" s="184"/>
      <c r="O1352" s="184"/>
    </row>
    <row r="1353" spans="2:15">
      <c r="B1353" s="184"/>
      <c r="O1353" s="184"/>
    </row>
    <row r="1354" spans="2:15">
      <c r="B1354" s="184"/>
      <c r="O1354" s="184"/>
    </row>
    <row r="1355" spans="2:15">
      <c r="B1355" s="184"/>
      <c r="O1355" s="184"/>
    </row>
    <row r="1356" spans="2:15">
      <c r="B1356" s="184"/>
      <c r="O1356" s="184"/>
    </row>
    <row r="1357" spans="2:15">
      <c r="B1357" s="184"/>
      <c r="O1357" s="184"/>
    </row>
    <row r="1358" spans="2:15">
      <c r="B1358" s="184"/>
      <c r="O1358" s="184"/>
    </row>
    <row r="1359" spans="2:15">
      <c r="B1359" s="184"/>
      <c r="O1359" s="184"/>
    </row>
    <row r="1360" spans="2:15">
      <c r="B1360" s="184"/>
      <c r="O1360" s="184"/>
    </row>
    <row r="1361" spans="2:15">
      <c r="B1361" s="184"/>
      <c r="O1361" s="184"/>
    </row>
    <row r="1362" spans="2:15">
      <c r="B1362" s="184"/>
      <c r="O1362" s="184"/>
    </row>
    <row r="1363" spans="2:15">
      <c r="B1363" s="184"/>
      <c r="O1363" s="184"/>
    </row>
    <row r="1364" spans="2:15">
      <c r="B1364" s="184"/>
      <c r="O1364" s="184"/>
    </row>
    <row r="1365" spans="2:15">
      <c r="B1365" s="184"/>
      <c r="O1365" s="184"/>
    </row>
    <row r="1366" spans="2:15">
      <c r="B1366" s="184"/>
      <c r="O1366" s="184"/>
    </row>
    <row r="1367" spans="2:15">
      <c r="B1367" s="184"/>
      <c r="O1367" s="184"/>
    </row>
    <row r="1368" spans="2:15">
      <c r="B1368" s="184"/>
      <c r="O1368" s="184"/>
    </row>
    <row r="1369" spans="2:15">
      <c r="B1369" s="184"/>
      <c r="O1369" s="184"/>
    </row>
    <row r="1370" spans="2:15">
      <c r="B1370" s="184"/>
      <c r="O1370" s="184"/>
    </row>
    <row r="1371" spans="2:15">
      <c r="B1371" s="184"/>
      <c r="O1371" s="184"/>
    </row>
    <row r="1372" spans="2:15">
      <c r="B1372" s="184"/>
      <c r="O1372" s="184"/>
    </row>
    <row r="1373" spans="2:15">
      <c r="B1373" s="184"/>
      <c r="O1373" s="184"/>
    </row>
    <row r="1374" spans="2:15">
      <c r="B1374" s="184"/>
      <c r="O1374" s="184"/>
    </row>
    <row r="1375" spans="2:15">
      <c r="B1375" s="184"/>
      <c r="O1375" s="184"/>
    </row>
    <row r="1376" spans="2:15">
      <c r="B1376" s="184"/>
      <c r="O1376" s="184"/>
    </row>
    <row r="1377" spans="2:15">
      <c r="B1377" s="184"/>
      <c r="O1377" s="184"/>
    </row>
    <row r="1378" spans="2:15">
      <c r="B1378" s="184"/>
      <c r="O1378" s="184"/>
    </row>
    <row r="1379" spans="2:15">
      <c r="B1379" s="184"/>
      <c r="O1379" s="184"/>
    </row>
    <row r="1380" spans="2:15">
      <c r="B1380" s="184"/>
      <c r="O1380" s="184"/>
    </row>
    <row r="1381" spans="2:15">
      <c r="B1381" s="184"/>
      <c r="O1381" s="184"/>
    </row>
    <row r="1382" spans="2:15">
      <c r="B1382" s="184"/>
      <c r="O1382" s="184"/>
    </row>
    <row r="1383" spans="2:15">
      <c r="B1383" s="184"/>
      <c r="O1383" s="184"/>
    </row>
    <row r="1384" spans="2:15">
      <c r="B1384" s="184"/>
      <c r="O1384" s="184"/>
    </row>
    <row r="1385" spans="2:15">
      <c r="B1385" s="184"/>
      <c r="O1385" s="184"/>
    </row>
    <row r="1386" spans="2:15">
      <c r="B1386" s="184"/>
      <c r="O1386" s="184"/>
    </row>
    <row r="1387" spans="2:15">
      <c r="B1387" s="184"/>
      <c r="O1387" s="184"/>
    </row>
    <row r="1388" spans="2:15">
      <c r="B1388" s="184"/>
      <c r="O1388" s="184"/>
    </row>
    <row r="1389" spans="2:15">
      <c r="B1389" s="184"/>
      <c r="O1389" s="184"/>
    </row>
    <row r="1390" spans="2:15">
      <c r="B1390" s="184"/>
      <c r="O1390" s="184"/>
    </row>
    <row r="1391" spans="2:15">
      <c r="B1391" s="184"/>
      <c r="O1391" s="184"/>
    </row>
    <row r="1392" spans="2:15">
      <c r="B1392" s="184"/>
      <c r="O1392" s="184"/>
    </row>
    <row r="1393" spans="2:15">
      <c r="B1393" s="184"/>
      <c r="O1393" s="184"/>
    </row>
    <row r="1394" spans="2:15">
      <c r="B1394" s="184"/>
      <c r="O1394" s="184"/>
    </row>
    <row r="1395" spans="2:15">
      <c r="B1395" s="184"/>
      <c r="O1395" s="184"/>
    </row>
    <row r="1396" spans="2:15">
      <c r="B1396" s="184"/>
      <c r="O1396" s="184"/>
    </row>
    <row r="1397" spans="2:15">
      <c r="B1397" s="184"/>
      <c r="O1397" s="184"/>
    </row>
    <row r="1398" spans="2:15">
      <c r="B1398" s="184"/>
      <c r="O1398" s="184"/>
    </row>
    <row r="1399" spans="2:15">
      <c r="B1399" s="184"/>
      <c r="O1399" s="184"/>
    </row>
    <row r="1400" spans="2:15">
      <c r="B1400" s="184"/>
      <c r="O1400" s="184"/>
    </row>
    <row r="1401" spans="2:15">
      <c r="B1401" s="184"/>
      <c r="O1401" s="184"/>
    </row>
    <row r="1402" spans="2:15">
      <c r="B1402" s="184"/>
      <c r="O1402" s="184"/>
    </row>
    <row r="1403" spans="2:15">
      <c r="B1403" s="184"/>
      <c r="O1403" s="184"/>
    </row>
    <row r="1404" spans="2:15">
      <c r="B1404" s="184"/>
      <c r="O1404" s="184"/>
    </row>
    <row r="1405" spans="2:15">
      <c r="B1405" s="184"/>
      <c r="O1405" s="184"/>
    </row>
    <row r="1406" spans="2:15">
      <c r="B1406" s="184"/>
      <c r="O1406" s="184"/>
    </row>
    <row r="1407" spans="2:15">
      <c r="B1407" s="184"/>
      <c r="O1407" s="184"/>
    </row>
    <row r="1408" spans="2:15">
      <c r="B1408" s="184"/>
      <c r="O1408" s="184"/>
    </row>
    <row r="1409" spans="2:15">
      <c r="B1409" s="184"/>
      <c r="O1409" s="184"/>
    </row>
    <row r="1410" spans="2:15">
      <c r="B1410" s="184"/>
      <c r="O1410" s="184"/>
    </row>
    <row r="1411" spans="2:15">
      <c r="B1411" s="184"/>
      <c r="O1411" s="184"/>
    </row>
    <row r="1412" spans="2:15">
      <c r="B1412" s="184"/>
      <c r="O1412" s="184"/>
    </row>
    <row r="1413" spans="2:15">
      <c r="B1413" s="184"/>
      <c r="O1413" s="184"/>
    </row>
    <row r="1414" spans="2:15">
      <c r="B1414" s="184"/>
      <c r="O1414" s="184"/>
    </row>
    <row r="1415" spans="2:15">
      <c r="B1415" s="184"/>
      <c r="O1415" s="184"/>
    </row>
    <row r="1416" spans="2:15">
      <c r="B1416" s="184"/>
      <c r="O1416" s="184"/>
    </row>
    <row r="1417" spans="2:15">
      <c r="B1417" s="184"/>
      <c r="O1417" s="184"/>
    </row>
    <row r="1418" spans="2:15">
      <c r="B1418" s="184"/>
      <c r="O1418" s="184"/>
    </row>
    <row r="1419" spans="2:15">
      <c r="B1419" s="184"/>
      <c r="O1419" s="184"/>
    </row>
    <row r="1420" spans="2:15">
      <c r="B1420" s="184"/>
      <c r="O1420" s="184"/>
    </row>
    <row r="1421" spans="2:15">
      <c r="B1421" s="184"/>
      <c r="O1421" s="184"/>
    </row>
    <row r="1422" spans="2:15">
      <c r="B1422" s="184"/>
      <c r="O1422" s="184"/>
    </row>
    <row r="1423" spans="2:15">
      <c r="B1423" s="184"/>
      <c r="O1423" s="184"/>
    </row>
    <row r="1424" spans="2:15">
      <c r="B1424" s="184"/>
      <c r="O1424" s="184"/>
    </row>
    <row r="1425" spans="2:15">
      <c r="B1425" s="184"/>
      <c r="O1425" s="184"/>
    </row>
    <row r="1426" spans="2:15">
      <c r="B1426" s="184"/>
      <c r="O1426" s="184"/>
    </row>
    <row r="1427" spans="2:15">
      <c r="B1427" s="184"/>
      <c r="O1427" s="184"/>
    </row>
    <row r="1428" spans="2:15">
      <c r="B1428" s="184"/>
      <c r="O1428" s="184"/>
    </row>
    <row r="1429" spans="2:15">
      <c r="B1429" s="184"/>
      <c r="O1429" s="184"/>
    </row>
    <row r="1430" spans="2:15">
      <c r="B1430" s="184"/>
      <c r="O1430" s="184"/>
    </row>
    <row r="1431" spans="2:15">
      <c r="B1431" s="184"/>
      <c r="O1431" s="184"/>
    </row>
    <row r="1432" spans="2:15">
      <c r="B1432" s="184"/>
      <c r="O1432" s="184"/>
    </row>
    <row r="1433" spans="2:15">
      <c r="B1433" s="184"/>
      <c r="O1433" s="184"/>
    </row>
    <row r="1434" spans="2:15">
      <c r="B1434" s="184"/>
      <c r="O1434" s="184"/>
    </row>
    <row r="1435" spans="2:15">
      <c r="B1435" s="184"/>
      <c r="O1435" s="184"/>
    </row>
    <row r="1436" spans="2:15">
      <c r="B1436" s="184"/>
      <c r="O1436" s="184"/>
    </row>
    <row r="1437" spans="2:15">
      <c r="B1437" s="184"/>
      <c r="O1437" s="184"/>
    </row>
    <row r="1438" spans="2:15">
      <c r="B1438" s="184"/>
      <c r="O1438" s="184"/>
    </row>
    <row r="1439" spans="2:15">
      <c r="B1439" s="184"/>
      <c r="O1439" s="184"/>
    </row>
    <row r="1440" spans="2:15">
      <c r="B1440" s="184"/>
      <c r="O1440" s="184"/>
    </row>
    <row r="1441" spans="2:15">
      <c r="B1441" s="184"/>
      <c r="O1441" s="184"/>
    </row>
    <row r="1442" spans="2:15">
      <c r="B1442" s="184"/>
      <c r="O1442" s="184"/>
    </row>
    <row r="1443" spans="2:15">
      <c r="B1443" s="184"/>
      <c r="O1443" s="184"/>
    </row>
    <row r="1444" spans="2:15">
      <c r="B1444" s="184"/>
      <c r="O1444" s="184"/>
    </row>
    <row r="1445" spans="2:15">
      <c r="B1445" s="184"/>
      <c r="O1445" s="184"/>
    </row>
    <row r="1446" spans="2:15">
      <c r="B1446" s="184"/>
      <c r="O1446" s="184"/>
    </row>
    <row r="1447" spans="2:15">
      <c r="B1447" s="184"/>
      <c r="O1447" s="184"/>
    </row>
    <row r="1448" spans="2:15">
      <c r="B1448" s="184"/>
      <c r="O1448" s="184"/>
    </row>
    <row r="1449" spans="2:15">
      <c r="B1449" s="184"/>
      <c r="O1449" s="184"/>
    </row>
    <row r="1450" spans="2:15">
      <c r="B1450" s="184"/>
      <c r="O1450" s="184"/>
    </row>
    <row r="1451" spans="2:15">
      <c r="B1451" s="184"/>
      <c r="O1451" s="184"/>
    </row>
    <row r="1452" spans="2:15">
      <c r="B1452" s="184"/>
      <c r="O1452" s="184"/>
    </row>
    <row r="1453" spans="2:15">
      <c r="B1453" s="184"/>
      <c r="O1453" s="184"/>
    </row>
    <row r="1454" spans="2:15">
      <c r="B1454" s="184"/>
      <c r="O1454" s="184"/>
    </row>
    <row r="1455" spans="2:15">
      <c r="B1455" s="184"/>
      <c r="O1455" s="184"/>
    </row>
    <row r="1456" spans="2:15">
      <c r="B1456" s="184"/>
      <c r="O1456" s="184"/>
    </row>
    <row r="1457" spans="2:15">
      <c r="B1457" s="184"/>
      <c r="O1457" s="184"/>
    </row>
    <row r="1458" spans="2:15">
      <c r="B1458" s="184"/>
      <c r="O1458" s="184"/>
    </row>
    <row r="1459" spans="2:15">
      <c r="B1459" s="184"/>
      <c r="O1459" s="184"/>
    </row>
    <row r="1460" spans="2:15">
      <c r="B1460" s="184"/>
      <c r="O1460" s="184"/>
    </row>
    <row r="1461" spans="2:15">
      <c r="B1461" s="184"/>
      <c r="O1461" s="184"/>
    </row>
    <row r="1462" spans="2:15">
      <c r="B1462" s="184"/>
      <c r="O1462" s="184"/>
    </row>
    <row r="1463" spans="2:15">
      <c r="B1463" s="184"/>
      <c r="O1463" s="184"/>
    </row>
    <row r="1464" spans="2:15">
      <c r="B1464" s="184"/>
      <c r="O1464" s="184"/>
    </row>
    <row r="1465" spans="2:15">
      <c r="B1465" s="184"/>
      <c r="O1465" s="184"/>
    </row>
    <row r="1466" spans="2:15">
      <c r="B1466" s="184"/>
      <c r="O1466" s="184"/>
    </row>
    <row r="1467" spans="2:15">
      <c r="B1467" s="184"/>
      <c r="O1467" s="184"/>
    </row>
    <row r="1468" spans="2:15">
      <c r="B1468" s="184"/>
      <c r="O1468" s="184"/>
    </row>
    <row r="1469" spans="2:15">
      <c r="B1469" s="184"/>
      <c r="O1469" s="184"/>
    </row>
    <row r="1470" spans="2:15">
      <c r="B1470" s="184"/>
      <c r="O1470" s="184"/>
    </row>
    <row r="1471" spans="2:15">
      <c r="B1471" s="184"/>
      <c r="O1471" s="184"/>
    </row>
    <row r="1472" spans="2:15">
      <c r="B1472" s="184"/>
      <c r="O1472" s="184"/>
    </row>
    <row r="1473" spans="2:15">
      <c r="B1473" s="184"/>
      <c r="O1473" s="184"/>
    </row>
    <row r="1474" spans="2:15">
      <c r="B1474" s="184"/>
      <c r="O1474" s="184"/>
    </row>
    <row r="1475" spans="2:15">
      <c r="B1475" s="184"/>
      <c r="O1475" s="184"/>
    </row>
    <row r="1476" spans="2:15">
      <c r="B1476" s="184"/>
      <c r="O1476" s="184"/>
    </row>
    <row r="1477" spans="2:15">
      <c r="B1477" s="184"/>
      <c r="O1477" s="184"/>
    </row>
    <row r="1478" spans="2:15">
      <c r="B1478" s="184"/>
      <c r="O1478" s="184"/>
    </row>
    <row r="1479" spans="2:15">
      <c r="B1479" s="184"/>
      <c r="O1479" s="184"/>
    </row>
    <row r="1480" spans="2:15">
      <c r="B1480" s="184"/>
      <c r="O1480" s="184"/>
    </row>
    <row r="1481" spans="2:15">
      <c r="B1481" s="184"/>
      <c r="O1481" s="184"/>
    </row>
    <row r="1482" spans="2:15">
      <c r="B1482" s="184"/>
      <c r="O1482" s="184"/>
    </row>
    <row r="1483" spans="2:15">
      <c r="B1483" s="184"/>
      <c r="O1483" s="184"/>
    </row>
    <row r="1484" spans="2:15">
      <c r="B1484" s="184"/>
      <c r="O1484" s="184"/>
    </row>
    <row r="1485" spans="2:15">
      <c r="B1485" s="184"/>
      <c r="O1485" s="184"/>
    </row>
    <row r="1486" spans="2:15">
      <c r="B1486" s="184"/>
      <c r="O1486" s="184"/>
    </row>
    <row r="1487" spans="2:15">
      <c r="B1487" s="184"/>
      <c r="O1487" s="184"/>
    </row>
    <row r="1488" spans="2:15">
      <c r="B1488" s="184"/>
      <c r="O1488" s="184"/>
    </row>
    <row r="1489" spans="2:15">
      <c r="B1489" s="184"/>
      <c r="O1489" s="184"/>
    </row>
    <row r="1490" spans="2:15">
      <c r="B1490" s="184"/>
      <c r="O1490" s="184"/>
    </row>
    <row r="1491" spans="2:15">
      <c r="B1491" s="184"/>
      <c r="O1491" s="184"/>
    </row>
    <row r="1492" spans="2:15">
      <c r="B1492" s="184"/>
      <c r="O1492" s="184"/>
    </row>
    <row r="1493" spans="2:15">
      <c r="B1493" s="184"/>
      <c r="O1493" s="184"/>
    </row>
    <row r="1494" spans="2:15">
      <c r="B1494" s="184"/>
      <c r="O1494" s="184"/>
    </row>
    <row r="1495" spans="2:15">
      <c r="B1495" s="184"/>
      <c r="O1495" s="184"/>
    </row>
    <row r="1496" spans="2:15">
      <c r="B1496" s="184"/>
      <c r="O1496" s="184"/>
    </row>
    <row r="1497" spans="2:15">
      <c r="B1497" s="184"/>
      <c r="O1497" s="184"/>
    </row>
    <row r="1498" spans="2:15">
      <c r="B1498" s="184"/>
      <c r="O1498" s="184"/>
    </row>
    <row r="1499" spans="2:15">
      <c r="B1499" s="184"/>
      <c r="O1499" s="184"/>
    </row>
    <row r="1500" spans="2:15">
      <c r="B1500" s="184"/>
      <c r="O1500" s="184"/>
    </row>
    <row r="1501" spans="2:15">
      <c r="B1501" s="184"/>
      <c r="O1501" s="184"/>
    </row>
    <row r="1502" spans="2:15">
      <c r="B1502" s="184"/>
      <c r="O1502" s="184"/>
    </row>
    <row r="1503" spans="2:15">
      <c r="B1503" s="184"/>
      <c r="O1503" s="184"/>
    </row>
    <row r="1504" spans="2:15">
      <c r="B1504" s="184"/>
      <c r="O1504" s="184"/>
    </row>
    <row r="1505" spans="2:15">
      <c r="B1505" s="184"/>
      <c r="O1505" s="184"/>
    </row>
    <row r="1506" spans="2:15">
      <c r="B1506" s="184"/>
      <c r="O1506" s="184"/>
    </row>
    <row r="1507" spans="2:15">
      <c r="B1507" s="184"/>
      <c r="O1507" s="184"/>
    </row>
    <row r="1508" spans="2:15">
      <c r="B1508" s="184"/>
      <c r="O1508" s="184"/>
    </row>
    <row r="1509" spans="2:15">
      <c r="B1509" s="184"/>
      <c r="O1509" s="184"/>
    </row>
    <row r="1510" spans="2:15">
      <c r="B1510" s="184"/>
      <c r="O1510" s="184"/>
    </row>
    <row r="1511" spans="2:15">
      <c r="B1511" s="184"/>
      <c r="O1511" s="184"/>
    </row>
    <row r="1512" spans="2:15">
      <c r="B1512" s="184"/>
      <c r="O1512" s="184"/>
    </row>
    <row r="1513" spans="2:15">
      <c r="B1513" s="184"/>
      <c r="O1513" s="184"/>
    </row>
    <row r="1514" spans="2:15">
      <c r="B1514" s="184"/>
      <c r="O1514" s="184"/>
    </row>
    <row r="1515" spans="2:15">
      <c r="B1515" s="184"/>
      <c r="O1515" s="184"/>
    </row>
    <row r="1516" spans="2:15">
      <c r="B1516" s="184"/>
      <c r="O1516" s="184"/>
    </row>
    <row r="1517" spans="2:15">
      <c r="B1517" s="184"/>
      <c r="O1517" s="184"/>
    </row>
    <row r="1518" spans="2:15">
      <c r="B1518" s="184"/>
      <c r="O1518" s="184"/>
    </row>
    <row r="1519" spans="2:15">
      <c r="B1519" s="184"/>
      <c r="O1519" s="184"/>
    </row>
    <row r="1520" spans="2:15">
      <c r="B1520" s="184"/>
      <c r="O1520" s="184"/>
    </row>
    <row r="1521" spans="2:15">
      <c r="B1521" s="184"/>
      <c r="O1521" s="184"/>
    </row>
    <row r="1522" spans="2:15">
      <c r="B1522" s="184"/>
      <c r="O1522" s="184"/>
    </row>
    <row r="1523" spans="2:15">
      <c r="B1523" s="184"/>
      <c r="O1523" s="184"/>
    </row>
    <row r="1524" spans="2:15">
      <c r="B1524" s="184"/>
      <c r="O1524" s="184"/>
    </row>
    <row r="1525" spans="2:15">
      <c r="B1525" s="184"/>
      <c r="O1525" s="184"/>
    </row>
    <row r="1526" spans="2:15">
      <c r="B1526" s="184"/>
      <c r="O1526" s="184"/>
    </row>
    <row r="1527" spans="2:15">
      <c r="B1527" s="184"/>
      <c r="O1527" s="184"/>
    </row>
    <row r="1528" spans="2:15">
      <c r="B1528" s="184"/>
      <c r="O1528" s="184"/>
    </row>
    <row r="1529" spans="2:15">
      <c r="B1529" s="184"/>
      <c r="O1529" s="184"/>
    </row>
    <row r="1530" spans="2:15">
      <c r="B1530" s="184"/>
      <c r="O1530" s="184"/>
    </row>
    <row r="1531" spans="2:15">
      <c r="B1531" s="184"/>
      <c r="O1531" s="184"/>
    </row>
    <row r="1532" spans="2:15">
      <c r="B1532" s="184"/>
      <c r="O1532" s="184"/>
    </row>
    <row r="1533" spans="2:15">
      <c r="B1533" s="184"/>
      <c r="O1533" s="184"/>
    </row>
    <row r="1534" spans="2:15">
      <c r="B1534" s="184"/>
      <c r="O1534" s="184"/>
    </row>
    <row r="1535" spans="2:15">
      <c r="B1535" s="184"/>
      <c r="O1535" s="184"/>
    </row>
    <row r="1536" spans="2:15">
      <c r="B1536" s="184"/>
      <c r="O1536" s="184"/>
    </row>
    <row r="1537" spans="2:15">
      <c r="B1537" s="184"/>
      <c r="O1537" s="184"/>
    </row>
    <row r="1538" spans="2:15">
      <c r="B1538" s="184"/>
      <c r="O1538" s="184"/>
    </row>
    <row r="1539" spans="2:15">
      <c r="B1539" s="184"/>
      <c r="O1539" s="184"/>
    </row>
    <row r="1540" spans="2:15">
      <c r="B1540" s="184"/>
      <c r="O1540" s="184"/>
    </row>
    <row r="1541" spans="2:15">
      <c r="B1541" s="184"/>
      <c r="O1541" s="184"/>
    </row>
    <row r="1542" spans="2:15">
      <c r="B1542" s="184"/>
      <c r="O1542" s="184"/>
    </row>
    <row r="1543" spans="2:15">
      <c r="B1543" s="184"/>
      <c r="O1543" s="184"/>
    </row>
    <row r="1544" spans="2:15">
      <c r="B1544" s="184"/>
      <c r="O1544" s="184"/>
    </row>
    <row r="1545" spans="2:15">
      <c r="B1545" s="184"/>
      <c r="O1545" s="184"/>
    </row>
    <row r="1546" spans="2:15">
      <c r="B1546" s="184"/>
      <c r="O1546" s="184"/>
    </row>
    <row r="1547" spans="2:15">
      <c r="B1547" s="184"/>
      <c r="O1547" s="184"/>
    </row>
    <row r="1548" spans="2:15">
      <c r="B1548" s="184"/>
      <c r="O1548" s="184"/>
    </row>
    <row r="1549" spans="2:15">
      <c r="B1549" s="184"/>
      <c r="O1549" s="184"/>
    </row>
    <row r="1550" spans="2:15">
      <c r="B1550" s="184"/>
      <c r="O1550" s="184"/>
    </row>
    <row r="1551" spans="2:15">
      <c r="B1551" s="184"/>
      <c r="O1551" s="184"/>
    </row>
    <row r="1552" spans="2:15">
      <c r="B1552" s="184"/>
      <c r="O1552" s="184"/>
    </row>
    <row r="1553" spans="2:15">
      <c r="B1553" s="184"/>
      <c r="O1553" s="184"/>
    </row>
    <row r="1554" spans="2:15">
      <c r="B1554" s="184"/>
      <c r="O1554" s="184"/>
    </row>
    <row r="1555" spans="2:15">
      <c r="B1555" s="184"/>
      <c r="O1555" s="184"/>
    </row>
    <row r="1556" spans="2:15">
      <c r="B1556" s="184"/>
      <c r="O1556" s="184"/>
    </row>
    <row r="1557" spans="2:15">
      <c r="B1557" s="184"/>
      <c r="O1557" s="184"/>
    </row>
    <row r="1558" spans="2:15">
      <c r="B1558" s="184"/>
      <c r="O1558" s="184"/>
    </row>
    <row r="1559" spans="2:15">
      <c r="B1559" s="184"/>
      <c r="O1559" s="184"/>
    </row>
    <row r="1560" spans="2:15">
      <c r="B1560" s="184"/>
      <c r="O1560" s="184"/>
    </row>
    <row r="1561" spans="2:15">
      <c r="B1561" s="184"/>
      <c r="O1561" s="184"/>
    </row>
    <row r="1562" spans="2:15">
      <c r="B1562" s="184"/>
      <c r="O1562" s="184"/>
    </row>
    <row r="1563" spans="2:15">
      <c r="B1563" s="184"/>
      <c r="O1563" s="184"/>
    </row>
    <row r="1564" spans="2:15">
      <c r="B1564" s="184"/>
      <c r="O1564" s="184"/>
    </row>
    <row r="1565" spans="2:15">
      <c r="B1565" s="184"/>
      <c r="O1565" s="184"/>
    </row>
    <row r="1566" spans="2:15">
      <c r="B1566" s="184"/>
      <c r="O1566" s="184"/>
    </row>
    <row r="1567" spans="2:15">
      <c r="B1567" s="184"/>
      <c r="O1567" s="184"/>
    </row>
    <row r="1568" spans="2:15">
      <c r="B1568" s="184"/>
      <c r="O1568" s="184"/>
    </row>
    <row r="1569" spans="2:15">
      <c r="B1569" s="184"/>
      <c r="O1569" s="184"/>
    </row>
    <row r="1570" spans="2:15">
      <c r="B1570" s="184"/>
      <c r="O1570" s="184"/>
    </row>
    <row r="1571" spans="2:15">
      <c r="B1571" s="184"/>
      <c r="O1571" s="184"/>
    </row>
    <row r="1572" spans="2:15">
      <c r="B1572" s="184"/>
      <c r="O1572" s="184"/>
    </row>
    <row r="1573" spans="2:15">
      <c r="B1573" s="184"/>
      <c r="O1573" s="184"/>
    </row>
    <row r="1574" spans="2:15">
      <c r="B1574" s="184"/>
      <c r="O1574" s="184"/>
    </row>
    <row r="1575" spans="2:15">
      <c r="B1575" s="184"/>
      <c r="O1575" s="184"/>
    </row>
    <row r="1576" spans="2:15">
      <c r="B1576" s="184"/>
      <c r="O1576" s="184"/>
    </row>
    <row r="1577" spans="2:15">
      <c r="B1577" s="184"/>
      <c r="O1577" s="184"/>
    </row>
    <row r="1578" spans="2:15">
      <c r="B1578" s="184"/>
      <c r="O1578" s="184"/>
    </row>
    <row r="1579" spans="2:15">
      <c r="B1579" s="184"/>
      <c r="O1579" s="184"/>
    </row>
    <row r="1580" spans="2:15">
      <c r="B1580" s="184"/>
      <c r="O1580" s="184"/>
    </row>
    <row r="1581" spans="2:15">
      <c r="B1581" s="184"/>
      <c r="O1581" s="184"/>
    </row>
    <row r="1582" spans="2:15">
      <c r="B1582" s="184"/>
      <c r="O1582" s="184"/>
    </row>
    <row r="1583" spans="2:15">
      <c r="B1583" s="184"/>
      <c r="O1583" s="184"/>
    </row>
    <row r="1584" spans="2:15">
      <c r="B1584" s="184"/>
      <c r="O1584" s="184"/>
    </row>
    <row r="1585" spans="2:15">
      <c r="B1585" s="184"/>
      <c r="O1585" s="18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1586"/>
  <sheetViews>
    <sheetView workbookViewId="0"/>
  </sheetViews>
  <sheetFormatPr baseColWidth="10" defaultColWidth="14.5" defaultRowHeight="15" customHeight="1"/>
  <sheetData>
    <row r="1" spans="1:16">
      <c r="A1" s="40" t="str">
        <f ca="1">IFERROR(__xludf.DUMMYFUNCTION("FLATTEN(B1:R1,B2:R2,B3:R3,B4:R4,B5:R5,B6:R6,B7:R7,B8:R8,B9:R9,B10:R10,B11:R11,B12:R12,B13:R13,B14:R14,B15:R15,B16:R16,B17:R17,B18:R18,B19:R19,B20:R20,B21:R21,B22:R22,B23:R23,B24:R24,B25:R25,B26:R26,B27:R27,B28:R28,B29:R29,B30:R30,B31:R31,B32:R32,B33:R33,B"&amp;"34:R34,B35:R35,B36:R36,B37:R37,B38:R38,B39:R39,B40:R40,B41:R41,B42:R42,B43:R43,B44:R44,B45:R45,B46:R46,B47:R47,B48:R48,B49:R49,B50:R50,B51:R51,B52:R52,B53:R53,B54:R54,B55:R55,B56:R56,B57:R57,B58:R58,B59:R59,B60:R60,B61:R61,B62:R62,B63:R63,B64:R64)"),"")</f>
        <v/>
      </c>
      <c r="B1" s="169"/>
      <c r="D1" s="40">
        <f>'May2025-COLLECTION'!K2</f>
        <v>5513</v>
      </c>
      <c r="E1" s="40">
        <f>'June2025-COLLECTION'!K2</f>
        <v>4374</v>
      </c>
      <c r="F1" s="40">
        <f>'July2025-COLLECTION'!K2</f>
        <v>0</v>
      </c>
      <c r="G1" s="40">
        <f>'Aug2025-COLLECTION'!K2</f>
        <v>5497</v>
      </c>
      <c r="H1" s="40">
        <f>'Sep2025-COLLECTION'!K2</f>
        <v>5497</v>
      </c>
      <c r="I1" s="40">
        <f>'Oct2025-COLLECTION'!K2</f>
        <v>0</v>
      </c>
      <c r="J1" s="40">
        <f>'Nov2025-COLLECTION'!K2</f>
        <v>0</v>
      </c>
      <c r="K1" s="40">
        <f>'Dec2025-COLLECTION'!K2</f>
        <v>13099</v>
      </c>
      <c r="L1" s="40">
        <f>'Jan2026-COLLECTION'!K2</f>
        <v>5555</v>
      </c>
      <c r="M1" s="40">
        <f>'Feb2026-COLLECTION'!K2</f>
        <v>5108</v>
      </c>
      <c r="N1" s="40">
        <f>'Mar2026-COLLECTION'!K2</f>
        <v>4755</v>
      </c>
      <c r="O1" s="184">
        <f t="shared" ref="O1:O64" si="0">SUM(C1:N1)</f>
        <v>49398</v>
      </c>
      <c r="P1" s="46">
        <f>O1-Expense!O1</f>
        <v>-14386.70623740711</v>
      </c>
    </row>
    <row r="2" spans="1:16">
      <c r="A2" s="40"/>
      <c r="B2" s="169"/>
      <c r="D2" s="40">
        <f>'May2025-COLLECTION'!K3</f>
        <v>9182</v>
      </c>
      <c r="E2" s="40">
        <f>'June2025-COLLECTION'!K3</f>
        <v>41625</v>
      </c>
      <c r="F2" s="40">
        <f>'July2025-COLLECTION'!K3</f>
        <v>0</v>
      </c>
      <c r="G2" s="40">
        <f>'Aug2025-COLLECTION'!K3</f>
        <v>0</v>
      </c>
      <c r="H2" s="40">
        <f>'Sep2025-COLLECTION'!K3</f>
        <v>26147</v>
      </c>
      <c r="I2" s="40">
        <f>'Oct2025-COLLECTION'!K3</f>
        <v>0</v>
      </c>
      <c r="J2" s="40">
        <f>'Nov2025-COLLECTION'!K3</f>
        <v>0</v>
      </c>
      <c r="K2" s="40">
        <f>'Dec2025-COLLECTION'!K3</f>
        <v>0</v>
      </c>
      <c r="L2" s="40">
        <f>'Jan2026-COLLECTION'!K3</f>
        <v>26087</v>
      </c>
      <c r="M2" s="40">
        <f>'Feb2026-COLLECTION'!K3</f>
        <v>0</v>
      </c>
      <c r="N2" s="40">
        <f>'Mar2026-COLLECTION'!K3</f>
        <v>0</v>
      </c>
      <c r="O2" s="184">
        <f t="shared" si="0"/>
        <v>103041</v>
      </c>
      <c r="P2" s="46">
        <f>O2-Expense!O2</f>
        <v>28611.517970270768</v>
      </c>
    </row>
    <row r="3" spans="1:16">
      <c r="A3" s="40">
        <f ca="1">IFERROR(__xludf.DUMMYFUNCTION("""COMPUTED_VALUE"""),5513)</f>
        <v>5513</v>
      </c>
      <c r="B3" s="169"/>
      <c r="D3" s="40">
        <f>'May2025-COLLECTION'!K4</f>
        <v>6000</v>
      </c>
      <c r="E3" s="40">
        <f>'June2025-COLLECTION'!K4</f>
        <v>6000</v>
      </c>
      <c r="F3" s="40">
        <f>'July2025-COLLECTION'!K4</f>
        <v>6000</v>
      </c>
      <c r="G3" s="40">
        <f>'Aug2025-COLLECTION'!K4</f>
        <v>6000</v>
      </c>
      <c r="H3" s="40">
        <f>'Sep2025-COLLECTION'!K4</f>
        <v>6000</v>
      </c>
      <c r="I3" s="40">
        <f>'Oct2025-COLLECTION'!K4</f>
        <v>6000</v>
      </c>
      <c r="J3" s="46">
        <f>'Nov2025-COLLECTION'!K4</f>
        <v>6000</v>
      </c>
      <c r="K3" s="40">
        <f>'Dec2025-COLLECTION'!K4</f>
        <v>6000</v>
      </c>
      <c r="L3" s="40">
        <f>'Jan2026-COLLECTION'!K4</f>
        <v>6000</v>
      </c>
      <c r="M3" s="40">
        <f>'Feb2026-COLLECTION'!K4</f>
        <v>6000</v>
      </c>
      <c r="N3" s="46">
        <f>'Mar2026-COLLECTION'!K4</f>
        <v>6000</v>
      </c>
      <c r="O3" s="184">
        <f t="shared" si="0"/>
        <v>66000</v>
      </c>
      <c r="P3" s="46">
        <f>O3-Expense!O3</f>
        <v>-18954.258821015508</v>
      </c>
    </row>
    <row r="4" spans="1:16">
      <c r="A4" s="40">
        <f ca="1">IFERROR(__xludf.DUMMYFUNCTION("""COMPUTED_VALUE"""),4374)</f>
        <v>4374</v>
      </c>
      <c r="B4" s="169"/>
      <c r="D4" s="46">
        <f>'May2025-COLLECTION'!K5</f>
        <v>5710</v>
      </c>
      <c r="E4" s="46">
        <f>'June2025-COLLECTION'!K5</f>
        <v>4434</v>
      </c>
      <c r="F4" s="46">
        <f>'July2025-COLLECTION'!K5</f>
        <v>0</v>
      </c>
      <c r="G4" s="46">
        <f>'Aug2025-COLLECTION'!K5</f>
        <v>5554</v>
      </c>
      <c r="H4" s="46">
        <f>'Sep2025-COLLECTION'!K5</f>
        <v>5554</v>
      </c>
      <c r="I4" s="46">
        <f>'Oct2025-COLLECTION'!K5</f>
        <v>5148</v>
      </c>
      <c r="J4" s="46">
        <f>'Nov2025-COLLECTION'!K5</f>
        <v>6231</v>
      </c>
      <c r="K4" s="46">
        <f>'Dec2025-COLLECTION'!K5</f>
        <v>7064</v>
      </c>
      <c r="L4" s="46">
        <f>'Jan2026-COLLECTION'!K5</f>
        <v>5264</v>
      </c>
      <c r="M4" s="46">
        <f>'Feb2026-COLLECTION'!K5</f>
        <v>5176</v>
      </c>
      <c r="N4" s="40">
        <f>'Mar2026-COLLECTION'!K5</f>
        <v>4925</v>
      </c>
      <c r="O4" s="184">
        <f t="shared" si="0"/>
        <v>55060</v>
      </c>
      <c r="P4" s="46">
        <f>O4-Expense!O4</f>
        <v>-10635.221881906327</v>
      </c>
    </row>
    <row r="5" spans="1:16">
      <c r="A5" s="40">
        <f ca="1">IFERROR(__xludf.DUMMYFUNCTION("""COMPUTED_VALUE"""),0)</f>
        <v>0</v>
      </c>
      <c r="B5" s="169"/>
      <c r="D5" s="40">
        <f>'May2025-COLLECTION'!K6</f>
        <v>5354</v>
      </c>
      <c r="E5" s="40">
        <f>'June2025-COLLECTION'!K6</f>
        <v>8022</v>
      </c>
      <c r="F5" s="40">
        <f>'July2025-COLLECTION'!K6</f>
        <v>323</v>
      </c>
      <c r="G5" s="40">
        <f>'Aug2025-COLLECTION'!K6</f>
        <v>5172</v>
      </c>
      <c r="H5" s="40">
        <f>'Sep2025-COLLECTION'!K6</f>
        <v>7050</v>
      </c>
      <c r="I5" s="46">
        <f>'Oct2025-COLLECTION'!K6</f>
        <v>5209.99</v>
      </c>
      <c r="J5" s="40">
        <f>'Nov2025-COLLECTION'!K6</f>
        <v>6114</v>
      </c>
      <c r="K5" s="40">
        <f>'Dec2025-COLLECTION'!K6</f>
        <v>7069</v>
      </c>
      <c r="L5" s="40">
        <f>'Jan2026-COLLECTION'!K6</f>
        <v>5340.41</v>
      </c>
      <c r="M5" s="40">
        <f>'Feb2026-COLLECTION'!K6</f>
        <v>5161</v>
      </c>
      <c r="N5" s="40">
        <f>'Mar2026-COLLECTION'!K6</f>
        <v>4699</v>
      </c>
      <c r="O5" s="184">
        <f t="shared" si="0"/>
        <v>59514.399999999994</v>
      </c>
      <c r="P5" s="46">
        <f>O5-Expense!O5</f>
        <v>-5369.4541577092896</v>
      </c>
    </row>
    <row r="6" spans="1:16">
      <c r="A6" s="40">
        <f ca="1">IFERROR(__xludf.DUMMYFUNCTION("""COMPUTED_VALUE"""),5497)</f>
        <v>5497</v>
      </c>
      <c r="B6" s="169"/>
      <c r="D6" s="40">
        <f>'May2025-COLLECTION'!K7</f>
        <v>5864</v>
      </c>
      <c r="E6" s="40">
        <f>'June2025-COLLECTION'!K7</f>
        <v>4331</v>
      </c>
      <c r="F6" s="40">
        <f>'July2025-COLLECTION'!K7</f>
        <v>1288</v>
      </c>
      <c r="G6" s="40">
        <f>'Aug2025-COLLECTION'!K7</f>
        <v>5465</v>
      </c>
      <c r="H6" s="40">
        <f>'Sep2025-COLLECTION'!K7</f>
        <v>0</v>
      </c>
      <c r="I6" s="46">
        <f>'Oct2025-COLLECTION'!K7</f>
        <v>5135</v>
      </c>
      <c r="J6" s="40">
        <f>'Nov2025-COLLECTION'!K7</f>
        <v>0</v>
      </c>
      <c r="K6" s="40">
        <f>'Dec2025-COLLECTION'!K7</f>
        <v>6114</v>
      </c>
      <c r="L6" s="40">
        <f>'Jan2026-COLLECTION'!K7</f>
        <v>12215.81</v>
      </c>
      <c r="M6" s="40">
        <f>'Feb2026-COLLECTION'!K7</f>
        <v>5101</v>
      </c>
      <c r="N6" s="40">
        <f>'Mar2026-COLLECTION'!K7</f>
        <v>0</v>
      </c>
      <c r="O6" s="184">
        <f t="shared" si="0"/>
        <v>45513.81</v>
      </c>
      <c r="P6" s="46">
        <f>O6-Expense!O6</f>
        <v>-19620.016743712622</v>
      </c>
    </row>
    <row r="7" spans="1:16">
      <c r="A7" s="40">
        <f ca="1">IFERROR(__xludf.DUMMYFUNCTION("""COMPUTED_VALUE"""),5497)</f>
        <v>5497</v>
      </c>
      <c r="B7" s="169"/>
      <c r="D7" s="40">
        <f>'May2025-COLLECTION'!K8</f>
        <v>11602</v>
      </c>
      <c r="E7" s="40">
        <f>'June2025-COLLECTION'!K8</f>
        <v>4800.17</v>
      </c>
      <c r="F7" s="40">
        <f>'July2025-COLLECTION'!K8</f>
        <v>5050.91</v>
      </c>
      <c r="G7" s="40">
        <f>'Aug2025-COLLECTION'!K8</f>
        <v>5938.62</v>
      </c>
      <c r="H7" s="40">
        <f>'Sep2025-COLLECTION'!K8</f>
        <v>5939</v>
      </c>
      <c r="I7" s="40">
        <f>'Oct2025-COLLECTION'!K8</f>
        <v>0</v>
      </c>
      <c r="J7" s="46">
        <f>'Nov2025-COLLECTION'!K8</f>
        <v>5505</v>
      </c>
      <c r="K7" s="40">
        <f>'Dec2025-COLLECTION'!K8</f>
        <v>7303</v>
      </c>
      <c r="L7" s="40">
        <f>'Jan2026-COLLECTION'!K8</f>
        <v>5551.92</v>
      </c>
      <c r="M7" s="40">
        <f>'Feb2026-COLLECTION'!K8</f>
        <v>0</v>
      </c>
      <c r="N7" s="40">
        <f>'Mar2026-COLLECTION'!K8</f>
        <v>10717</v>
      </c>
      <c r="O7" s="184">
        <f t="shared" si="0"/>
        <v>62407.619999999995</v>
      </c>
      <c r="P7" s="46">
        <f>O7-Expense!O7</f>
        <v>-7173.7550935869367</v>
      </c>
    </row>
    <row r="8" spans="1:16">
      <c r="A8" s="40">
        <f ca="1">IFERROR(__xludf.DUMMYFUNCTION("""COMPUTED_VALUE"""),0)</f>
        <v>0</v>
      </c>
      <c r="B8" s="169"/>
      <c r="D8" s="46">
        <f>'May2025-COLLECTION'!K9</f>
        <v>5312</v>
      </c>
      <c r="E8" s="46">
        <f>'June2025-COLLECTION'!K9</f>
        <v>4044</v>
      </c>
      <c r="F8" s="46">
        <f>'July2025-COLLECTION'!K9</f>
        <v>4291</v>
      </c>
      <c r="G8" s="46">
        <f>'Aug2025-COLLECTION'!K9</f>
        <v>5121</v>
      </c>
      <c r="H8" s="46">
        <f>'Sep2025-COLLECTION'!K9</f>
        <v>5121</v>
      </c>
      <c r="I8" s="46">
        <f>'Oct2025-COLLECTION'!K9</f>
        <v>4769</v>
      </c>
      <c r="J8" s="40">
        <f>'Nov2025-COLLECTION'!K9</f>
        <v>6114</v>
      </c>
      <c r="K8" s="46">
        <f>'Dec2025-COLLECTION'!K9</f>
        <v>7529</v>
      </c>
      <c r="L8" s="46">
        <f>'Jan2026-COLLECTION'!K9</f>
        <v>6937</v>
      </c>
      <c r="M8" s="46">
        <f>'Feb2026-COLLECTION'!K9</f>
        <v>6153</v>
      </c>
      <c r="N8" s="40">
        <f>'Mar2026-COLLECTION'!K9</f>
        <v>6095</v>
      </c>
      <c r="O8" s="184">
        <f t="shared" si="0"/>
        <v>61486</v>
      </c>
      <c r="P8" s="46">
        <f>O8-Expense!O8</f>
        <v>-6568.4992871002469</v>
      </c>
    </row>
    <row r="9" spans="1:16">
      <c r="A9" s="40">
        <f ca="1">IFERROR(__xludf.DUMMYFUNCTION("""COMPUTED_VALUE"""),0)</f>
        <v>0</v>
      </c>
      <c r="B9" s="169"/>
      <c r="D9" s="46">
        <f>'May2025-COLLECTION'!K10</f>
        <v>5516</v>
      </c>
      <c r="E9" s="46">
        <f>'June2025-COLLECTION'!K10</f>
        <v>4310</v>
      </c>
      <c r="F9" s="46">
        <f>'July2025-COLLECTION'!K10</f>
        <v>4567</v>
      </c>
      <c r="G9" s="46">
        <f>'Aug2025-COLLECTION'!K10</f>
        <v>5434</v>
      </c>
      <c r="H9" s="46">
        <f>'Sep2025-COLLECTION'!K10</f>
        <v>5434</v>
      </c>
      <c r="I9" s="46">
        <f>'Oct2025-COLLECTION'!K10</f>
        <v>5031</v>
      </c>
      <c r="J9" s="40">
        <f>'Nov2025-COLLECTION'!K10</f>
        <v>6231</v>
      </c>
      <c r="K9" s="46">
        <f>'Dec2025-COLLECTION'!K10</f>
        <v>6883</v>
      </c>
      <c r="L9" s="46">
        <f>'Jan2026-COLLECTION'!K10</f>
        <v>5090</v>
      </c>
      <c r="M9" s="46">
        <f>'Feb2026-COLLECTION'!K10</f>
        <v>5041</v>
      </c>
      <c r="N9" s="40">
        <f>'Mar2026-COLLECTION'!K10</f>
        <v>4824</v>
      </c>
      <c r="O9" s="184">
        <f t="shared" si="0"/>
        <v>58361</v>
      </c>
      <c r="P9" s="46">
        <f>O9-Expense!O9</f>
        <v>-5540.2575926244244</v>
      </c>
    </row>
    <row r="10" spans="1:16">
      <c r="A10" s="40">
        <f ca="1">IFERROR(__xludf.DUMMYFUNCTION("""COMPUTED_VALUE"""),13099)</f>
        <v>13099</v>
      </c>
      <c r="B10" s="169"/>
      <c r="D10" s="46">
        <f>'May2025-COLLECTION'!K11</f>
        <v>5600</v>
      </c>
      <c r="E10" s="46">
        <f>'June2025-COLLECTION'!K11</f>
        <v>4246</v>
      </c>
      <c r="F10" s="46">
        <f>'July2025-COLLECTION'!K11</f>
        <v>4536</v>
      </c>
      <c r="G10" s="46">
        <f>'Aug2025-COLLECTION'!K11</f>
        <v>1057</v>
      </c>
      <c r="H10" s="46">
        <f>'Sep2025-COLLECTION'!K11</f>
        <v>0</v>
      </c>
      <c r="I10" s="46">
        <f>'Oct2025-COLLECTION'!K11</f>
        <v>5794</v>
      </c>
      <c r="J10" s="40">
        <f>'Nov2025-COLLECTION'!K11</f>
        <v>0</v>
      </c>
      <c r="K10" s="46">
        <f>'Dec2025-COLLECTION'!K11</f>
        <v>0</v>
      </c>
      <c r="L10" s="46">
        <f>'Jan2026-COLLECTION'!K11</f>
        <v>6114</v>
      </c>
      <c r="M10" s="40">
        <f>'Feb2026-COLLECTION'!K11</f>
        <v>0</v>
      </c>
      <c r="N10" s="46">
        <f>'Mar2026-COLLECTION'!K11</f>
        <v>5614</v>
      </c>
      <c r="O10" s="184">
        <f t="shared" si="0"/>
        <v>32961</v>
      </c>
      <c r="P10" s="46">
        <f>O10-Expense!O10</f>
        <v>-33136.52559480886</v>
      </c>
    </row>
    <row r="11" spans="1:16">
      <c r="A11" s="40">
        <f ca="1">IFERROR(__xludf.DUMMYFUNCTION("""COMPUTED_VALUE"""),5555)</f>
        <v>5555</v>
      </c>
      <c r="B11" s="169"/>
      <c r="D11" s="46">
        <f>'May2025-COLLECTION'!K12</f>
        <v>5340</v>
      </c>
      <c r="E11" s="46">
        <f>'June2025-COLLECTION'!K12</f>
        <v>4272</v>
      </c>
      <c r="F11" s="46">
        <f>'July2025-COLLECTION'!K12</f>
        <v>4584</v>
      </c>
      <c r="G11" s="46">
        <f>'Aug2025-COLLECTION'!K12</f>
        <v>5218</v>
      </c>
      <c r="H11" s="46">
        <f>'Sep2025-COLLECTION'!K12</f>
        <v>5218</v>
      </c>
      <c r="I11" s="46">
        <f>'Oct2025-COLLECTION'!K12</f>
        <v>4780</v>
      </c>
      <c r="J11" s="46">
        <f>'Nov2025-COLLECTION'!K12</f>
        <v>6114</v>
      </c>
      <c r="K11" s="46">
        <f>'Dec2025-COLLECTION'!K12</f>
        <v>6604</v>
      </c>
      <c r="L11" s="46">
        <f>'Jan2026-COLLECTION'!K12</f>
        <v>4894</v>
      </c>
      <c r="M11" s="46">
        <f>'Feb2026-COLLECTION'!K12</f>
        <v>4778</v>
      </c>
      <c r="N11" s="40">
        <f>'Mar2026-COLLECTION'!K12</f>
        <v>4569</v>
      </c>
      <c r="O11" s="184">
        <f t="shared" si="0"/>
        <v>56371</v>
      </c>
      <c r="P11" s="46">
        <f>O11-Expense!O11</f>
        <v>-5191.967459958476</v>
      </c>
    </row>
    <row r="12" spans="1:16">
      <c r="A12" s="40">
        <f ca="1">IFERROR(__xludf.DUMMYFUNCTION("""COMPUTED_VALUE"""),5108)</f>
        <v>5108</v>
      </c>
      <c r="B12" s="169"/>
      <c r="D12" s="46">
        <f>'May2025-COLLECTION'!K13</f>
        <v>5286</v>
      </c>
      <c r="E12" s="46">
        <f>'June2025-COLLECTION'!K13</f>
        <v>4013</v>
      </c>
      <c r="F12" s="46">
        <f>'July2025-COLLECTION'!K13</f>
        <v>4273</v>
      </c>
      <c r="G12" s="46">
        <f>'Aug2025-COLLECTION'!K13</f>
        <v>5108</v>
      </c>
      <c r="H12" s="46">
        <f>'Sep2025-COLLECTION'!K13</f>
        <v>5108</v>
      </c>
      <c r="I12" s="46">
        <f>'Oct2025-COLLECTION'!K13</f>
        <v>4741</v>
      </c>
      <c r="J12" s="46">
        <f>'Nov2025-COLLECTION'!K13</f>
        <v>6114</v>
      </c>
      <c r="K12" s="46">
        <f>'Dec2025-COLLECTION'!K13</f>
        <v>7315</v>
      </c>
      <c r="L12" s="46">
        <f>'Jan2026-COLLECTION'!K13</f>
        <v>4851</v>
      </c>
      <c r="M12" s="46">
        <f>'Feb2026-COLLECTION'!K13</f>
        <v>5215</v>
      </c>
      <c r="N12" s="40">
        <f>'Mar2026-COLLECTION'!K13</f>
        <v>4449</v>
      </c>
      <c r="O12" s="184">
        <f t="shared" si="0"/>
        <v>56473</v>
      </c>
      <c r="P12" s="46">
        <f>O12-Expense!O12</f>
        <v>-5959.3917729266104</v>
      </c>
    </row>
    <row r="13" spans="1:16">
      <c r="A13" s="40">
        <f ca="1">IFERROR(__xludf.DUMMYFUNCTION("""COMPUTED_VALUE"""),4755)</f>
        <v>4755</v>
      </c>
      <c r="B13" s="169"/>
      <c r="D13" s="40">
        <f>'May2025-COLLECTION'!K14</f>
        <v>5426</v>
      </c>
      <c r="E13" s="40">
        <f>'June2025-COLLECTION'!K14</f>
        <v>6275</v>
      </c>
      <c r="F13" s="40">
        <f>'July2025-COLLECTION'!K14</f>
        <v>5598.22</v>
      </c>
      <c r="G13" s="40">
        <f>'Aug2025-COLLECTION'!K14</f>
        <v>0</v>
      </c>
      <c r="H13" s="40">
        <f>'Sep2025-COLLECTION'!K14</f>
        <v>12506.48</v>
      </c>
      <c r="I13" s="46">
        <f>'Oct2025-COLLECTION'!K14</f>
        <v>5226</v>
      </c>
      <c r="J13" s="40">
        <f>'Nov2025-COLLECTION'!K14</f>
        <v>0</v>
      </c>
      <c r="K13" s="40">
        <f>'Dec2025-COLLECTION'!K14</f>
        <v>13384.67</v>
      </c>
      <c r="L13" s="40">
        <f>'Jan2026-COLLECTION'!K14</f>
        <v>0</v>
      </c>
      <c r="M13" s="40">
        <f>'Feb2026-COLLECTION'!K14</f>
        <v>5123.2</v>
      </c>
      <c r="N13" s="40">
        <f>'Mar2026-COLLECTION'!K14</f>
        <v>9742</v>
      </c>
      <c r="O13" s="184">
        <f t="shared" si="0"/>
        <v>63281.569999999992</v>
      </c>
      <c r="P13" s="46">
        <f>O13-Expense!O13</f>
        <v>-5076.2808571424539</v>
      </c>
    </row>
    <row r="14" spans="1:16">
      <c r="A14" s="40">
        <f ca="1">IFERROR(__xludf.DUMMYFUNCTION("""COMPUTED_VALUE"""),49398)</f>
        <v>49398</v>
      </c>
      <c r="B14" s="169"/>
      <c r="D14" s="46">
        <f>'May2025-COLLECTION'!K15</f>
        <v>6148</v>
      </c>
      <c r="E14" s="46">
        <f>'June2025-COLLECTION'!K15</f>
        <v>4891</v>
      </c>
      <c r="F14" s="46">
        <f>'July2025-COLLECTION'!K15</f>
        <v>5391</v>
      </c>
      <c r="G14" s="46">
        <f>'Aug2025-COLLECTION'!K15</f>
        <v>5439</v>
      </c>
      <c r="H14" s="46">
        <f>'Sep2025-COLLECTION'!K15</f>
        <v>5439</v>
      </c>
      <c r="I14" s="46">
        <f>'Oct2025-COLLECTION'!K15</f>
        <v>4975</v>
      </c>
      <c r="J14" s="40">
        <f>'Nov2025-COLLECTION'!K15</f>
        <v>6231</v>
      </c>
      <c r="K14" s="46">
        <f>'Dec2025-COLLECTION'!K15</f>
        <v>0</v>
      </c>
      <c r="L14" s="46">
        <f>'Jan2026-COLLECTION'!K15</f>
        <v>5438</v>
      </c>
      <c r="M14" s="46">
        <f>'Feb2026-COLLECTION'!K15</f>
        <v>5478</v>
      </c>
      <c r="N14" s="40">
        <f>'Mar2026-COLLECTION'!K15</f>
        <v>0</v>
      </c>
      <c r="O14" s="184">
        <f t="shared" si="0"/>
        <v>49430</v>
      </c>
      <c r="P14" s="46">
        <f>O14-Expense!O14</f>
        <v>-18601.258470356348</v>
      </c>
    </row>
    <row r="15" spans="1:16">
      <c r="A15" s="46">
        <f ca="1">IFERROR(__xludf.DUMMYFUNCTION("""COMPUTED_VALUE"""),-14386.7062374071)</f>
        <v>-14386.706237407099</v>
      </c>
      <c r="B15" s="169"/>
      <c r="D15" s="40">
        <f>'May2025-COLLECTION'!K16</f>
        <v>6465</v>
      </c>
      <c r="E15" s="40">
        <f>'June2025-COLLECTION'!K16</f>
        <v>5466</v>
      </c>
      <c r="F15" s="40">
        <f>'July2025-COLLECTION'!K16</f>
        <v>5712</v>
      </c>
      <c r="G15" s="40">
        <f>'Aug2025-COLLECTION'!K16</f>
        <v>6487</v>
      </c>
      <c r="H15" s="40">
        <f>'Sep2025-COLLECTION'!K16</f>
        <v>6487</v>
      </c>
      <c r="I15" s="46">
        <f>'Oct2025-COLLECTION'!K16</f>
        <v>5911</v>
      </c>
      <c r="J15" s="40">
        <f>'Nov2025-COLLECTION'!K16</f>
        <v>6981</v>
      </c>
      <c r="K15" s="40">
        <f>'Dec2025-COLLECTION'!K16</f>
        <v>7638.43</v>
      </c>
      <c r="L15" s="40">
        <f>'Jan2026-COLLECTION'!K16</f>
        <v>6020</v>
      </c>
      <c r="M15" s="40">
        <f>'Feb2026-COLLECTION'!K16</f>
        <v>5912</v>
      </c>
      <c r="N15" s="40">
        <f>'Mar2026-COLLECTION'!K16</f>
        <v>5520</v>
      </c>
      <c r="O15" s="184">
        <f t="shared" si="0"/>
        <v>68599.429999999993</v>
      </c>
      <c r="P15" s="46">
        <f>O15-Expense!O15</f>
        <v>-6131.4009923129925</v>
      </c>
    </row>
    <row r="16" spans="1:16">
      <c r="A16" s="40"/>
      <c r="B16" s="169"/>
      <c r="D16" s="40">
        <f>'May2025-COLLECTION'!K17</f>
        <v>0</v>
      </c>
      <c r="E16" s="40">
        <f>'June2025-COLLECTION'!K17</f>
        <v>0</v>
      </c>
      <c r="F16" s="40">
        <f>'July2025-COLLECTION'!K17</f>
        <v>0</v>
      </c>
      <c r="G16" s="40">
        <f>'Aug2025-COLLECTION'!K17</f>
        <v>0</v>
      </c>
      <c r="H16" s="40">
        <f>'Sep2025-COLLECTION'!K17</f>
        <v>0</v>
      </c>
      <c r="I16" s="40">
        <f>'Oct2025-COLLECTION'!K17</f>
        <v>0</v>
      </c>
      <c r="J16" s="40">
        <f>'Nov2025-COLLECTION'!K17</f>
        <v>0</v>
      </c>
      <c r="K16" s="40">
        <f>'Dec2025-COLLECTION'!K17</f>
        <v>7879.33</v>
      </c>
      <c r="L16" s="40">
        <f>'Jan2026-COLLECTION'!K17</f>
        <v>6624.7</v>
      </c>
      <c r="M16" s="40">
        <f>'Feb2026-COLLECTION'!K17</f>
        <v>0</v>
      </c>
      <c r="N16" s="40">
        <f>'Mar2026-COLLECTION'!K17</f>
        <v>6057</v>
      </c>
      <c r="O16" s="184">
        <f t="shared" si="0"/>
        <v>20561.03</v>
      </c>
      <c r="P16" s="46">
        <f>O16-Expense!O16</f>
        <v>-56105.777670755546</v>
      </c>
    </row>
    <row r="17" spans="1:16">
      <c r="A17" s="40"/>
      <c r="B17" s="169"/>
      <c r="D17" s="46">
        <f>'May2025-COLLECTION'!K18</f>
        <v>0</v>
      </c>
      <c r="E17" s="46">
        <f>'June2025-COLLECTION'!K18</f>
        <v>11295</v>
      </c>
      <c r="F17" s="46">
        <f>'July2025-COLLECTION'!K18</f>
        <v>4700</v>
      </c>
      <c r="G17" s="46">
        <f>'Aug2025-COLLECTION'!K18</f>
        <v>6042</v>
      </c>
      <c r="H17" s="46">
        <f>'Sep2025-COLLECTION'!K18</f>
        <v>6533</v>
      </c>
      <c r="I17" s="46">
        <f>'Oct2025-COLLECTION'!K18</f>
        <v>5603</v>
      </c>
      <c r="J17" s="40">
        <f>'Nov2025-COLLECTION'!K18</f>
        <v>0</v>
      </c>
      <c r="K17" s="46">
        <f>'Dec2025-COLLECTION'!K18</f>
        <v>6114</v>
      </c>
      <c r="L17" s="46">
        <f>'Jan2026-COLLECTION'!K18</f>
        <v>7235</v>
      </c>
      <c r="M17" s="40">
        <f>'Feb2026-COLLECTION'!K18</f>
        <v>5541</v>
      </c>
      <c r="N17" s="46">
        <f>'Mar2026-COLLECTION'!K18</f>
        <v>12874</v>
      </c>
      <c r="O17" s="184">
        <f t="shared" si="0"/>
        <v>65937</v>
      </c>
      <c r="P17" s="46">
        <f>O17-Expense!O17</f>
        <v>-6912.2262888071855</v>
      </c>
    </row>
    <row r="18" spans="1:16">
      <c r="A18" s="40"/>
      <c r="B18" s="169"/>
      <c r="D18" s="46">
        <f>'May2025-COLLECTION'!K19</f>
        <v>0</v>
      </c>
      <c r="E18" s="46">
        <f>'June2025-COLLECTION'!K19</f>
        <v>12477</v>
      </c>
      <c r="F18" s="46">
        <f>'July2025-COLLECTION'!K19</f>
        <v>6087.95</v>
      </c>
      <c r="G18" s="46">
        <f>'Aug2025-COLLECTION'!K19</f>
        <v>6478</v>
      </c>
      <c r="H18" s="46">
        <f>'Sep2025-COLLECTION'!K19</f>
        <v>6772.92</v>
      </c>
      <c r="I18" s="46">
        <f>'Oct2025-COLLECTION'!K19</f>
        <v>7311.21</v>
      </c>
      <c r="J18" s="46">
        <f>'Nov2025-COLLECTION'!K19</f>
        <v>6231.38</v>
      </c>
      <c r="K18" s="46">
        <f>'Dec2025-COLLECTION'!K19</f>
        <v>8220</v>
      </c>
      <c r="L18" s="46">
        <f>'Jan2026-COLLECTION'!K19</f>
        <v>5627.68</v>
      </c>
      <c r="M18" s="46">
        <f>'Feb2026-COLLECTION'!K19</f>
        <v>5817</v>
      </c>
      <c r="N18" s="40">
        <f>'Mar2026-COLLECTION'!K19</f>
        <v>5984.58</v>
      </c>
      <c r="O18" s="184">
        <f t="shared" si="0"/>
        <v>71007.72</v>
      </c>
      <c r="P18" s="46">
        <f>O18-Expense!O18</f>
        <v>-5656.7174013420154</v>
      </c>
    </row>
    <row r="19" spans="1:16">
      <c r="A19" s="40"/>
      <c r="B19" s="169"/>
      <c r="D19" s="46">
        <f>'May2025-COLLECTION'!K20</f>
        <v>6545</v>
      </c>
      <c r="E19" s="46">
        <f>'June2025-COLLECTION'!K20</f>
        <v>5150</v>
      </c>
      <c r="F19" s="46">
        <f>'July2025-COLLECTION'!K20</f>
        <v>5120</v>
      </c>
      <c r="G19" s="46">
        <f>'Aug2025-COLLECTION'!K20</f>
        <v>6558</v>
      </c>
      <c r="H19" s="46">
        <f>'Sep2025-COLLECTION'!K20</f>
        <v>6558</v>
      </c>
      <c r="I19" s="46">
        <f>'Oct2025-COLLECTION'!K20</f>
        <v>5742</v>
      </c>
      <c r="J19" s="46">
        <f>'Nov2025-COLLECTION'!K20</f>
        <v>6731</v>
      </c>
      <c r="K19" s="46">
        <f>'Dec2025-COLLECTION'!K20</f>
        <v>7369</v>
      </c>
      <c r="L19" s="46">
        <f>'Jan2026-COLLECTION'!K20</f>
        <v>5799</v>
      </c>
      <c r="M19" s="46">
        <f>'Feb2026-COLLECTION'!K20</f>
        <v>5787</v>
      </c>
      <c r="N19" s="40">
        <f>'Mar2026-COLLECTION'!K20</f>
        <v>5355</v>
      </c>
      <c r="O19" s="184">
        <f t="shared" si="0"/>
        <v>66714</v>
      </c>
      <c r="P19" s="46">
        <f>O19-Expense!O19</f>
        <v>-7203.4420770711877</v>
      </c>
    </row>
    <row r="20" spans="1:16">
      <c r="A20" s="40">
        <f ca="1">IFERROR(__xludf.DUMMYFUNCTION("""COMPUTED_VALUE"""),9182)</f>
        <v>9182</v>
      </c>
      <c r="B20" s="169"/>
      <c r="D20" s="46">
        <f>'May2025-COLLECTION'!K21</f>
        <v>6908</v>
      </c>
      <c r="E20" s="46">
        <f>'June2025-COLLECTION'!K21</f>
        <v>5107</v>
      </c>
      <c r="F20" s="46">
        <f>'July2025-COLLECTION'!K21</f>
        <v>5140</v>
      </c>
      <c r="G20" s="46">
        <f>'Aug2025-COLLECTION'!K21</f>
        <v>7082</v>
      </c>
      <c r="H20" s="46">
        <f>'Sep2025-COLLECTION'!K21</f>
        <v>0</v>
      </c>
      <c r="I20" s="46">
        <f>'Oct2025-COLLECTION'!K21</f>
        <v>6287</v>
      </c>
      <c r="J20" s="46">
        <f>'Nov2025-COLLECTION'!K21</f>
        <v>0</v>
      </c>
      <c r="K20" s="46">
        <f>'Dec2025-COLLECTION'!K21</f>
        <v>14257</v>
      </c>
      <c r="L20" s="46">
        <f>'Jan2026-COLLECTION'!K21</f>
        <v>6500</v>
      </c>
      <c r="M20" s="46">
        <f>'Feb2026-COLLECTION'!K21</f>
        <v>6288</v>
      </c>
      <c r="N20" s="40">
        <f>'Mar2026-COLLECTION'!K21</f>
        <v>5479</v>
      </c>
      <c r="O20" s="184">
        <f t="shared" si="0"/>
        <v>63048</v>
      </c>
      <c r="P20" s="46">
        <f>O20-Expense!O20</f>
        <v>-14949.192030593142</v>
      </c>
    </row>
    <row r="21" spans="1:16">
      <c r="A21" s="40">
        <f ca="1">IFERROR(__xludf.DUMMYFUNCTION("""COMPUTED_VALUE"""),41625)</f>
        <v>41625</v>
      </c>
      <c r="B21" s="169"/>
      <c r="D21" s="46">
        <f>'May2025-COLLECTION'!K22</f>
        <v>6000</v>
      </c>
      <c r="E21" s="46">
        <f>'June2025-COLLECTION'!K22</f>
        <v>0</v>
      </c>
      <c r="F21" s="46">
        <f>'July2025-COLLECTION'!K22</f>
        <v>0</v>
      </c>
      <c r="G21" s="46">
        <f>'Aug2025-COLLECTION'!K22</f>
        <v>0</v>
      </c>
      <c r="H21" s="46">
        <f>'Sep2025-COLLECTION'!K22</f>
        <v>11102.41</v>
      </c>
      <c r="I21" s="46">
        <f>'Oct2025-COLLECTION'!K22</f>
        <v>6000</v>
      </c>
      <c r="J21" s="46">
        <f>'Nov2025-COLLECTION'!K22</f>
        <v>6114</v>
      </c>
      <c r="K21" s="46">
        <f>'Dec2025-COLLECTION'!K22</f>
        <v>0</v>
      </c>
      <c r="L21" s="46">
        <f>'Jan2026-COLLECTION'!K22</f>
        <v>0</v>
      </c>
      <c r="M21" s="46">
        <f>'Feb2026-COLLECTION'!K22</f>
        <v>27000</v>
      </c>
      <c r="N21" s="40">
        <f>'Mar2026-COLLECTION'!K22</f>
        <v>0</v>
      </c>
      <c r="O21" s="184">
        <f t="shared" si="0"/>
        <v>56216.41</v>
      </c>
      <c r="P21" s="46">
        <f>O21-Expense!O21</f>
        <v>-10635.874814900235</v>
      </c>
    </row>
    <row r="22" spans="1:16">
      <c r="A22" s="40">
        <f ca="1">IFERROR(__xludf.DUMMYFUNCTION("""COMPUTED_VALUE"""),0)</f>
        <v>0</v>
      </c>
      <c r="B22" s="169"/>
      <c r="D22" s="40">
        <f>'May2025-COLLECTION'!K23</f>
        <v>0</v>
      </c>
      <c r="E22" s="40">
        <f>'June2025-COLLECTION'!K23</f>
        <v>85000</v>
      </c>
      <c r="F22" s="40">
        <f>'July2025-COLLECTION'!K23</f>
        <v>20000</v>
      </c>
      <c r="G22" s="40">
        <f>'Aug2025-COLLECTION'!K23</f>
        <v>0</v>
      </c>
      <c r="H22" s="40">
        <f>'Sep2025-COLLECTION'!K23</f>
        <v>5212</v>
      </c>
      <c r="I22" s="40">
        <f>'Oct2025-COLLECTION'!K23</f>
        <v>0</v>
      </c>
      <c r="J22" s="40">
        <f>'Nov2025-COLLECTION'!K23</f>
        <v>0</v>
      </c>
      <c r="K22" s="40">
        <f>'Dec2025-COLLECTION'!K23</f>
        <v>18215</v>
      </c>
      <c r="L22" s="40">
        <f>'Jan2026-COLLECTION'!K23</f>
        <v>5785</v>
      </c>
      <c r="M22" s="40">
        <f>'Feb2026-COLLECTION'!K23</f>
        <v>0</v>
      </c>
      <c r="N22" s="40">
        <f>'Mar2026-COLLECTION'!K23</f>
        <v>5394</v>
      </c>
      <c r="O22" s="184">
        <f t="shared" si="0"/>
        <v>139606</v>
      </c>
      <c r="P22" s="46">
        <f>O22-Expense!O22</f>
        <v>71039.07165074462</v>
      </c>
    </row>
    <row r="23" spans="1:16">
      <c r="A23" s="40">
        <f ca="1">IFERROR(__xludf.DUMMYFUNCTION("""COMPUTED_VALUE"""),0)</f>
        <v>0</v>
      </c>
      <c r="B23" s="169"/>
      <c r="D23" s="46">
        <f>'May2025-COLLECTION'!K24</f>
        <v>5752</v>
      </c>
      <c r="E23" s="46">
        <f>'June2025-COLLECTION'!K24</f>
        <v>0</v>
      </c>
      <c r="F23" s="46">
        <f>'July2025-COLLECTION'!K24</f>
        <v>4083</v>
      </c>
      <c r="G23" s="46">
        <f>'Aug2025-COLLECTION'!K24</f>
        <v>0</v>
      </c>
      <c r="H23" s="46">
        <f>'Sep2025-COLLECTION'!K24</f>
        <v>5635</v>
      </c>
      <c r="I23" s="46">
        <f>'Oct2025-COLLECTION'!K24</f>
        <v>5264</v>
      </c>
      <c r="J23" s="40">
        <f>'Nov2025-COLLECTION'!K24</f>
        <v>6114</v>
      </c>
      <c r="K23" s="46">
        <f>'Dec2025-COLLECTION'!K24</f>
        <v>0</v>
      </c>
      <c r="L23" s="46">
        <f>'Jan2026-COLLECTION'!K24</f>
        <v>6888</v>
      </c>
      <c r="M23" s="46">
        <f>'Feb2026-COLLECTION'!K24</f>
        <v>5350</v>
      </c>
      <c r="N23" s="40">
        <f>'Mar2026-COLLECTION'!K24</f>
        <v>0</v>
      </c>
      <c r="O23" s="184">
        <f t="shared" si="0"/>
        <v>39086</v>
      </c>
      <c r="P23" s="46">
        <f>O23-Expense!O23</f>
        <v>-25870.707172954615</v>
      </c>
    </row>
    <row r="24" spans="1:16">
      <c r="A24" s="40">
        <f ca="1">IFERROR(__xludf.DUMMYFUNCTION("""COMPUTED_VALUE"""),26147)</f>
        <v>26147</v>
      </c>
      <c r="B24" s="169"/>
      <c r="D24" s="40">
        <f>'May2025-COLLECTION'!K25</f>
        <v>6328</v>
      </c>
      <c r="E24" s="40">
        <f>'June2025-COLLECTION'!K25</f>
        <v>4772</v>
      </c>
      <c r="F24" s="40">
        <f>'July2025-COLLECTION'!K25</f>
        <v>0</v>
      </c>
      <c r="G24" s="40">
        <f>'Aug2025-COLLECTION'!K25</f>
        <v>0</v>
      </c>
      <c r="H24" s="40">
        <f>'Sep2025-COLLECTION'!K25</f>
        <v>6108</v>
      </c>
      <c r="I24" s="40">
        <f>'Oct2025-COLLECTION'!K25</f>
        <v>0</v>
      </c>
      <c r="J24" s="40">
        <f>'Nov2025-COLLECTION'!K25</f>
        <v>0</v>
      </c>
      <c r="K24" s="40">
        <f>'Dec2025-COLLECTION'!K25</f>
        <v>6114</v>
      </c>
      <c r="L24" s="40">
        <f>'Jan2026-COLLECTION'!K25</f>
        <v>20517</v>
      </c>
      <c r="M24" s="40">
        <f>'Feb2026-COLLECTION'!K25</f>
        <v>5198</v>
      </c>
      <c r="N24" s="40">
        <f>'Mar2026-COLLECTION'!K25</f>
        <v>5744</v>
      </c>
      <c r="O24" s="184">
        <f t="shared" si="0"/>
        <v>54781</v>
      </c>
      <c r="P24" s="46">
        <f>O24-Expense!O24</f>
        <v>-14818.831665323261</v>
      </c>
    </row>
    <row r="25" spans="1:16">
      <c r="A25" s="40">
        <f ca="1">IFERROR(__xludf.DUMMYFUNCTION("""COMPUTED_VALUE"""),0)</f>
        <v>0</v>
      </c>
      <c r="B25" s="169"/>
      <c r="D25" s="46">
        <f>'May2025-COLLECTION'!K26</f>
        <v>5203</v>
      </c>
      <c r="E25" s="46">
        <f>'June2025-COLLECTION'!K26</f>
        <v>10919</v>
      </c>
      <c r="F25" s="46">
        <f>'July2025-COLLECTION'!K26</f>
        <v>5203</v>
      </c>
      <c r="G25" s="46">
        <f>'Aug2025-COLLECTION'!K26</f>
        <v>5869</v>
      </c>
      <c r="H25" s="46">
        <f>'Sep2025-COLLECTION'!K26</f>
        <v>5869</v>
      </c>
      <c r="I25" s="46">
        <f>'Oct2025-COLLECTION'!K26</f>
        <v>5500</v>
      </c>
      <c r="J25" s="46">
        <f>'Nov2025-COLLECTION'!K26</f>
        <v>6354</v>
      </c>
      <c r="K25" s="46">
        <f>'Dec2025-COLLECTION'!K26</f>
        <v>0</v>
      </c>
      <c r="L25" s="46">
        <f>'Jan2026-COLLECTION'!K26</f>
        <v>7111</v>
      </c>
      <c r="M25" s="46">
        <f>'Feb2026-COLLECTION'!K26</f>
        <v>5686</v>
      </c>
      <c r="N25" s="40">
        <f>'Mar2026-COLLECTION'!K26</f>
        <v>10715</v>
      </c>
      <c r="O25" s="184">
        <f t="shared" si="0"/>
        <v>68429</v>
      </c>
      <c r="P25" s="46">
        <f>O25-Expense!O25</f>
        <v>-1212.098747103606</v>
      </c>
    </row>
    <row r="26" spans="1:16">
      <c r="A26" s="40">
        <f ca="1">IFERROR(__xludf.DUMMYFUNCTION("""COMPUTED_VALUE"""),0)</f>
        <v>0</v>
      </c>
      <c r="B26" s="169"/>
      <c r="D26" s="46">
        <f>'May2025-COLLECTION'!K27</f>
        <v>6240</v>
      </c>
      <c r="E26" s="46">
        <f>'June2025-COLLECTION'!K27</f>
        <v>4790</v>
      </c>
      <c r="F26" s="46">
        <f>'July2025-COLLECTION'!K27</f>
        <v>5062</v>
      </c>
      <c r="G26" s="46">
        <f>'Aug2025-COLLECTION'!K27</f>
        <v>6008</v>
      </c>
      <c r="H26" s="46">
        <f>'Sep2025-COLLECTION'!K27</f>
        <v>12008</v>
      </c>
      <c r="I26" s="46">
        <f>'Oct2025-COLLECTION'!K27</f>
        <v>0</v>
      </c>
      <c r="J26" s="46">
        <f>'Nov2025-COLLECTION'!K27</f>
        <v>6114</v>
      </c>
      <c r="K26" s="46">
        <f>'Dec2025-COLLECTION'!K27</f>
        <v>7920.16</v>
      </c>
      <c r="L26" s="46">
        <f>'Jan2026-COLLECTION'!K27</f>
        <v>5209.1099999999997</v>
      </c>
      <c r="M26" s="46">
        <f>'Feb2026-COLLECTION'!K27</f>
        <v>5380</v>
      </c>
      <c r="N26" s="40">
        <f>'Mar2026-COLLECTION'!K27</f>
        <v>4724</v>
      </c>
      <c r="O26" s="184">
        <f t="shared" si="0"/>
        <v>63455.270000000004</v>
      </c>
      <c r="P26" s="46">
        <f>O26-Expense!O26</f>
        <v>-4510.9387761088583</v>
      </c>
    </row>
    <row r="27" spans="1:16">
      <c r="A27" s="40">
        <f ca="1">IFERROR(__xludf.DUMMYFUNCTION("""COMPUTED_VALUE"""),0)</f>
        <v>0</v>
      </c>
      <c r="B27" s="169"/>
      <c r="D27" s="46">
        <f>'May2025-COLLECTION'!K28</f>
        <v>10288</v>
      </c>
      <c r="E27" s="46">
        <f>'June2025-COLLECTION'!K28</f>
        <v>4399</v>
      </c>
      <c r="F27" s="46">
        <f>'July2025-COLLECTION'!K28</f>
        <v>4541</v>
      </c>
      <c r="G27" s="46">
        <f>'Aug2025-COLLECTION'!K28</f>
        <v>5377</v>
      </c>
      <c r="H27" s="46">
        <f>'Sep2025-COLLECTION'!K28</f>
        <v>5377</v>
      </c>
      <c r="I27" s="46">
        <f>'Oct2025-COLLECTION'!K28</f>
        <v>4935</v>
      </c>
      <c r="J27" s="40">
        <f>'Nov2025-COLLECTION'!K28</f>
        <v>6114</v>
      </c>
      <c r="K27" s="46">
        <f>'Dec2025-COLLECTION'!K28</f>
        <v>0</v>
      </c>
      <c r="L27" s="46">
        <f>'Jan2026-COLLECTION'!K28</f>
        <v>0</v>
      </c>
      <c r="M27" s="46">
        <f>'Feb2026-COLLECTION'!K28</f>
        <v>0</v>
      </c>
      <c r="N27" s="40">
        <f>'Mar2026-COLLECTION'!K28</f>
        <v>0</v>
      </c>
      <c r="O27" s="184">
        <f t="shared" si="0"/>
        <v>41031</v>
      </c>
      <c r="P27" s="46">
        <f>O27-Expense!O27</f>
        <v>-21576.000027028662</v>
      </c>
    </row>
    <row r="28" spans="1:16">
      <c r="A28" s="40">
        <f ca="1">IFERROR(__xludf.DUMMYFUNCTION("""COMPUTED_VALUE"""),26087)</f>
        <v>26087</v>
      </c>
      <c r="B28" s="169"/>
      <c r="D28" s="46">
        <f>'May2025-COLLECTION'!K29</f>
        <v>5803</v>
      </c>
      <c r="E28" s="46">
        <f>'June2025-COLLECTION'!K29</f>
        <v>14646</v>
      </c>
      <c r="F28" s="46">
        <f>'July2025-COLLECTION'!K29</f>
        <v>5083</v>
      </c>
      <c r="G28" s="46">
        <f>'Aug2025-COLLECTION'!K29</f>
        <v>6120</v>
      </c>
      <c r="H28" s="46">
        <f>'Sep2025-COLLECTION'!K29</f>
        <v>6119</v>
      </c>
      <c r="I28" s="46">
        <f>'Oct2025-COLLECTION'!K29</f>
        <v>4978</v>
      </c>
      <c r="J28" s="46">
        <f>'Nov2025-COLLECTION'!K29</f>
        <v>6114</v>
      </c>
      <c r="K28" s="46">
        <f>'Dec2025-COLLECTION'!K29</f>
        <v>7936</v>
      </c>
      <c r="L28" s="46">
        <f>'Jan2026-COLLECTION'!K29</f>
        <v>0</v>
      </c>
      <c r="M28" s="40">
        <f>'Feb2026-COLLECTION'!K29</f>
        <v>0</v>
      </c>
      <c r="N28" s="46">
        <f>'Mar2026-COLLECTION'!K29</f>
        <v>0</v>
      </c>
      <c r="O28" s="184">
        <f t="shared" si="0"/>
        <v>56799</v>
      </c>
      <c r="P28" s="46">
        <f>O28-Expense!O28</f>
        <v>-13466.303641314225</v>
      </c>
    </row>
    <row r="29" spans="1:16">
      <c r="A29" s="40">
        <f ca="1">IFERROR(__xludf.DUMMYFUNCTION("""COMPUTED_VALUE"""),0)</f>
        <v>0</v>
      </c>
      <c r="B29" s="169"/>
      <c r="D29" s="40">
        <f>'May2025-COLLECTION'!K30</f>
        <v>6379</v>
      </c>
      <c r="E29" s="40">
        <f>'June2025-COLLECTION'!K30</f>
        <v>0</v>
      </c>
      <c r="F29" s="40">
        <f>'July2025-COLLECTION'!K30</f>
        <v>13339</v>
      </c>
      <c r="G29" s="40">
        <f>'Aug2025-COLLECTION'!K30</f>
        <v>0</v>
      </c>
      <c r="H29" s="117">
        <f>'Sep2025-COLLECTION'!K30</f>
        <v>12208</v>
      </c>
      <c r="I29" s="40">
        <f>'Oct2025-COLLECTION'!K30</f>
        <v>0</v>
      </c>
      <c r="J29" s="40">
        <f>'Nov2025-COLLECTION'!K30</f>
        <v>0</v>
      </c>
      <c r="K29" s="40">
        <f>'Dec2025-COLLECTION'!K30</f>
        <v>0</v>
      </c>
      <c r="L29" s="40">
        <f>'Jan2026-COLLECTION'!K30</f>
        <v>22000</v>
      </c>
      <c r="M29" s="40">
        <f>'Feb2026-COLLECTION'!K30</f>
        <v>0</v>
      </c>
      <c r="N29" s="40">
        <f>'Mar2026-COLLECTION'!K30</f>
        <v>0</v>
      </c>
      <c r="O29" s="184">
        <f t="shared" si="0"/>
        <v>53926</v>
      </c>
      <c r="P29" s="46">
        <f>O29-Expense!O29</f>
        <v>-15113.118622663489</v>
      </c>
    </row>
    <row r="30" spans="1:16">
      <c r="A30" s="40">
        <f ca="1">IFERROR(__xludf.DUMMYFUNCTION("""COMPUTED_VALUE"""),0)</f>
        <v>0</v>
      </c>
      <c r="B30" s="169"/>
      <c r="D30" s="40">
        <f>'May2025-COLLECTION'!K31</f>
        <v>5734</v>
      </c>
      <c r="E30" s="40">
        <f>'June2025-COLLECTION'!K31</f>
        <v>5435</v>
      </c>
      <c r="F30" s="40">
        <f>'July2025-COLLECTION'!K31</f>
        <v>4969</v>
      </c>
      <c r="G30" s="40">
        <f>'Aug2025-COLLECTION'!K31</f>
        <v>5790</v>
      </c>
      <c r="H30" s="40">
        <f>'Sep2025-COLLECTION'!K31</f>
        <v>5790</v>
      </c>
      <c r="I30" s="46">
        <f>'Oct2025-COLLECTION'!K31</f>
        <v>5304</v>
      </c>
      <c r="J30" s="40">
        <f>'Nov2025-COLLECTION'!K31</f>
        <v>6231</v>
      </c>
      <c r="K30" s="40">
        <f>'Dec2025-COLLECTION'!K31</f>
        <v>7366.24</v>
      </c>
      <c r="L30" s="40">
        <f>'Jan2026-COLLECTION'!K31</f>
        <v>6004.73</v>
      </c>
      <c r="M30" s="40">
        <f>'Feb2026-COLLECTION'!K31</f>
        <v>5591</v>
      </c>
      <c r="N30" s="40">
        <f>'Mar2026-COLLECTION'!K31</f>
        <v>5193</v>
      </c>
      <c r="O30" s="184">
        <f t="shared" si="0"/>
        <v>63407.97</v>
      </c>
      <c r="P30" s="46">
        <f>O30-Expense!O30</f>
        <v>-7488.6294062694942</v>
      </c>
    </row>
    <row r="31" spans="1:16">
      <c r="A31" s="40">
        <f ca="1">IFERROR(__xludf.DUMMYFUNCTION("""COMPUTED_VALUE"""),103041)</f>
        <v>103041</v>
      </c>
      <c r="B31" s="169"/>
      <c r="D31" s="46">
        <f>'May2025-COLLECTION'!K32</f>
        <v>0</v>
      </c>
      <c r="E31" s="46">
        <f>'June2025-COLLECTION'!K32</f>
        <v>4568</v>
      </c>
      <c r="F31" s="46">
        <f>'July2025-COLLECTION'!K32</f>
        <v>0</v>
      </c>
      <c r="G31" s="46">
        <f>'Aug2025-COLLECTION'!K32</f>
        <v>5226</v>
      </c>
      <c r="H31" s="46">
        <f>'Sep2025-COLLECTION'!K32</f>
        <v>5226</v>
      </c>
      <c r="I31" s="46">
        <f>'Oct2025-COLLECTION'!K32</f>
        <v>0</v>
      </c>
      <c r="J31" s="46">
        <f>'Nov2025-COLLECTION'!K32</f>
        <v>11242</v>
      </c>
      <c r="K31" s="46">
        <f>'Dec2025-COLLECTION'!K32</f>
        <v>0</v>
      </c>
      <c r="L31" s="46">
        <f>'Jan2026-COLLECTION'!K32</f>
        <v>5582.17</v>
      </c>
      <c r="M31" s="46">
        <f>'Feb2026-COLLECTION'!K32</f>
        <v>5281</v>
      </c>
      <c r="N31" s="40">
        <f>'Mar2026-COLLECTION'!K32</f>
        <v>0</v>
      </c>
      <c r="O31" s="184">
        <f t="shared" si="0"/>
        <v>37125.17</v>
      </c>
      <c r="P31" s="46">
        <f>O31-Expense!O31</f>
        <v>-28621.526193221041</v>
      </c>
    </row>
    <row r="32" spans="1:16">
      <c r="A32" s="46">
        <f ca="1">IFERROR(__xludf.DUMMYFUNCTION("""COMPUTED_VALUE"""),28611.5179702707)</f>
        <v>28611.517970270699</v>
      </c>
      <c r="B32" s="169"/>
      <c r="D32" s="40">
        <f>'May2025-COLLECTION'!K33</f>
        <v>0</v>
      </c>
      <c r="E32" s="40">
        <f>'June2025-COLLECTION'!K33</f>
        <v>10158</v>
      </c>
      <c r="F32" s="40">
        <f>'July2025-COLLECTION'!K33</f>
        <v>4519.05</v>
      </c>
      <c r="G32" s="40">
        <f>'Aug2025-COLLECTION'!K33</f>
        <v>5297.38</v>
      </c>
      <c r="H32" s="40">
        <f>'Sep2025-COLLECTION'!K33</f>
        <v>7235</v>
      </c>
      <c r="I32" s="46">
        <f>'Oct2025-COLLECTION'!K33</f>
        <v>4944</v>
      </c>
      <c r="J32" s="40">
        <f>'Nov2025-COLLECTION'!K33</f>
        <v>6114</v>
      </c>
      <c r="K32" s="40">
        <f>'Dec2025-COLLECTION'!K33</f>
        <v>0</v>
      </c>
      <c r="L32" s="40">
        <f>'Jan2026-COLLECTION'!K33</f>
        <v>12119.66</v>
      </c>
      <c r="M32" s="40">
        <f>'Feb2026-COLLECTION'!K33</f>
        <v>5143</v>
      </c>
      <c r="N32" s="40">
        <f>'Mar2026-COLLECTION'!K33</f>
        <v>5166</v>
      </c>
      <c r="O32" s="184">
        <f t="shared" si="0"/>
        <v>60696.09</v>
      </c>
      <c r="P32" s="46">
        <f>O32-Expense!O32</f>
        <v>-3583.5754834215113</v>
      </c>
    </row>
    <row r="33" spans="1:16">
      <c r="A33" s="40"/>
      <c r="B33" s="169"/>
      <c r="D33" s="46">
        <f>'May2025-COLLECTION'!K34</f>
        <v>5286</v>
      </c>
      <c r="E33" s="46">
        <f>'June2025-COLLECTION'!K34</f>
        <v>4012</v>
      </c>
      <c r="F33" s="46">
        <f>'July2025-COLLECTION'!K34</f>
        <v>4365.17</v>
      </c>
      <c r="G33" s="46">
        <f>'Aug2025-COLLECTION'!K34</f>
        <v>5177</v>
      </c>
      <c r="H33" s="46">
        <f>'Sep2025-COLLECTION'!K34</f>
        <v>5581.91</v>
      </c>
      <c r="I33" s="46">
        <f>'Oct2025-COLLECTION'!K34</f>
        <v>4841.04</v>
      </c>
      <c r="J33" s="46">
        <f>'Nov2025-COLLECTION'!K34</f>
        <v>6114</v>
      </c>
      <c r="K33" s="46">
        <f>'Dec2025-COLLECTION'!K34</f>
        <v>7245.47</v>
      </c>
      <c r="L33" s="46">
        <f>'Jan2026-COLLECTION'!K34</f>
        <v>5192.32</v>
      </c>
      <c r="M33" s="46">
        <f>'Feb2026-COLLECTION'!K34</f>
        <v>4894</v>
      </c>
      <c r="N33" s="40">
        <f>'Mar2026-COLLECTION'!K34</f>
        <v>4573</v>
      </c>
      <c r="O33" s="184">
        <f t="shared" si="0"/>
        <v>57281.909999999996</v>
      </c>
      <c r="P33" s="46">
        <f>O33-Expense!O33</f>
        <v>-5076.975570159615</v>
      </c>
    </row>
    <row r="34" spans="1:16">
      <c r="A34" s="40"/>
      <c r="B34" s="169"/>
      <c r="D34" s="40">
        <f>'May2025-COLLECTION'!K35</f>
        <v>21099</v>
      </c>
      <c r="E34" s="46">
        <f>'June2025-COLLECTION'!K35</f>
        <v>77099</v>
      </c>
      <c r="F34" s="46">
        <f>'July2025-COLLECTION'!K35</f>
        <v>0</v>
      </c>
      <c r="G34" s="46">
        <f>'Aug2025-COLLECTION'!K35</f>
        <v>15859</v>
      </c>
      <c r="H34" s="46">
        <f>'Sep2025-COLLECTION'!K35</f>
        <v>0</v>
      </c>
      <c r="I34" s="46">
        <f>'Oct2025-COLLECTION'!K35</f>
        <v>0</v>
      </c>
      <c r="J34" s="46">
        <f>'Nov2025-COLLECTION'!K35</f>
        <v>0</v>
      </c>
      <c r="K34" s="46">
        <f>'Dec2025-COLLECTION'!K35</f>
        <v>0</v>
      </c>
      <c r="L34" s="46">
        <f>'Jan2026-COLLECTION'!K35</f>
        <v>6231</v>
      </c>
      <c r="M34" s="40">
        <f>'Feb2026-COLLECTION'!K35</f>
        <v>5809.25</v>
      </c>
      <c r="N34" s="46">
        <f>'Mar2026-COLLECTION'!K35</f>
        <v>5814</v>
      </c>
      <c r="O34" s="184">
        <f t="shared" si="0"/>
        <v>131911.25</v>
      </c>
      <c r="P34" s="46">
        <f>O34-Expense!O34</f>
        <v>41865.087712210618</v>
      </c>
    </row>
    <row r="35" spans="1:16">
      <c r="A35" s="40"/>
      <c r="B35" s="169"/>
      <c r="D35" s="40">
        <f>'May2025-COLLECTION'!K36</f>
        <v>5553</v>
      </c>
      <c r="E35" s="40">
        <f>'June2025-COLLECTION'!K36</f>
        <v>44238.54</v>
      </c>
      <c r="F35" s="40">
        <f>'July2025-COLLECTION'!K36</f>
        <v>4573</v>
      </c>
      <c r="G35" s="40">
        <f>'Aug2025-COLLECTION'!K36</f>
        <v>5457</v>
      </c>
      <c r="H35" s="40">
        <f>'Sep2025-COLLECTION'!K36</f>
        <v>5457</v>
      </c>
      <c r="I35" s="46">
        <f>'Oct2025-COLLECTION'!K36</f>
        <v>4997</v>
      </c>
      <c r="J35" s="40">
        <f>'Nov2025-COLLECTION'!K36</f>
        <v>6231</v>
      </c>
      <c r="K35" s="40">
        <f>'Dec2025-COLLECTION'!K36</f>
        <v>6845</v>
      </c>
      <c r="L35" s="40">
        <f>'Jan2026-COLLECTION'!K36</f>
        <v>5130</v>
      </c>
      <c r="M35" s="40">
        <f>'Feb2026-COLLECTION'!K36</f>
        <v>5298</v>
      </c>
      <c r="N35" s="40">
        <f>'Mar2026-COLLECTION'!K36</f>
        <v>0</v>
      </c>
      <c r="O35" s="184">
        <f t="shared" si="0"/>
        <v>93779.540000000008</v>
      </c>
      <c r="P35" s="46">
        <f>O35-Expense!O35</f>
        <v>29547.509737709115</v>
      </c>
    </row>
    <row r="36" spans="1:16">
      <c r="A36" s="40"/>
      <c r="B36" s="169"/>
      <c r="D36" s="46">
        <f>'May2025-COLLECTION'!K37</f>
        <v>6853</v>
      </c>
      <c r="E36" s="46">
        <f>'June2025-COLLECTION'!K37</f>
        <v>4897</v>
      </c>
      <c r="F36" s="46">
        <f>'July2025-COLLECTION'!K37</f>
        <v>4516</v>
      </c>
      <c r="G36" s="46">
        <f>'Aug2025-COLLECTION'!K37</f>
        <v>5290</v>
      </c>
      <c r="H36" s="46">
        <f>'Sep2025-COLLECTION'!K37</f>
        <v>5290</v>
      </c>
      <c r="I36" s="46">
        <f>'Oct2025-COLLECTION'!K37</f>
        <v>0</v>
      </c>
      <c r="J36" s="46">
        <f>'Nov2025-COLLECTION'!K37</f>
        <v>11751</v>
      </c>
      <c r="K36" s="46">
        <f>'Dec2025-COLLECTION'!K37</f>
        <v>0</v>
      </c>
      <c r="L36" s="46">
        <f>'Jan2026-COLLECTION'!K37</f>
        <v>0</v>
      </c>
      <c r="M36" s="46">
        <f>'Feb2026-COLLECTION'!K37</f>
        <v>0</v>
      </c>
      <c r="N36" s="40">
        <f>'Mar2026-COLLECTION'!K37</f>
        <v>5361</v>
      </c>
      <c r="O36" s="184">
        <f t="shared" si="0"/>
        <v>43958</v>
      </c>
      <c r="P36" s="46">
        <f>O36-Expense!O36</f>
        <v>-28363.748161596755</v>
      </c>
    </row>
    <row r="37" spans="1:16">
      <c r="A37" s="40">
        <f ca="1">IFERROR(__xludf.DUMMYFUNCTION("""COMPUTED_VALUE"""),6000)</f>
        <v>6000</v>
      </c>
      <c r="B37" s="169"/>
      <c r="D37" s="40">
        <f>'May2025-COLLECTION'!K38</f>
        <v>6314</v>
      </c>
      <c r="E37" s="40">
        <f>'June2025-COLLECTION'!K38</f>
        <v>0</v>
      </c>
      <c r="F37" s="40">
        <f>'July2025-COLLECTION'!K38</f>
        <v>0</v>
      </c>
      <c r="G37" s="40">
        <f>'Aug2025-COLLECTION'!K38</f>
        <v>5000</v>
      </c>
      <c r="H37" s="40">
        <f>'Sep2025-COLLECTION'!K38</f>
        <v>0</v>
      </c>
      <c r="I37" s="46">
        <f>'Oct2025-COLLECTION'!K38</f>
        <v>4935</v>
      </c>
      <c r="J37" s="40">
        <f>'Nov2025-COLLECTION'!K38</f>
        <v>0</v>
      </c>
      <c r="K37" s="40">
        <f>'Dec2025-COLLECTION'!K38</f>
        <v>6114</v>
      </c>
      <c r="L37" s="40">
        <f>'Jan2026-COLLECTION'!K38</f>
        <v>0</v>
      </c>
      <c r="M37" s="40">
        <f>'Feb2026-COLLECTION'!K38</f>
        <v>4892</v>
      </c>
      <c r="N37" s="40">
        <f>'Mar2026-COLLECTION'!K38</f>
        <v>4619</v>
      </c>
      <c r="O37" s="184">
        <f t="shared" si="0"/>
        <v>31874</v>
      </c>
      <c r="P37" s="46">
        <f>O37-Expense!O37</f>
        <v>-34060.529189590728</v>
      </c>
    </row>
    <row r="38" spans="1:16">
      <c r="A38" s="40">
        <f ca="1">IFERROR(__xludf.DUMMYFUNCTION("""COMPUTED_VALUE"""),6000)</f>
        <v>6000</v>
      </c>
      <c r="B38" s="169"/>
      <c r="D38" s="40">
        <f>'May2025-COLLECTION'!K39</f>
        <v>5320</v>
      </c>
      <c r="E38" s="40">
        <f>'June2025-COLLECTION'!K39</f>
        <v>0</v>
      </c>
      <c r="F38" s="40">
        <f>'July2025-COLLECTION'!K39</f>
        <v>0</v>
      </c>
      <c r="G38" s="40">
        <f>'Aug2025-COLLECTION'!K39</f>
        <v>0</v>
      </c>
      <c r="H38" s="40">
        <f>'Sep2025-COLLECTION'!K39</f>
        <v>15000</v>
      </c>
      <c r="I38" s="40">
        <f>'Oct2025-COLLECTION'!K39</f>
        <v>0</v>
      </c>
      <c r="J38" s="40">
        <f>'Nov2025-COLLECTION'!K39</f>
        <v>0</v>
      </c>
      <c r="K38" s="40">
        <f>'Dec2025-COLLECTION'!K39</f>
        <v>0</v>
      </c>
      <c r="L38" s="40">
        <f>'Jan2026-COLLECTION'!K39</f>
        <v>0</v>
      </c>
      <c r="M38" s="40">
        <f>'Feb2026-COLLECTION'!K39</f>
        <v>0</v>
      </c>
      <c r="N38" s="40">
        <f>'Mar2026-COLLECTION'!K39</f>
        <v>0</v>
      </c>
      <c r="O38" s="184">
        <f t="shared" si="0"/>
        <v>20320</v>
      </c>
      <c r="P38" s="46">
        <f>O38-Expense!O38</f>
        <v>-40782.055087147586</v>
      </c>
    </row>
    <row r="39" spans="1:16">
      <c r="A39" s="40">
        <f ca="1">IFERROR(__xludf.DUMMYFUNCTION("""COMPUTED_VALUE"""),6000)</f>
        <v>6000</v>
      </c>
      <c r="B39" s="169"/>
      <c r="D39" s="46">
        <f>'May2025-COLLECTION'!K40</f>
        <v>5402</v>
      </c>
      <c r="E39" s="46">
        <f>'June2025-COLLECTION'!K40</f>
        <v>4060</v>
      </c>
      <c r="F39" s="46">
        <f>'July2025-COLLECTION'!K40</f>
        <v>4378</v>
      </c>
      <c r="G39" s="46">
        <f>'Aug2025-COLLECTION'!K40</f>
        <v>5168</v>
      </c>
      <c r="H39" s="46">
        <f>'Sep2025-COLLECTION'!K40</f>
        <v>5168</v>
      </c>
      <c r="I39" s="46">
        <f>'Oct2025-COLLECTION'!K40</f>
        <v>4741</v>
      </c>
      <c r="J39" s="40">
        <f>'Nov2025-COLLECTION'!K40</f>
        <v>6114</v>
      </c>
      <c r="K39" s="46">
        <f>'Dec2025-COLLECTION'!K40</f>
        <v>6546</v>
      </c>
      <c r="L39" s="46">
        <f>'Jan2026-COLLECTION'!K40</f>
        <v>4800.13</v>
      </c>
      <c r="M39" s="46">
        <f>'Feb2026-COLLECTION'!K40</f>
        <v>5272</v>
      </c>
      <c r="N39" s="40">
        <f>'Mar2026-COLLECTION'!K40</f>
        <v>4875</v>
      </c>
      <c r="O39" s="184">
        <f t="shared" si="0"/>
        <v>56524.13</v>
      </c>
      <c r="P39" s="46">
        <f>O39-Expense!O39</f>
        <v>-5330.3734217019737</v>
      </c>
    </row>
    <row r="40" spans="1:16">
      <c r="A40" s="40">
        <f ca="1">IFERROR(__xludf.DUMMYFUNCTION("""COMPUTED_VALUE"""),6000)</f>
        <v>6000</v>
      </c>
      <c r="B40" s="169"/>
      <c r="D40" s="46">
        <f>'May2025-COLLECTION'!K41</f>
        <v>5431</v>
      </c>
      <c r="E40" s="46">
        <f>'June2025-COLLECTION'!K41</f>
        <v>4838</v>
      </c>
      <c r="F40" s="46">
        <f>'July2025-COLLECTION'!K41</f>
        <v>5922.86</v>
      </c>
      <c r="G40" s="46">
        <f>'Aug2025-COLLECTION'!K41</f>
        <v>6830.03</v>
      </c>
      <c r="H40" s="46">
        <f>'Sep2025-COLLECTION'!K41</f>
        <v>6981.26</v>
      </c>
      <c r="I40" s="46">
        <f>'Oct2025-COLLECTION'!K41</f>
        <v>5862.45</v>
      </c>
      <c r="J40" s="46">
        <f>'Nov2025-COLLECTION'!K41</f>
        <v>6114</v>
      </c>
      <c r="K40" s="46">
        <f>'Dec2025-COLLECTION'!K41</f>
        <v>7947.89</v>
      </c>
      <c r="L40" s="46">
        <f>'Jan2026-COLLECTION'!K41</f>
        <v>6131.54</v>
      </c>
      <c r="M40" s="46">
        <f>'Feb2026-COLLECTION'!K41</f>
        <v>0</v>
      </c>
      <c r="N40" s="40">
        <f>'Mar2026-COLLECTION'!K41</f>
        <v>11302</v>
      </c>
      <c r="O40" s="184">
        <f t="shared" si="0"/>
        <v>67361.03</v>
      </c>
      <c r="P40" s="46">
        <f>O40-Expense!O40</f>
        <v>-9022.6744377408031</v>
      </c>
    </row>
    <row r="41" spans="1:16">
      <c r="A41" s="40">
        <f ca="1">IFERROR(__xludf.DUMMYFUNCTION("""COMPUTED_VALUE"""),6000)</f>
        <v>6000</v>
      </c>
      <c r="B41" s="169"/>
      <c r="D41" s="46">
        <f>'May2025-COLLECTION'!K42</f>
        <v>11712</v>
      </c>
      <c r="E41" s="46">
        <f>'June2025-COLLECTION'!K42</f>
        <v>5025</v>
      </c>
      <c r="F41" s="46">
        <f>'July2025-COLLECTION'!K42</f>
        <v>5000</v>
      </c>
      <c r="G41" s="46">
        <f>'Aug2025-COLLECTION'!K42</f>
        <v>5500</v>
      </c>
      <c r="H41" s="46">
        <f>'Sep2025-COLLECTION'!K42</f>
        <v>6000</v>
      </c>
      <c r="I41" s="46">
        <f>'Oct2025-COLLECTION'!K42</f>
        <v>5205</v>
      </c>
      <c r="J41" s="46">
        <f>'Nov2025-COLLECTION'!K42</f>
        <v>6240</v>
      </c>
      <c r="K41" s="46">
        <f>'Dec2025-COLLECTION'!K42</f>
        <v>7602</v>
      </c>
      <c r="L41" s="46">
        <f>'Jan2026-COLLECTION'!K42</f>
        <v>5300</v>
      </c>
      <c r="M41" s="46">
        <f>'Feb2026-COLLECTION'!K42</f>
        <v>5520</v>
      </c>
      <c r="N41" s="40">
        <f>'Mar2026-COLLECTION'!K42</f>
        <v>5500</v>
      </c>
      <c r="O41" s="184">
        <f t="shared" si="0"/>
        <v>68604</v>
      </c>
      <c r="P41" s="46">
        <f>O41-Expense!O41</f>
        <v>-87.785176655743271</v>
      </c>
    </row>
    <row r="42" spans="1:16">
      <c r="A42" s="40">
        <f ca="1">IFERROR(__xludf.DUMMYFUNCTION("""COMPUTED_VALUE"""),6000)</f>
        <v>6000</v>
      </c>
      <c r="B42" s="169"/>
      <c r="D42" s="46">
        <f>'May2025-COLLECTION'!K43</f>
        <v>0</v>
      </c>
      <c r="E42" s="46">
        <f>'June2025-COLLECTION'!K43</f>
        <v>0</v>
      </c>
      <c r="F42" s="46">
        <f>'July2025-COLLECTION'!K43</f>
        <v>0</v>
      </c>
      <c r="G42" s="46">
        <f>'Aug2025-COLLECTION'!K43</f>
        <v>0</v>
      </c>
      <c r="H42" s="46">
        <f>'Sep2025-COLLECTION'!K43</f>
        <v>0</v>
      </c>
      <c r="I42" s="46">
        <f>'Oct2025-COLLECTION'!K43</f>
        <v>0</v>
      </c>
      <c r="J42" s="46">
        <f>'Nov2025-COLLECTION'!K43</f>
        <v>0</v>
      </c>
      <c r="K42" s="46">
        <f>'Dec2025-COLLECTION'!K43</f>
        <v>0</v>
      </c>
      <c r="L42" s="46">
        <f>'Jan2026-COLLECTION'!K43</f>
        <v>0</v>
      </c>
      <c r="M42" s="46">
        <f>'Feb2026-COLLECTION'!K43</f>
        <v>0</v>
      </c>
      <c r="N42" s="40">
        <f>'Mar2026-COLLECTION'!K43</f>
        <v>0</v>
      </c>
      <c r="O42" s="184">
        <f t="shared" si="0"/>
        <v>0</v>
      </c>
      <c r="P42" s="46">
        <f>O42-Expense!O42</f>
        <v>-60862.504287912656</v>
      </c>
    </row>
    <row r="43" spans="1:16">
      <c r="A43" s="46">
        <f ca="1">IFERROR(__xludf.DUMMYFUNCTION("""COMPUTED_VALUE"""),6000)</f>
        <v>6000</v>
      </c>
      <c r="B43" s="169"/>
      <c r="D43" s="40">
        <f>'May2025-COLLECTION'!K44</f>
        <v>5330</v>
      </c>
      <c r="E43" s="40">
        <f>'June2025-COLLECTION'!K44</f>
        <v>4348</v>
      </c>
      <c r="F43" s="40">
        <f>'July2025-COLLECTION'!K44</f>
        <v>5000</v>
      </c>
      <c r="G43" s="40">
        <f>'Aug2025-COLLECTION'!K44</f>
        <v>5000</v>
      </c>
      <c r="H43" s="40">
        <f>'Sep2025-COLLECTION'!K44</f>
        <v>37546</v>
      </c>
      <c r="I43" s="46">
        <f>'Oct2025-COLLECTION'!K44</f>
        <v>5151</v>
      </c>
      <c r="J43" s="40">
        <f>'Nov2025-COLLECTION'!K44</f>
        <v>6114</v>
      </c>
      <c r="K43" s="40">
        <f>'Dec2025-COLLECTION'!K44</f>
        <v>7274</v>
      </c>
      <c r="L43" s="40">
        <f>'Jan2026-COLLECTION'!K44</f>
        <v>5501</v>
      </c>
      <c r="M43" s="40">
        <f>'Feb2026-COLLECTION'!K44</f>
        <v>5070</v>
      </c>
      <c r="N43" s="40">
        <f>'Mar2026-COLLECTION'!K44</f>
        <v>5056</v>
      </c>
      <c r="O43" s="184">
        <f t="shared" si="0"/>
        <v>91390</v>
      </c>
      <c r="P43" s="46">
        <f>O43-Expense!O43</f>
        <v>24752.78037681448</v>
      </c>
    </row>
    <row r="44" spans="1:16">
      <c r="A44" s="40">
        <f ca="1">IFERROR(__xludf.DUMMYFUNCTION("""COMPUTED_VALUE"""),6000)</f>
        <v>6000</v>
      </c>
      <c r="B44" s="169"/>
      <c r="D44" s="46">
        <f>'May2025-COLLECTION'!K45</f>
        <v>0</v>
      </c>
      <c r="E44" s="46">
        <f>'June2025-COLLECTION'!K45</f>
        <v>11151</v>
      </c>
      <c r="F44" s="46">
        <f>'July2025-COLLECTION'!K45</f>
        <v>5119</v>
      </c>
      <c r="G44" s="46">
        <f>'Aug2025-COLLECTION'!K45</f>
        <v>5905</v>
      </c>
      <c r="H44" s="46">
        <f>'Sep2025-COLLECTION'!K45</f>
        <v>5905</v>
      </c>
      <c r="I44" s="46">
        <f>'Oct2025-COLLECTION'!K45</f>
        <v>0</v>
      </c>
      <c r="J44" s="46">
        <f>'Nov2025-COLLECTION'!K45</f>
        <v>11349</v>
      </c>
      <c r="K44" s="46">
        <f>'Dec2025-COLLECTION'!K45</f>
        <v>6798.85</v>
      </c>
      <c r="L44" s="46">
        <f>'Jan2026-COLLECTION'!K45</f>
        <v>5897.24</v>
      </c>
      <c r="M44" s="46">
        <f>'Feb2026-COLLECTION'!K45</f>
        <v>0</v>
      </c>
      <c r="N44" s="40">
        <f>'Mar2026-COLLECTION'!K45</f>
        <v>0</v>
      </c>
      <c r="O44" s="184">
        <f t="shared" si="0"/>
        <v>52125.09</v>
      </c>
      <c r="P44" s="46">
        <f>O44-Expense!O44</f>
        <v>-16571.558049287749</v>
      </c>
    </row>
    <row r="45" spans="1:16">
      <c r="A45" s="40">
        <f ca="1">IFERROR(__xludf.DUMMYFUNCTION("""COMPUTED_VALUE"""),6000)</f>
        <v>6000</v>
      </c>
      <c r="B45" s="169"/>
      <c r="D45" s="40">
        <f>'May2025-COLLECTION'!K46</f>
        <v>5665</v>
      </c>
      <c r="E45" s="40">
        <f>'June2025-COLLECTION'!K46</f>
        <v>4439</v>
      </c>
      <c r="F45" s="40">
        <f>'July2025-COLLECTION'!K46</f>
        <v>4778.53</v>
      </c>
      <c r="G45" s="40">
        <f>'Aug2025-COLLECTION'!K46</f>
        <v>0</v>
      </c>
      <c r="H45" s="40">
        <f>'Sep2025-COLLECTION'!K46</f>
        <v>11550.33</v>
      </c>
      <c r="I45" s="46">
        <f>'Oct2025-COLLECTION'!K46</f>
        <v>5067</v>
      </c>
      <c r="J45" s="40">
        <f>'Nov2025-COLLECTION'!K46</f>
        <v>0</v>
      </c>
      <c r="K45" s="40">
        <f>'Dec2025-COLLECTION'!K46</f>
        <v>13166.98</v>
      </c>
      <c r="L45" s="40">
        <f>'Jan2026-COLLECTION'!K46</f>
        <v>0</v>
      </c>
      <c r="M45" s="40">
        <f>'Feb2026-COLLECTION'!K46</f>
        <v>5025.21</v>
      </c>
      <c r="N45" s="40">
        <f>'Mar2026-COLLECTION'!K46</f>
        <v>9444</v>
      </c>
      <c r="O45" s="184">
        <f t="shared" si="0"/>
        <v>59136.049999999996</v>
      </c>
      <c r="P45" s="46">
        <f>O45-Expense!O45</f>
        <v>-5023.4835979536947</v>
      </c>
    </row>
    <row r="46" spans="1:16">
      <c r="A46" s="40">
        <f ca="1">IFERROR(__xludf.DUMMYFUNCTION("""COMPUTED_VALUE"""),6000)</f>
        <v>6000</v>
      </c>
      <c r="B46" s="169"/>
      <c r="D46" s="40">
        <f>'May2025-COLLECTION'!K47</f>
        <v>0</v>
      </c>
      <c r="E46" s="40">
        <f>'June2025-COLLECTION'!K47</f>
        <v>0</v>
      </c>
      <c r="F46" s="40">
        <f>'July2025-COLLECTION'!K47</f>
        <v>0</v>
      </c>
      <c r="G46" s="40">
        <f>'Aug2025-COLLECTION'!K47</f>
        <v>10000</v>
      </c>
      <c r="H46" s="40">
        <f>'Sep2025-COLLECTION'!K47</f>
        <v>0</v>
      </c>
      <c r="I46" s="40">
        <f>'Oct2025-COLLECTION'!K47</f>
        <v>17240</v>
      </c>
      <c r="J46" s="40">
        <f>'Nov2025-COLLECTION'!K47</f>
        <v>0</v>
      </c>
      <c r="K46" s="40">
        <f>'Dec2025-COLLECTION'!K47</f>
        <v>0</v>
      </c>
      <c r="L46" s="40">
        <f>'Jan2026-COLLECTION'!K47</f>
        <v>23264</v>
      </c>
      <c r="M46" s="40">
        <f>'Feb2026-COLLECTION'!K47</f>
        <v>0</v>
      </c>
      <c r="N46" s="40">
        <f>'Mar2026-COLLECTION'!K47</f>
        <v>0</v>
      </c>
      <c r="O46" s="184">
        <f t="shared" si="0"/>
        <v>50504</v>
      </c>
      <c r="P46" s="46">
        <f>O46-Expense!O46</f>
        <v>-14394.486315241797</v>
      </c>
    </row>
    <row r="47" spans="1:16">
      <c r="A47" s="46">
        <f ca="1">IFERROR(__xludf.DUMMYFUNCTION("""COMPUTED_VALUE"""),6000)</f>
        <v>6000</v>
      </c>
      <c r="B47" s="169"/>
      <c r="D47" s="46">
        <f>'May2025-COLLECTION'!K48</f>
        <v>7056</v>
      </c>
      <c r="E47" s="46">
        <f>'June2025-COLLECTION'!K48</f>
        <v>0</v>
      </c>
      <c r="F47" s="46">
        <f>'July2025-COLLECTION'!K48</f>
        <v>9919</v>
      </c>
      <c r="G47" s="46">
        <f>'Aug2025-COLLECTION'!K48</f>
        <v>6502</v>
      </c>
      <c r="H47" s="46">
        <f>'Sep2025-COLLECTION'!K48</f>
        <v>6788</v>
      </c>
      <c r="I47" s="46">
        <f>'Oct2025-COLLECTION'!K48</f>
        <v>6032</v>
      </c>
      <c r="J47" s="40">
        <f>'Nov2025-COLLECTION'!K48</f>
        <v>0</v>
      </c>
      <c r="K47" s="46">
        <f>'Dec2025-COLLECTION'!K48</f>
        <v>6231</v>
      </c>
      <c r="L47" s="46">
        <f>'Jan2026-COLLECTION'!K48</f>
        <v>6329</v>
      </c>
      <c r="M47" s="40">
        <f>'Feb2026-COLLECTION'!K48</f>
        <v>0</v>
      </c>
      <c r="N47" s="46">
        <f>'Mar2026-COLLECTION'!K48</f>
        <v>5919</v>
      </c>
      <c r="O47" s="184">
        <f t="shared" si="0"/>
        <v>54776</v>
      </c>
      <c r="P47" s="46">
        <f>O47-Expense!O47</f>
        <v>-22238.054557790572</v>
      </c>
    </row>
    <row r="48" spans="1:16">
      <c r="A48" s="40">
        <f ca="1">IFERROR(__xludf.DUMMYFUNCTION("""COMPUTED_VALUE"""),66000)</f>
        <v>66000</v>
      </c>
      <c r="B48" s="169"/>
      <c r="D48" s="40">
        <f>'May2025-COLLECTION'!K49</f>
        <v>5800</v>
      </c>
      <c r="E48" s="40">
        <f>'June2025-COLLECTION'!K49</f>
        <v>4372</v>
      </c>
      <c r="F48" s="40">
        <f>'July2025-COLLECTION'!K49</f>
        <v>4475</v>
      </c>
      <c r="G48" s="40">
        <f>'Aug2025-COLLECTION'!K49</f>
        <v>5525</v>
      </c>
      <c r="H48" s="40">
        <f>'Sep2025-COLLECTION'!K49</f>
        <v>5931</v>
      </c>
      <c r="I48" s="46">
        <f>'Oct2025-COLLECTION'!K49</f>
        <v>5084</v>
      </c>
      <c r="J48" s="40">
        <f>'Nov2025-COLLECTION'!K49</f>
        <v>6114</v>
      </c>
      <c r="K48" s="40">
        <f>'Dec2025-COLLECTION'!K49</f>
        <v>7026</v>
      </c>
      <c r="L48" s="40">
        <f>'Jan2026-COLLECTION'!K49</f>
        <v>5400</v>
      </c>
      <c r="M48" s="40">
        <f>'Feb2026-COLLECTION'!K49</f>
        <v>5100</v>
      </c>
      <c r="N48" s="40">
        <f>'Mar2026-COLLECTION'!K49</f>
        <v>4792</v>
      </c>
      <c r="O48" s="184">
        <f t="shared" si="0"/>
        <v>59619</v>
      </c>
      <c r="P48" s="46">
        <f>O48-Expense!O48</f>
        <v>-5272.2193285148387</v>
      </c>
    </row>
    <row r="49" spans="1:16">
      <c r="A49" s="46">
        <f ca="1">IFERROR(__xludf.DUMMYFUNCTION("""COMPUTED_VALUE"""),-18954.2588210155)</f>
        <v>-18954.258821015501</v>
      </c>
      <c r="B49" s="169"/>
      <c r="D49" s="40">
        <f>'May2025-COLLECTION'!K50</f>
        <v>6823</v>
      </c>
      <c r="E49" s="40">
        <f>'June2025-COLLECTION'!K50</f>
        <v>5591</v>
      </c>
      <c r="F49" s="40">
        <f>'July2025-COLLECTION'!K50</f>
        <v>5410</v>
      </c>
      <c r="G49" s="40">
        <f>'Aug2025-COLLECTION'!K50</f>
        <v>6420</v>
      </c>
      <c r="H49" s="40">
        <f>'Sep2025-COLLECTION'!K50</f>
        <v>6417</v>
      </c>
      <c r="I49" s="46">
        <f>'Oct2025-COLLECTION'!K50</f>
        <v>6026</v>
      </c>
      <c r="J49" s="40">
        <f>'Nov2025-COLLECTION'!K50</f>
        <v>6114</v>
      </c>
      <c r="K49" s="40">
        <f>'Dec2025-COLLECTION'!K50</f>
        <v>7786</v>
      </c>
      <c r="L49" s="40">
        <f>'Jan2026-COLLECTION'!K50</f>
        <v>6280</v>
      </c>
      <c r="M49" s="40">
        <f>'Feb2026-COLLECTION'!K50</f>
        <v>6050</v>
      </c>
      <c r="N49" s="40">
        <f>'Mar2026-COLLECTION'!K50</f>
        <v>5933</v>
      </c>
      <c r="O49" s="184">
        <f t="shared" si="0"/>
        <v>68850</v>
      </c>
      <c r="P49" s="46">
        <f>O49-Expense!O49</f>
        <v>-7754.277729935653</v>
      </c>
    </row>
    <row r="50" spans="1:16">
      <c r="A50" s="40"/>
      <c r="B50" s="169"/>
      <c r="D50" s="46">
        <f>'May2025-COLLECTION'!K51</f>
        <v>0</v>
      </c>
      <c r="E50" s="46">
        <f>'June2025-COLLECTION'!K51</f>
        <v>69469</v>
      </c>
      <c r="F50" s="46">
        <f>'July2025-COLLECTION'!K51</f>
        <v>0</v>
      </c>
      <c r="G50" s="46">
        <f>'Aug2025-COLLECTION'!K51</f>
        <v>18827</v>
      </c>
      <c r="H50" s="46">
        <f>'Sep2025-COLLECTION'!K51</f>
        <v>0</v>
      </c>
      <c r="I50" s="46">
        <f>'Oct2025-COLLECTION'!K51</f>
        <v>5775</v>
      </c>
      <c r="J50" s="40">
        <f>'Nov2025-COLLECTION'!K51</f>
        <v>0</v>
      </c>
      <c r="K50" s="46">
        <f>'Dec2025-COLLECTION'!K51</f>
        <v>6231</v>
      </c>
      <c r="L50" s="46">
        <f>'Jan2026-COLLECTION'!K51</f>
        <v>0</v>
      </c>
      <c r="M50" s="46">
        <f>'Feb2026-COLLECTION'!K51</f>
        <v>0</v>
      </c>
      <c r="N50" s="40">
        <f>'Mar2026-COLLECTION'!K51</f>
        <v>0</v>
      </c>
      <c r="O50" s="184">
        <f t="shared" si="0"/>
        <v>100302</v>
      </c>
      <c r="P50" s="46">
        <f>O50-Expense!O50</f>
        <v>23851.222192147601</v>
      </c>
    </row>
    <row r="51" spans="1:16">
      <c r="A51" s="40"/>
      <c r="B51" s="169"/>
      <c r="D51" s="46">
        <f>'May2025-COLLECTION'!K52</f>
        <v>11928</v>
      </c>
      <c r="E51" s="46">
        <f>'June2025-COLLECTION'!K52</f>
        <v>4905</v>
      </c>
      <c r="F51" s="46">
        <f>'July2025-COLLECTION'!K52</f>
        <v>4860</v>
      </c>
      <c r="G51" s="46">
        <f>'Aug2025-COLLECTION'!K52</f>
        <v>6114.88</v>
      </c>
      <c r="H51" s="46">
        <f>'Sep2025-COLLECTION'!K52</f>
        <v>6343</v>
      </c>
      <c r="I51" s="46">
        <f>'Oct2025-COLLECTION'!K52</f>
        <v>5605</v>
      </c>
      <c r="J51" s="40">
        <f>'Nov2025-COLLECTION'!K52</f>
        <v>6231</v>
      </c>
      <c r="K51" s="46">
        <f>'Dec2025-COLLECTION'!K52</f>
        <v>6851</v>
      </c>
      <c r="L51" s="46">
        <f>'Jan2026-COLLECTION'!K52</f>
        <v>5317.69</v>
      </c>
      <c r="M51" s="46">
        <f>'Feb2026-COLLECTION'!K52</f>
        <v>5427</v>
      </c>
      <c r="N51" s="40">
        <f>'Mar2026-COLLECTION'!K52</f>
        <v>5276</v>
      </c>
      <c r="O51" s="184">
        <f t="shared" si="0"/>
        <v>68858.570000000007</v>
      </c>
      <c r="P51" s="46">
        <f>O51-Expense!O51</f>
        <v>-416.11582913946768</v>
      </c>
    </row>
    <row r="52" spans="1:16">
      <c r="A52" s="40"/>
      <c r="B52" s="169"/>
      <c r="D52" s="46">
        <f>'May2025-COLLECTION'!K53</f>
        <v>0</v>
      </c>
      <c r="E52" s="46">
        <f>'June2025-COLLECTION'!K53</f>
        <v>5529</v>
      </c>
      <c r="F52" s="46">
        <f>'July2025-COLLECTION'!K53</f>
        <v>0</v>
      </c>
      <c r="G52" s="46">
        <f>'Aug2025-COLLECTION'!K53</f>
        <v>11187</v>
      </c>
      <c r="H52" s="46">
        <f>'Sep2025-COLLECTION'!K53</f>
        <v>0</v>
      </c>
      <c r="I52" s="46">
        <f>'Oct2025-COLLECTION'!K53</f>
        <v>0</v>
      </c>
      <c r="J52" s="46">
        <f>'Nov2025-COLLECTION'!K53</f>
        <v>0</v>
      </c>
      <c r="K52" s="46">
        <f>'Dec2025-COLLECTION'!K53</f>
        <v>6231</v>
      </c>
      <c r="L52" s="46">
        <f>'Jan2026-COLLECTION'!K53</f>
        <v>0</v>
      </c>
      <c r="M52" s="46">
        <f>'Feb2026-COLLECTION'!K53</f>
        <v>0</v>
      </c>
      <c r="N52" s="40">
        <f>'Mar2026-COLLECTION'!K53</f>
        <v>0</v>
      </c>
      <c r="O52" s="184">
        <f t="shared" si="0"/>
        <v>22947</v>
      </c>
      <c r="P52" s="46">
        <f>O52-Expense!O52</f>
        <v>-46150.195877806924</v>
      </c>
    </row>
    <row r="53" spans="1:16">
      <c r="A53" s="40"/>
      <c r="B53" s="169"/>
      <c r="D53" s="40">
        <f>'May2025-COLLECTION'!K54</f>
        <v>5941</v>
      </c>
      <c r="E53" s="40">
        <f>'June2025-COLLECTION'!K54</f>
        <v>0</v>
      </c>
      <c r="F53" s="40">
        <f>'July2025-COLLECTION'!K54</f>
        <v>0</v>
      </c>
      <c r="G53" s="40">
        <f>'Aug2025-COLLECTION'!K54</f>
        <v>4459</v>
      </c>
      <c r="H53" s="40">
        <f>'Sep2025-COLLECTION'!K54</f>
        <v>0</v>
      </c>
      <c r="I53" s="46">
        <f>'Oct2025-COLLECTION'!K54</f>
        <v>4776</v>
      </c>
      <c r="J53" s="40">
        <f>'Nov2025-COLLECTION'!K54</f>
        <v>0</v>
      </c>
      <c r="K53" s="40">
        <f>'Dec2025-COLLECTION'!K54</f>
        <v>6928</v>
      </c>
      <c r="L53" s="40">
        <f>'Jan2026-COLLECTION'!K54</f>
        <v>0</v>
      </c>
      <c r="M53" s="40">
        <f>'Feb2026-COLLECTION'!K54</f>
        <v>4920</v>
      </c>
      <c r="N53" s="40">
        <f>'Mar2026-COLLECTION'!K54</f>
        <v>4511</v>
      </c>
      <c r="O53" s="184">
        <f t="shared" si="0"/>
        <v>31535</v>
      </c>
      <c r="P53" s="46">
        <f>O53-Expense!O53</f>
        <v>-31322.006199165728</v>
      </c>
    </row>
    <row r="54" spans="1:16">
      <c r="A54" s="46">
        <f ca="1">IFERROR(__xludf.DUMMYFUNCTION("""COMPUTED_VALUE"""),5710)</f>
        <v>5710</v>
      </c>
      <c r="B54" s="169"/>
      <c r="D54" s="46">
        <f>'May2025-COLLECTION'!K55</f>
        <v>6739</v>
      </c>
      <c r="E54" s="46">
        <f>'June2025-COLLECTION'!K55</f>
        <v>0</v>
      </c>
      <c r="F54" s="46">
        <f>'July2025-COLLECTION'!K55</f>
        <v>0</v>
      </c>
      <c r="G54" s="46">
        <f>'Aug2025-COLLECTION'!K55</f>
        <v>11818</v>
      </c>
      <c r="H54" s="46">
        <f>'Sep2025-COLLECTION'!K55</f>
        <v>0</v>
      </c>
      <c r="I54" s="46">
        <f>'Oct2025-COLLECTION'!K55</f>
        <v>6296</v>
      </c>
      <c r="J54" s="46">
        <f>'Nov2025-COLLECTION'!K55</f>
        <v>5634</v>
      </c>
      <c r="K54" s="46">
        <f>'Dec2025-COLLECTION'!K55</f>
        <v>13828.61</v>
      </c>
      <c r="L54" s="46">
        <f>'Jan2026-COLLECTION'!K55</f>
        <v>0</v>
      </c>
      <c r="M54" s="46">
        <f>'Feb2026-COLLECTION'!K55</f>
        <v>0</v>
      </c>
      <c r="N54" s="40">
        <f>'Mar2026-COLLECTION'!K55</f>
        <v>0</v>
      </c>
      <c r="O54" s="184">
        <f t="shared" si="0"/>
        <v>44315.61</v>
      </c>
      <c r="P54" s="46">
        <f>O54-Expense!O54</f>
        <v>-30362.373550838864</v>
      </c>
    </row>
    <row r="55" spans="1:16">
      <c r="A55" s="46">
        <f ca="1">IFERROR(__xludf.DUMMYFUNCTION("""COMPUTED_VALUE"""),4434)</f>
        <v>4434</v>
      </c>
      <c r="B55" s="169"/>
      <c r="D55" s="40">
        <f>'May2025-COLLECTION'!K56</f>
        <v>0</v>
      </c>
      <c r="E55" s="40">
        <f>'June2025-COLLECTION'!K56</f>
        <v>4076</v>
      </c>
      <c r="F55" s="40">
        <f>'July2025-COLLECTION'!K56</f>
        <v>4403.5</v>
      </c>
      <c r="G55" s="40">
        <f>'Aug2025-COLLECTION'!K56</f>
        <v>1794</v>
      </c>
      <c r="H55" s="40">
        <f>'Sep2025-COLLECTION'!K56</f>
        <v>5777.61</v>
      </c>
      <c r="I55" s="40">
        <f>'Oct2025-COLLECTION'!K56</f>
        <v>0</v>
      </c>
      <c r="J55" s="40">
        <f>'Nov2025-COLLECTION'!K56</f>
        <v>6114</v>
      </c>
      <c r="K55" s="40">
        <f>'Dec2025-COLLECTION'!K56</f>
        <v>6643.62</v>
      </c>
      <c r="L55" s="40">
        <f>'Jan2026-COLLECTION'!K56</f>
        <v>4889.6000000000004</v>
      </c>
      <c r="M55" s="40">
        <f>'Feb2026-COLLECTION'!K56</f>
        <v>5312</v>
      </c>
      <c r="N55" s="40">
        <f>'Mar2026-COLLECTION'!K56</f>
        <v>4499</v>
      </c>
      <c r="O55" s="184">
        <f t="shared" si="0"/>
        <v>43509.33</v>
      </c>
      <c r="P55" s="46">
        <f>O55-Expense!O55</f>
        <v>-18487.043222335458</v>
      </c>
    </row>
    <row r="56" spans="1:16">
      <c r="A56" s="46">
        <f ca="1">IFERROR(__xludf.DUMMYFUNCTION("""COMPUTED_VALUE"""),0)</f>
        <v>0</v>
      </c>
      <c r="B56" s="169"/>
      <c r="D56" s="46">
        <f>'May2025-COLLECTION'!K57</f>
        <v>6007</v>
      </c>
      <c r="E56" s="46">
        <f>'June2025-COLLECTION'!K57</f>
        <v>4778</v>
      </c>
      <c r="F56" s="46">
        <f>'July2025-COLLECTION'!K57</f>
        <v>4529</v>
      </c>
      <c r="G56" s="46">
        <f>'Aug2025-COLLECTION'!K57</f>
        <v>5200</v>
      </c>
      <c r="H56" s="46">
        <f>'Sep2025-COLLECTION'!K57</f>
        <v>0</v>
      </c>
      <c r="I56" s="46">
        <f>'Oct2025-COLLECTION'!K57</f>
        <v>4881</v>
      </c>
      <c r="J56" s="40">
        <f>'Nov2025-COLLECTION'!K57</f>
        <v>6114</v>
      </c>
      <c r="K56" s="46">
        <f>'Dec2025-COLLECTION'!K57</f>
        <v>0</v>
      </c>
      <c r="L56" s="46">
        <f>'Jan2026-COLLECTION'!K57</f>
        <v>4800.42</v>
      </c>
      <c r="M56" s="46">
        <f>'Feb2026-COLLECTION'!K57</f>
        <v>0</v>
      </c>
      <c r="N56" s="40">
        <f>'Mar2026-COLLECTION'!K57</f>
        <v>10081</v>
      </c>
      <c r="O56" s="184">
        <f t="shared" si="0"/>
        <v>46390.42</v>
      </c>
      <c r="P56" s="46">
        <f>O56-Expense!O56</f>
        <v>-17304.731685420513</v>
      </c>
    </row>
    <row r="57" spans="1:16">
      <c r="A57" s="46">
        <f ca="1">IFERROR(__xludf.DUMMYFUNCTION("""COMPUTED_VALUE"""),5554)</f>
        <v>5554</v>
      </c>
      <c r="B57" s="169"/>
      <c r="D57" s="40">
        <f>'May2025-COLLECTION'!K58</f>
        <v>5977</v>
      </c>
      <c r="E57" s="40">
        <f>'June2025-COLLECTION'!K58</f>
        <v>5426</v>
      </c>
      <c r="F57" s="40">
        <f>'July2025-COLLECTION'!K58</f>
        <v>5329</v>
      </c>
      <c r="G57" s="40">
        <f>'Aug2025-COLLECTION'!K58</f>
        <v>5840</v>
      </c>
      <c r="H57" s="40">
        <f>'Sep2025-COLLECTION'!K58</f>
        <v>5840</v>
      </c>
      <c r="I57" s="46">
        <f>'Oct2025-COLLECTION'!K58</f>
        <v>5245</v>
      </c>
      <c r="J57" s="40">
        <f>'Nov2025-COLLECTION'!K58</f>
        <v>6231</v>
      </c>
      <c r="K57" s="40">
        <f>'Dec2025-COLLECTION'!K58</f>
        <v>7087.29</v>
      </c>
      <c r="L57" s="40">
        <f>'Jan2026-COLLECTION'!K58</f>
        <v>5455.4</v>
      </c>
      <c r="M57" s="40">
        <f>'Feb2026-COLLECTION'!K58</f>
        <v>5508</v>
      </c>
      <c r="N57" s="40">
        <f>'Mar2026-COLLECTION'!K58</f>
        <v>4658</v>
      </c>
      <c r="O57" s="184">
        <f t="shared" si="0"/>
        <v>62596.69</v>
      </c>
      <c r="P57" s="46">
        <f>O57-Expense!O57</f>
        <v>-5537.3847098624392</v>
      </c>
    </row>
    <row r="58" spans="1:16">
      <c r="A58" s="46">
        <f ca="1">IFERROR(__xludf.DUMMYFUNCTION("""COMPUTED_VALUE"""),5554)</f>
        <v>5554</v>
      </c>
      <c r="B58" s="169"/>
      <c r="D58" s="46">
        <f>'May2025-COLLECTION'!K59</f>
        <v>6577</v>
      </c>
      <c r="E58" s="46">
        <f>'June2025-COLLECTION'!K59</f>
        <v>4959</v>
      </c>
      <c r="F58" s="46">
        <f>'July2025-COLLECTION'!K59</f>
        <v>5281</v>
      </c>
      <c r="G58" s="46">
        <f>'Aug2025-COLLECTION'!K59</f>
        <v>5886</v>
      </c>
      <c r="H58" s="46">
        <f>'Sep2025-COLLECTION'!K59</f>
        <v>9000</v>
      </c>
      <c r="I58" s="46">
        <f>'Oct2025-COLLECTION'!K59</f>
        <v>5796</v>
      </c>
      <c r="J58" s="46">
        <f>'Nov2025-COLLECTION'!K59</f>
        <v>6864</v>
      </c>
      <c r="K58" s="46">
        <f>'Dec2025-COLLECTION'!K59</f>
        <v>7323</v>
      </c>
      <c r="L58" s="46">
        <f>'Jan2026-COLLECTION'!K59</f>
        <v>0</v>
      </c>
      <c r="M58" s="46">
        <f>'Feb2026-COLLECTION'!K59</f>
        <v>0</v>
      </c>
      <c r="N58" s="40">
        <f>'Mar2026-COLLECTION'!K59</f>
        <v>12354</v>
      </c>
      <c r="O58" s="184">
        <f t="shared" si="0"/>
        <v>64040</v>
      </c>
      <c r="P58" s="46">
        <f>O58-Expense!O58</f>
        <v>-9449.2265876812307</v>
      </c>
    </row>
    <row r="59" spans="1:16">
      <c r="A59" s="46">
        <f ca="1">IFERROR(__xludf.DUMMYFUNCTION("""COMPUTED_VALUE"""),5148)</f>
        <v>5148</v>
      </c>
      <c r="B59" s="169"/>
      <c r="D59" s="46">
        <f>'May2025-COLLECTION'!K60</f>
        <v>0</v>
      </c>
      <c r="E59" s="46">
        <f>'June2025-COLLECTION'!K60</f>
        <v>10528</v>
      </c>
      <c r="F59" s="46">
        <f>'July2025-COLLECTION'!K60</f>
        <v>4585</v>
      </c>
      <c r="G59" s="46">
        <f>'Aug2025-COLLECTION'!K60</f>
        <v>5351</v>
      </c>
      <c r="H59" s="46">
        <f>'Sep2025-COLLECTION'!K60</f>
        <v>0</v>
      </c>
      <c r="I59" s="46">
        <f>'Oct2025-COLLECTION'!K60</f>
        <v>5176</v>
      </c>
      <c r="J59" s="46">
        <f>'Nov2025-COLLECTION'!K60</f>
        <v>4834</v>
      </c>
      <c r="K59" s="46">
        <f>'Dec2025-COLLECTION'!K60</f>
        <v>13174.119999999999</v>
      </c>
      <c r="L59" s="46">
        <f>'Jan2026-COLLECTION'!K60</f>
        <v>0</v>
      </c>
      <c r="M59" s="46">
        <f>'Feb2026-COLLECTION'!K60</f>
        <v>0</v>
      </c>
      <c r="N59" s="40">
        <f>'Mar2026-COLLECTION'!K60</f>
        <v>5163</v>
      </c>
      <c r="O59" s="184">
        <f t="shared" si="0"/>
        <v>48811.119999999995</v>
      </c>
      <c r="P59" s="46">
        <f>O59-Expense!O59</f>
        <v>-15596.864466679595</v>
      </c>
    </row>
    <row r="60" spans="1:16">
      <c r="A60" s="46">
        <f ca="1">IFERROR(__xludf.DUMMYFUNCTION("""COMPUTED_VALUE"""),6231)</f>
        <v>6231</v>
      </c>
      <c r="B60" s="169"/>
      <c r="D60" s="46">
        <f>'May2025-COLLECTION'!K61</f>
        <v>6103</v>
      </c>
      <c r="E60" s="46">
        <f>'June2025-COLLECTION'!K61</f>
        <v>4195</v>
      </c>
      <c r="F60" s="46">
        <f>'July2025-COLLECTION'!K61</f>
        <v>4410.3999999999996</v>
      </c>
      <c r="G60" s="46">
        <f>'Aug2025-COLLECTION'!K61</f>
        <v>5218.7</v>
      </c>
      <c r="H60" s="46">
        <f>'Sep2025-COLLECTION'!K61</f>
        <v>5695.22</v>
      </c>
      <c r="I60" s="46">
        <f>'Oct2025-COLLECTION'!K61</f>
        <v>4826.82</v>
      </c>
      <c r="J60" s="46">
        <f>'Nov2025-COLLECTION'!K61</f>
        <v>6114</v>
      </c>
      <c r="K60" s="46">
        <f>'Dec2025-COLLECTION'!K61</f>
        <v>6980.33</v>
      </c>
      <c r="L60" s="46">
        <f>'Jan2026-COLLECTION'!K61</f>
        <v>4977.41</v>
      </c>
      <c r="M60" s="46">
        <f>'Feb2026-COLLECTION'!K61</f>
        <v>4982</v>
      </c>
      <c r="N60" s="40">
        <f>'Mar2026-COLLECTION'!K61</f>
        <v>4604</v>
      </c>
      <c r="O60" s="184">
        <f t="shared" si="0"/>
        <v>58106.880000000005</v>
      </c>
      <c r="P60" s="46">
        <f>O60-Expense!O60</f>
        <v>-4258.671059176093</v>
      </c>
    </row>
    <row r="61" spans="1:16">
      <c r="A61" s="46">
        <f ca="1">IFERROR(__xludf.DUMMYFUNCTION("""COMPUTED_VALUE"""),7064)</f>
        <v>7064</v>
      </c>
      <c r="B61" s="169"/>
      <c r="D61" s="46">
        <f>'May2025-COLLECTION'!K62</f>
        <v>12000</v>
      </c>
      <c r="E61" s="40">
        <f>'June2025-COLLECTION'!K62</f>
        <v>0</v>
      </c>
      <c r="F61" s="40">
        <f>'July2025-COLLECTION'!K62</f>
        <v>12000</v>
      </c>
      <c r="G61" s="40">
        <f>'Aug2025-COLLECTION'!K62</f>
        <v>0</v>
      </c>
      <c r="H61" s="40">
        <f>'Sep2025-COLLECTION'!K62</f>
        <v>12000</v>
      </c>
      <c r="I61" s="40">
        <f>'Oct2025-COLLECTION'!K62</f>
        <v>12000</v>
      </c>
      <c r="J61" s="46">
        <f>'Nov2025-COLLECTION'!K62</f>
        <v>12000</v>
      </c>
      <c r="K61" s="40">
        <f>'Dec2025-COLLECTION'!K62</f>
        <v>0</v>
      </c>
      <c r="L61" s="40">
        <f>'Jan2026-COLLECTION'!K62</f>
        <v>12000</v>
      </c>
      <c r="M61" s="40">
        <f>'Feb2026-COLLECTION'!K62</f>
        <v>12000</v>
      </c>
      <c r="N61" s="40">
        <f>'Mar2026-COLLECTION'!K62</f>
        <v>0</v>
      </c>
      <c r="O61" s="184">
        <f t="shared" si="0"/>
        <v>84000</v>
      </c>
      <c r="P61" s="46">
        <f>O61-Expense!O61</f>
        <v>17358.059115016105</v>
      </c>
    </row>
    <row r="62" spans="1:16">
      <c r="A62" s="46">
        <f ca="1">IFERROR(__xludf.DUMMYFUNCTION("""COMPUTED_VALUE"""),5264)</f>
        <v>5264</v>
      </c>
      <c r="B62" s="169"/>
      <c r="D62" s="46">
        <f>'May2025-COLLECTION'!K63</f>
        <v>11709</v>
      </c>
      <c r="E62" s="46">
        <f>'June2025-COLLECTION'!K63</f>
        <v>5262</v>
      </c>
      <c r="F62" s="46">
        <f>'July2025-COLLECTION'!K63</f>
        <v>4875</v>
      </c>
      <c r="G62" s="46">
        <f>'Aug2025-COLLECTION'!K63</f>
        <v>5514</v>
      </c>
      <c r="H62" s="46">
        <f>'Sep2025-COLLECTION'!K63</f>
        <v>0</v>
      </c>
      <c r="I62" s="46">
        <f>'Oct2025-COLLECTION'!K63</f>
        <v>5237</v>
      </c>
      <c r="J62" s="46">
        <f>'Nov2025-COLLECTION'!K63</f>
        <v>6231</v>
      </c>
      <c r="K62" s="46">
        <f>'Dec2025-COLLECTION'!K63</f>
        <v>7045</v>
      </c>
      <c r="L62" s="46">
        <f>'Jan2026-COLLECTION'!K63</f>
        <v>5556</v>
      </c>
      <c r="M62" s="46">
        <f>'Feb2026-COLLECTION'!K63</f>
        <v>1489</v>
      </c>
      <c r="N62" s="40">
        <f>'Mar2026-COLLECTION'!K63</f>
        <v>3631</v>
      </c>
      <c r="O62" s="184">
        <f t="shared" si="0"/>
        <v>56549</v>
      </c>
      <c r="P62" s="46">
        <f>O62-Expense!O62</f>
        <v>-10541.901860822443</v>
      </c>
    </row>
    <row r="63" spans="1:16">
      <c r="A63" s="46">
        <f ca="1">IFERROR(__xludf.DUMMYFUNCTION("""COMPUTED_VALUE"""),5176)</f>
        <v>5176</v>
      </c>
      <c r="B63" s="169"/>
      <c r="D63" s="46">
        <f>'May2025-COLLECTION'!K64</f>
        <v>6247</v>
      </c>
      <c r="E63" s="46">
        <f>'June2025-COLLECTION'!K64</f>
        <v>0</v>
      </c>
      <c r="F63" s="46">
        <f>'July2025-COLLECTION'!K64</f>
        <v>5152</v>
      </c>
      <c r="G63" s="46">
        <f>'Aug2025-COLLECTION'!K64</f>
        <v>6161</v>
      </c>
      <c r="H63" s="46">
        <f>'Sep2025-COLLECTION'!K64</f>
        <v>0</v>
      </c>
      <c r="I63" s="46">
        <f>'Oct2025-COLLECTION'!K64</f>
        <v>5511</v>
      </c>
      <c r="J63" s="46">
        <f>'Nov2025-COLLECTION'!K64</f>
        <v>0</v>
      </c>
      <c r="K63" s="46">
        <f>'Dec2025-COLLECTION'!K64</f>
        <v>6231</v>
      </c>
      <c r="L63" s="46">
        <f>'Jan2026-COLLECTION'!K64</f>
        <v>0</v>
      </c>
      <c r="M63" s="46">
        <f>'Feb2026-COLLECTION'!K64</f>
        <v>5781</v>
      </c>
      <c r="N63" s="40">
        <f>'Mar2026-COLLECTION'!K64</f>
        <v>5832</v>
      </c>
      <c r="O63" s="184">
        <f t="shared" si="0"/>
        <v>40915</v>
      </c>
      <c r="P63" s="46">
        <f>O63-Expense!O63</f>
        <v>-37677.826286914787</v>
      </c>
    </row>
    <row r="64" spans="1:16">
      <c r="A64" s="40">
        <f ca="1">IFERROR(__xludf.DUMMYFUNCTION("""COMPUTED_VALUE"""),4925)</f>
        <v>4925</v>
      </c>
      <c r="B64" s="169"/>
      <c r="D64" s="40">
        <f>'May2025-COLLECTION'!K65</f>
        <v>5625</v>
      </c>
      <c r="E64" s="40">
        <f>'June2025-COLLECTION'!K65</f>
        <v>4119</v>
      </c>
      <c r="F64" s="40">
        <f>'July2025-COLLECTION'!K65</f>
        <v>4962</v>
      </c>
      <c r="G64" s="40">
        <f>'Aug2025-COLLECTION'!K65</f>
        <v>5875</v>
      </c>
      <c r="H64" s="40">
        <f>'Sep2025-COLLECTION'!K65</f>
        <v>0</v>
      </c>
      <c r="I64" s="46">
        <f>'Oct2025-COLLECTION'!K65</f>
        <v>5154</v>
      </c>
      <c r="J64" s="46">
        <f>'Nov2025-COLLECTION'!K65</f>
        <v>0</v>
      </c>
      <c r="K64" s="40">
        <f>'Dec2025-COLLECTION'!K65</f>
        <v>6114</v>
      </c>
      <c r="L64" s="40">
        <f>'Jan2026-COLLECTION'!K65</f>
        <v>5460</v>
      </c>
      <c r="M64" s="40">
        <f>'Feb2026-COLLECTION'!K65</f>
        <v>5387</v>
      </c>
      <c r="N64" s="40">
        <f>'Mar2026-COLLECTION'!K65</f>
        <v>5366</v>
      </c>
      <c r="O64" s="184">
        <f t="shared" si="0"/>
        <v>48062</v>
      </c>
      <c r="P64" s="46">
        <f>O64-Expense!O64</f>
        <v>-19125.2071393933</v>
      </c>
    </row>
    <row r="65" spans="1:15">
      <c r="A65" s="40">
        <f ca="1">IFERROR(__xludf.DUMMYFUNCTION("""COMPUTED_VALUE"""),55060)</f>
        <v>55060</v>
      </c>
      <c r="O65" s="184"/>
    </row>
    <row r="66" spans="1:15">
      <c r="A66" s="46">
        <f ca="1">IFERROR(__xludf.DUMMYFUNCTION("""COMPUTED_VALUE"""),-10635.2218819063)</f>
        <v>-10635.2218819063</v>
      </c>
      <c r="D66" s="40">
        <f>'May2025-COLLECTION'!K67</f>
        <v>0</v>
      </c>
      <c r="O66" s="184"/>
    </row>
    <row r="67" spans="1:15">
      <c r="A67" s="40"/>
      <c r="O67" s="184"/>
    </row>
    <row r="68" spans="1:15">
      <c r="A68" s="40"/>
      <c r="O68" s="184"/>
    </row>
    <row r="69" spans="1:15">
      <c r="A69" s="40"/>
      <c r="O69" s="184"/>
    </row>
    <row r="70" spans="1:15">
      <c r="A70" s="40"/>
      <c r="O70" s="184"/>
    </row>
    <row r="71" spans="1:15">
      <c r="A71" s="40">
        <f ca="1">IFERROR(__xludf.DUMMYFUNCTION("""COMPUTED_VALUE"""),5354)</f>
        <v>5354</v>
      </c>
      <c r="O71" s="184"/>
    </row>
    <row r="72" spans="1:15">
      <c r="A72" s="40">
        <f ca="1">IFERROR(__xludf.DUMMYFUNCTION("""COMPUTED_VALUE"""),8022)</f>
        <v>8022</v>
      </c>
      <c r="O72" s="184"/>
    </row>
    <row r="73" spans="1:15">
      <c r="A73" s="40">
        <f ca="1">IFERROR(__xludf.DUMMYFUNCTION("""COMPUTED_VALUE"""),323)</f>
        <v>323</v>
      </c>
      <c r="O73" s="184"/>
    </row>
    <row r="74" spans="1:15">
      <c r="A74" s="40">
        <f ca="1">IFERROR(__xludf.DUMMYFUNCTION("""COMPUTED_VALUE"""),5172)</f>
        <v>5172</v>
      </c>
      <c r="O74" s="184"/>
    </row>
    <row r="75" spans="1:15">
      <c r="A75" s="40">
        <f ca="1">IFERROR(__xludf.DUMMYFUNCTION("""COMPUTED_VALUE"""),7050)</f>
        <v>7050</v>
      </c>
      <c r="O75" s="184"/>
    </row>
    <row r="76" spans="1:15">
      <c r="A76" s="46">
        <f ca="1">IFERROR(__xludf.DUMMYFUNCTION("""COMPUTED_VALUE"""),5209.99)</f>
        <v>5209.99</v>
      </c>
      <c r="O76" s="184"/>
    </row>
    <row r="77" spans="1:15">
      <c r="A77" s="40">
        <f ca="1">IFERROR(__xludf.DUMMYFUNCTION("""COMPUTED_VALUE"""),6114)</f>
        <v>6114</v>
      </c>
      <c r="O77" s="184"/>
    </row>
    <row r="78" spans="1:15">
      <c r="A78" s="40">
        <f ca="1">IFERROR(__xludf.DUMMYFUNCTION("""COMPUTED_VALUE"""),7069)</f>
        <v>7069</v>
      </c>
      <c r="O78" s="184"/>
    </row>
    <row r="79" spans="1:15">
      <c r="A79" s="40">
        <f ca="1">IFERROR(__xludf.DUMMYFUNCTION("""COMPUTED_VALUE"""),5340.41)</f>
        <v>5340.41</v>
      </c>
      <c r="O79" s="184"/>
    </row>
    <row r="80" spans="1:15">
      <c r="A80" s="40">
        <f ca="1">IFERROR(__xludf.DUMMYFUNCTION("""COMPUTED_VALUE"""),5161)</f>
        <v>5161</v>
      </c>
      <c r="O80" s="184"/>
    </row>
    <row r="81" spans="1:15">
      <c r="A81" s="40">
        <f ca="1">IFERROR(__xludf.DUMMYFUNCTION("""COMPUTED_VALUE"""),4699)</f>
        <v>4699</v>
      </c>
      <c r="O81" s="184"/>
    </row>
    <row r="82" spans="1:15">
      <c r="A82" s="40">
        <f ca="1">IFERROR(__xludf.DUMMYFUNCTION("""COMPUTED_VALUE"""),59514.3999999999)</f>
        <v>59514.3999999999</v>
      </c>
      <c r="O82" s="184"/>
    </row>
    <row r="83" spans="1:15">
      <c r="A83" s="46">
        <f ca="1">IFERROR(__xludf.DUMMYFUNCTION("""COMPUTED_VALUE"""),-5369.45415770929)</f>
        <v>-5369.4541577092896</v>
      </c>
      <c r="O83" s="184"/>
    </row>
    <row r="84" spans="1:15">
      <c r="A84" s="40"/>
      <c r="O84" s="184"/>
    </row>
    <row r="85" spans="1:15">
      <c r="A85" s="40"/>
      <c r="O85" s="184"/>
    </row>
    <row r="86" spans="1:15">
      <c r="A86" s="40"/>
      <c r="O86" s="184"/>
    </row>
    <row r="87" spans="1:15">
      <c r="A87" s="40"/>
      <c r="O87" s="184"/>
    </row>
    <row r="88" spans="1:15">
      <c r="A88" s="40">
        <f ca="1">IFERROR(__xludf.DUMMYFUNCTION("""COMPUTED_VALUE"""),5864)</f>
        <v>5864</v>
      </c>
      <c r="O88" s="184"/>
    </row>
    <row r="89" spans="1:15">
      <c r="A89" s="40">
        <f ca="1">IFERROR(__xludf.DUMMYFUNCTION("""COMPUTED_VALUE"""),4331)</f>
        <v>4331</v>
      </c>
      <c r="O89" s="184"/>
    </row>
    <row r="90" spans="1:15">
      <c r="A90" s="40">
        <f ca="1">IFERROR(__xludf.DUMMYFUNCTION("""COMPUTED_VALUE"""),1288)</f>
        <v>1288</v>
      </c>
      <c r="O90" s="184"/>
    </row>
    <row r="91" spans="1:15">
      <c r="A91" s="40">
        <f ca="1">IFERROR(__xludf.DUMMYFUNCTION("""COMPUTED_VALUE"""),5465)</f>
        <v>5465</v>
      </c>
      <c r="O91" s="184"/>
    </row>
    <row r="92" spans="1:15">
      <c r="A92" s="40">
        <f ca="1">IFERROR(__xludf.DUMMYFUNCTION("""COMPUTED_VALUE"""),0)</f>
        <v>0</v>
      </c>
      <c r="O92" s="184"/>
    </row>
    <row r="93" spans="1:15">
      <c r="A93" s="46">
        <f ca="1">IFERROR(__xludf.DUMMYFUNCTION("""COMPUTED_VALUE"""),5135)</f>
        <v>5135</v>
      </c>
      <c r="O93" s="184"/>
    </row>
    <row r="94" spans="1:15">
      <c r="A94" s="40">
        <f ca="1">IFERROR(__xludf.DUMMYFUNCTION("""COMPUTED_VALUE"""),0)</f>
        <v>0</v>
      </c>
      <c r="O94" s="184"/>
    </row>
    <row r="95" spans="1:15">
      <c r="A95" s="40">
        <f ca="1">IFERROR(__xludf.DUMMYFUNCTION("""COMPUTED_VALUE"""),6114)</f>
        <v>6114</v>
      </c>
      <c r="O95" s="184"/>
    </row>
    <row r="96" spans="1:15">
      <c r="A96" s="40">
        <f ca="1">IFERROR(__xludf.DUMMYFUNCTION("""COMPUTED_VALUE"""),12215.81)</f>
        <v>12215.81</v>
      </c>
      <c r="O96" s="184"/>
    </row>
    <row r="97" spans="1:15">
      <c r="A97" s="40">
        <f ca="1">IFERROR(__xludf.DUMMYFUNCTION("""COMPUTED_VALUE"""),5101)</f>
        <v>5101</v>
      </c>
      <c r="O97" s="184"/>
    </row>
    <row r="98" spans="1:15">
      <c r="A98" s="40">
        <f ca="1">IFERROR(__xludf.DUMMYFUNCTION("""COMPUTED_VALUE"""),0)</f>
        <v>0</v>
      </c>
      <c r="O98" s="184"/>
    </row>
    <row r="99" spans="1:15">
      <c r="A99" s="40">
        <f ca="1">IFERROR(__xludf.DUMMYFUNCTION("""COMPUTED_VALUE"""),45513.81)</f>
        <v>45513.81</v>
      </c>
      <c r="O99" s="184"/>
    </row>
    <row r="100" spans="1:15">
      <c r="A100" s="46">
        <f ca="1">IFERROR(__xludf.DUMMYFUNCTION("""COMPUTED_VALUE"""),-19620.0167437126)</f>
        <v>-19620.0167437126</v>
      </c>
      <c r="O100" s="184"/>
    </row>
    <row r="101" spans="1:15">
      <c r="A101" s="40"/>
      <c r="O101" s="184"/>
    </row>
    <row r="102" spans="1:15">
      <c r="A102" s="40"/>
      <c r="O102" s="184"/>
    </row>
    <row r="103" spans="1:15">
      <c r="A103" s="40"/>
      <c r="O103" s="184"/>
    </row>
    <row r="104" spans="1:15">
      <c r="A104" s="40"/>
      <c r="O104" s="184"/>
    </row>
    <row r="105" spans="1:15">
      <c r="A105" s="40">
        <f ca="1">IFERROR(__xludf.DUMMYFUNCTION("""COMPUTED_VALUE"""),11602)</f>
        <v>11602</v>
      </c>
      <c r="O105" s="184"/>
    </row>
    <row r="106" spans="1:15">
      <c r="A106" s="40">
        <f ca="1">IFERROR(__xludf.DUMMYFUNCTION("""COMPUTED_VALUE"""),4800.17)</f>
        <v>4800.17</v>
      </c>
      <c r="O106" s="184"/>
    </row>
    <row r="107" spans="1:15">
      <c r="A107" s="40">
        <f ca="1">IFERROR(__xludf.DUMMYFUNCTION("""COMPUTED_VALUE"""),5050.91)</f>
        <v>5050.91</v>
      </c>
      <c r="O107" s="184"/>
    </row>
    <row r="108" spans="1:15">
      <c r="A108" s="40">
        <f ca="1">IFERROR(__xludf.DUMMYFUNCTION("""COMPUTED_VALUE"""),5938.62)</f>
        <v>5938.62</v>
      </c>
      <c r="O108" s="184"/>
    </row>
    <row r="109" spans="1:15">
      <c r="A109" s="40">
        <f ca="1">IFERROR(__xludf.DUMMYFUNCTION("""COMPUTED_VALUE"""),5939)</f>
        <v>5939</v>
      </c>
      <c r="O109" s="184"/>
    </row>
    <row r="110" spans="1:15">
      <c r="A110" s="40">
        <f ca="1">IFERROR(__xludf.DUMMYFUNCTION("""COMPUTED_VALUE"""),0)</f>
        <v>0</v>
      </c>
      <c r="O110" s="184"/>
    </row>
    <row r="111" spans="1:15">
      <c r="A111" s="46">
        <f ca="1">IFERROR(__xludf.DUMMYFUNCTION("""COMPUTED_VALUE"""),5505)</f>
        <v>5505</v>
      </c>
      <c r="O111" s="184"/>
    </row>
    <row r="112" spans="1:15">
      <c r="A112" s="40">
        <f ca="1">IFERROR(__xludf.DUMMYFUNCTION("""COMPUTED_VALUE"""),7303)</f>
        <v>7303</v>
      </c>
      <c r="O112" s="184"/>
    </row>
    <row r="113" spans="1:15">
      <c r="A113" s="40">
        <f ca="1">IFERROR(__xludf.DUMMYFUNCTION("""COMPUTED_VALUE"""),5551.92)</f>
        <v>5551.92</v>
      </c>
      <c r="O113" s="184"/>
    </row>
    <row r="114" spans="1:15">
      <c r="A114" s="40">
        <f ca="1">IFERROR(__xludf.DUMMYFUNCTION("""COMPUTED_VALUE"""),0)</f>
        <v>0</v>
      </c>
      <c r="O114" s="184"/>
    </row>
    <row r="115" spans="1:15">
      <c r="A115" s="40">
        <f ca="1">IFERROR(__xludf.DUMMYFUNCTION("""COMPUTED_VALUE"""),10717)</f>
        <v>10717</v>
      </c>
      <c r="O115" s="184"/>
    </row>
    <row r="116" spans="1:15">
      <c r="A116" s="40">
        <f ca="1">IFERROR(__xludf.DUMMYFUNCTION("""COMPUTED_VALUE"""),62407.6199999999)</f>
        <v>62407.619999999901</v>
      </c>
      <c r="O116" s="184"/>
    </row>
    <row r="117" spans="1:15">
      <c r="A117" s="46">
        <f ca="1">IFERROR(__xludf.DUMMYFUNCTION("""COMPUTED_VALUE"""),-7173.75509358693)</f>
        <v>-7173.7550935869303</v>
      </c>
      <c r="O117" s="184"/>
    </row>
    <row r="118" spans="1:15">
      <c r="A118" s="40"/>
      <c r="O118" s="184"/>
    </row>
    <row r="119" spans="1:15">
      <c r="A119" s="40"/>
      <c r="O119" s="184"/>
    </row>
    <row r="120" spans="1:15">
      <c r="A120" s="40"/>
      <c r="O120" s="184"/>
    </row>
    <row r="121" spans="1:15">
      <c r="A121" s="40"/>
      <c r="O121" s="184"/>
    </row>
    <row r="122" spans="1:15">
      <c r="A122" s="46">
        <f ca="1">IFERROR(__xludf.DUMMYFUNCTION("""COMPUTED_VALUE"""),5312)</f>
        <v>5312</v>
      </c>
      <c r="O122" s="184"/>
    </row>
    <row r="123" spans="1:15">
      <c r="A123" s="46">
        <f ca="1">IFERROR(__xludf.DUMMYFUNCTION("""COMPUTED_VALUE"""),4044)</f>
        <v>4044</v>
      </c>
      <c r="O123" s="184"/>
    </row>
    <row r="124" spans="1:15">
      <c r="A124" s="46">
        <f ca="1">IFERROR(__xludf.DUMMYFUNCTION("""COMPUTED_VALUE"""),4291)</f>
        <v>4291</v>
      </c>
      <c r="O124" s="184"/>
    </row>
    <row r="125" spans="1:15">
      <c r="A125" s="46">
        <f ca="1">IFERROR(__xludf.DUMMYFUNCTION("""COMPUTED_VALUE"""),5121)</f>
        <v>5121</v>
      </c>
      <c r="O125" s="184"/>
    </row>
    <row r="126" spans="1:15">
      <c r="A126" s="46">
        <f ca="1">IFERROR(__xludf.DUMMYFUNCTION("""COMPUTED_VALUE"""),5121)</f>
        <v>5121</v>
      </c>
      <c r="O126" s="184"/>
    </row>
    <row r="127" spans="1:15">
      <c r="A127" s="46">
        <f ca="1">IFERROR(__xludf.DUMMYFUNCTION("""COMPUTED_VALUE"""),4769)</f>
        <v>4769</v>
      </c>
      <c r="O127" s="184"/>
    </row>
    <row r="128" spans="1:15">
      <c r="A128" s="40">
        <f ca="1">IFERROR(__xludf.DUMMYFUNCTION("""COMPUTED_VALUE"""),6114)</f>
        <v>6114</v>
      </c>
      <c r="O128" s="184"/>
    </row>
    <row r="129" spans="1:15">
      <c r="A129" s="46">
        <f ca="1">IFERROR(__xludf.DUMMYFUNCTION("""COMPUTED_VALUE"""),7529)</f>
        <v>7529</v>
      </c>
      <c r="O129" s="184"/>
    </row>
    <row r="130" spans="1:15">
      <c r="A130" s="46">
        <f ca="1">IFERROR(__xludf.DUMMYFUNCTION("""COMPUTED_VALUE"""),6937)</f>
        <v>6937</v>
      </c>
      <c r="O130" s="184"/>
    </row>
    <row r="131" spans="1:15">
      <c r="A131" s="46">
        <f ca="1">IFERROR(__xludf.DUMMYFUNCTION("""COMPUTED_VALUE"""),6153)</f>
        <v>6153</v>
      </c>
      <c r="O131" s="184"/>
    </row>
    <row r="132" spans="1:15">
      <c r="A132" s="40">
        <f ca="1">IFERROR(__xludf.DUMMYFUNCTION("""COMPUTED_VALUE"""),6095)</f>
        <v>6095</v>
      </c>
      <c r="O132" s="184"/>
    </row>
    <row r="133" spans="1:15">
      <c r="A133" s="40">
        <f ca="1">IFERROR(__xludf.DUMMYFUNCTION("""COMPUTED_VALUE"""),61486)</f>
        <v>61486</v>
      </c>
      <c r="O133" s="184"/>
    </row>
    <row r="134" spans="1:15">
      <c r="A134" s="46">
        <f ca="1">IFERROR(__xludf.DUMMYFUNCTION("""COMPUTED_VALUE"""),-6568.49928710024)</f>
        <v>-6568.4992871002396</v>
      </c>
      <c r="O134" s="184"/>
    </row>
    <row r="135" spans="1:15">
      <c r="A135" s="40"/>
      <c r="O135" s="184"/>
    </row>
    <row r="136" spans="1:15">
      <c r="A136" s="40"/>
      <c r="O136" s="184"/>
    </row>
    <row r="137" spans="1:15">
      <c r="A137" s="40"/>
      <c r="O137" s="184"/>
    </row>
    <row r="138" spans="1:15">
      <c r="A138" s="40"/>
      <c r="O138" s="184"/>
    </row>
    <row r="139" spans="1:15">
      <c r="A139" s="46">
        <f ca="1">IFERROR(__xludf.DUMMYFUNCTION("""COMPUTED_VALUE"""),5516)</f>
        <v>5516</v>
      </c>
      <c r="O139" s="184"/>
    </row>
    <row r="140" spans="1:15">
      <c r="A140" s="46">
        <f ca="1">IFERROR(__xludf.DUMMYFUNCTION("""COMPUTED_VALUE"""),4310)</f>
        <v>4310</v>
      </c>
      <c r="O140" s="184"/>
    </row>
    <row r="141" spans="1:15">
      <c r="A141" s="46">
        <f ca="1">IFERROR(__xludf.DUMMYFUNCTION("""COMPUTED_VALUE"""),4567)</f>
        <v>4567</v>
      </c>
      <c r="O141" s="184"/>
    </row>
    <row r="142" spans="1:15">
      <c r="A142" s="46">
        <f ca="1">IFERROR(__xludf.DUMMYFUNCTION("""COMPUTED_VALUE"""),5434)</f>
        <v>5434</v>
      </c>
      <c r="O142" s="184"/>
    </row>
    <row r="143" spans="1:15">
      <c r="A143" s="46">
        <f ca="1">IFERROR(__xludf.DUMMYFUNCTION("""COMPUTED_VALUE"""),5434)</f>
        <v>5434</v>
      </c>
      <c r="O143" s="184"/>
    </row>
    <row r="144" spans="1:15">
      <c r="A144" s="46">
        <f ca="1">IFERROR(__xludf.DUMMYFUNCTION("""COMPUTED_VALUE"""),5031)</f>
        <v>5031</v>
      </c>
      <c r="O144" s="184"/>
    </row>
    <row r="145" spans="1:15">
      <c r="A145" s="40">
        <f ca="1">IFERROR(__xludf.DUMMYFUNCTION("""COMPUTED_VALUE"""),6231)</f>
        <v>6231</v>
      </c>
      <c r="O145" s="184"/>
    </row>
    <row r="146" spans="1:15">
      <c r="A146" s="46">
        <f ca="1">IFERROR(__xludf.DUMMYFUNCTION("""COMPUTED_VALUE"""),6883)</f>
        <v>6883</v>
      </c>
      <c r="O146" s="184"/>
    </row>
    <row r="147" spans="1:15">
      <c r="A147" s="46">
        <f ca="1">IFERROR(__xludf.DUMMYFUNCTION("""COMPUTED_VALUE"""),5090)</f>
        <v>5090</v>
      </c>
      <c r="O147" s="184"/>
    </row>
    <row r="148" spans="1:15">
      <c r="A148" s="46">
        <f ca="1">IFERROR(__xludf.DUMMYFUNCTION("""COMPUTED_VALUE"""),5041)</f>
        <v>5041</v>
      </c>
      <c r="O148" s="184"/>
    </row>
    <row r="149" spans="1:15">
      <c r="A149" s="40">
        <f ca="1">IFERROR(__xludf.DUMMYFUNCTION("""COMPUTED_VALUE"""),4824)</f>
        <v>4824</v>
      </c>
      <c r="O149" s="184"/>
    </row>
    <row r="150" spans="1:15">
      <c r="A150" s="40">
        <f ca="1">IFERROR(__xludf.DUMMYFUNCTION("""COMPUTED_VALUE"""),58361)</f>
        <v>58361</v>
      </c>
      <c r="O150" s="184"/>
    </row>
    <row r="151" spans="1:15">
      <c r="A151" s="46">
        <f ca="1">IFERROR(__xludf.DUMMYFUNCTION("""COMPUTED_VALUE"""),-5540.25759262442)</f>
        <v>-5540.2575926244199</v>
      </c>
      <c r="O151" s="184"/>
    </row>
    <row r="152" spans="1:15">
      <c r="A152" s="40"/>
      <c r="O152" s="184"/>
    </row>
    <row r="153" spans="1:15">
      <c r="A153" s="40"/>
      <c r="O153" s="184"/>
    </row>
    <row r="154" spans="1:15">
      <c r="A154" s="40"/>
      <c r="O154" s="184"/>
    </row>
    <row r="155" spans="1:15">
      <c r="A155" s="40"/>
      <c r="O155" s="184"/>
    </row>
    <row r="156" spans="1:15">
      <c r="A156" s="46">
        <f ca="1">IFERROR(__xludf.DUMMYFUNCTION("""COMPUTED_VALUE"""),5600)</f>
        <v>5600</v>
      </c>
      <c r="O156" s="184"/>
    </row>
    <row r="157" spans="1:15">
      <c r="A157" s="46">
        <f ca="1">IFERROR(__xludf.DUMMYFUNCTION("""COMPUTED_VALUE"""),4246)</f>
        <v>4246</v>
      </c>
      <c r="O157" s="184"/>
    </row>
    <row r="158" spans="1:15">
      <c r="A158" s="46">
        <f ca="1">IFERROR(__xludf.DUMMYFUNCTION("""COMPUTED_VALUE"""),4536)</f>
        <v>4536</v>
      </c>
      <c r="O158" s="184"/>
    </row>
    <row r="159" spans="1:15">
      <c r="A159" s="46">
        <f ca="1">IFERROR(__xludf.DUMMYFUNCTION("""COMPUTED_VALUE"""),1057)</f>
        <v>1057</v>
      </c>
      <c r="O159" s="184"/>
    </row>
    <row r="160" spans="1:15">
      <c r="A160" s="46">
        <f ca="1">IFERROR(__xludf.DUMMYFUNCTION("""COMPUTED_VALUE"""),0)</f>
        <v>0</v>
      </c>
      <c r="O160" s="184"/>
    </row>
    <row r="161" spans="1:15">
      <c r="A161" s="46">
        <f ca="1">IFERROR(__xludf.DUMMYFUNCTION("""COMPUTED_VALUE"""),5794)</f>
        <v>5794</v>
      </c>
      <c r="O161" s="184"/>
    </row>
    <row r="162" spans="1:15">
      <c r="A162" s="40">
        <f ca="1">IFERROR(__xludf.DUMMYFUNCTION("""COMPUTED_VALUE"""),0)</f>
        <v>0</v>
      </c>
      <c r="O162" s="184"/>
    </row>
    <row r="163" spans="1:15">
      <c r="A163" s="46">
        <f ca="1">IFERROR(__xludf.DUMMYFUNCTION("""COMPUTED_VALUE"""),0)</f>
        <v>0</v>
      </c>
      <c r="O163" s="184"/>
    </row>
    <row r="164" spans="1:15">
      <c r="A164" s="46">
        <f ca="1">IFERROR(__xludf.DUMMYFUNCTION("""COMPUTED_VALUE"""),6114)</f>
        <v>6114</v>
      </c>
      <c r="O164" s="184"/>
    </row>
    <row r="165" spans="1:15">
      <c r="A165" s="40">
        <f ca="1">IFERROR(__xludf.DUMMYFUNCTION("""COMPUTED_VALUE"""),0)</f>
        <v>0</v>
      </c>
      <c r="O165" s="184"/>
    </row>
    <row r="166" spans="1:15">
      <c r="A166" s="46">
        <f ca="1">IFERROR(__xludf.DUMMYFUNCTION("""COMPUTED_VALUE"""),5614)</f>
        <v>5614</v>
      </c>
      <c r="O166" s="184"/>
    </row>
    <row r="167" spans="1:15">
      <c r="A167" s="40">
        <f ca="1">IFERROR(__xludf.DUMMYFUNCTION("""COMPUTED_VALUE"""),32961)</f>
        <v>32961</v>
      </c>
      <c r="O167" s="184"/>
    </row>
    <row r="168" spans="1:15">
      <c r="A168" s="46">
        <f ca="1">IFERROR(__xludf.DUMMYFUNCTION("""COMPUTED_VALUE"""),-33136.5255948088)</f>
        <v>-33136.525594808802</v>
      </c>
      <c r="O168" s="184"/>
    </row>
    <row r="169" spans="1:15">
      <c r="A169" s="40"/>
      <c r="O169" s="184"/>
    </row>
    <row r="170" spans="1:15">
      <c r="A170" s="40"/>
      <c r="O170" s="184"/>
    </row>
    <row r="171" spans="1:15">
      <c r="A171" s="40"/>
      <c r="O171" s="184"/>
    </row>
    <row r="172" spans="1:15">
      <c r="A172" s="40"/>
      <c r="O172" s="184"/>
    </row>
    <row r="173" spans="1:15">
      <c r="A173" s="46">
        <f ca="1">IFERROR(__xludf.DUMMYFUNCTION("""COMPUTED_VALUE"""),5340)</f>
        <v>5340</v>
      </c>
      <c r="O173" s="184"/>
    </row>
    <row r="174" spans="1:15">
      <c r="A174" s="46">
        <f ca="1">IFERROR(__xludf.DUMMYFUNCTION("""COMPUTED_VALUE"""),4272)</f>
        <v>4272</v>
      </c>
      <c r="O174" s="184"/>
    </row>
    <row r="175" spans="1:15">
      <c r="A175" s="46">
        <f ca="1">IFERROR(__xludf.DUMMYFUNCTION("""COMPUTED_VALUE"""),4584)</f>
        <v>4584</v>
      </c>
      <c r="O175" s="184"/>
    </row>
    <row r="176" spans="1:15">
      <c r="A176" s="46">
        <f ca="1">IFERROR(__xludf.DUMMYFUNCTION("""COMPUTED_VALUE"""),5218)</f>
        <v>5218</v>
      </c>
      <c r="O176" s="184"/>
    </row>
    <row r="177" spans="1:15">
      <c r="A177" s="46">
        <f ca="1">IFERROR(__xludf.DUMMYFUNCTION("""COMPUTED_VALUE"""),5218)</f>
        <v>5218</v>
      </c>
      <c r="O177" s="184"/>
    </row>
    <row r="178" spans="1:15">
      <c r="A178" s="46">
        <f ca="1">IFERROR(__xludf.DUMMYFUNCTION("""COMPUTED_VALUE"""),4780)</f>
        <v>4780</v>
      </c>
      <c r="O178" s="184"/>
    </row>
    <row r="179" spans="1:15">
      <c r="A179" s="46">
        <f ca="1">IFERROR(__xludf.DUMMYFUNCTION("""COMPUTED_VALUE"""),6114)</f>
        <v>6114</v>
      </c>
      <c r="O179" s="184"/>
    </row>
    <row r="180" spans="1:15">
      <c r="A180" s="46">
        <f ca="1">IFERROR(__xludf.DUMMYFUNCTION("""COMPUTED_VALUE"""),6604)</f>
        <v>6604</v>
      </c>
      <c r="O180" s="184"/>
    </row>
    <row r="181" spans="1:15">
      <c r="A181" s="46">
        <f ca="1">IFERROR(__xludf.DUMMYFUNCTION("""COMPUTED_VALUE"""),4894)</f>
        <v>4894</v>
      </c>
      <c r="O181" s="184"/>
    </row>
    <row r="182" spans="1:15">
      <c r="A182" s="46">
        <f ca="1">IFERROR(__xludf.DUMMYFUNCTION("""COMPUTED_VALUE"""),4778)</f>
        <v>4778</v>
      </c>
      <c r="O182" s="184"/>
    </row>
    <row r="183" spans="1:15">
      <c r="A183" s="40">
        <f ca="1">IFERROR(__xludf.DUMMYFUNCTION("""COMPUTED_VALUE"""),4569)</f>
        <v>4569</v>
      </c>
      <c r="O183" s="184"/>
    </row>
    <row r="184" spans="1:15">
      <c r="A184" s="40">
        <f ca="1">IFERROR(__xludf.DUMMYFUNCTION("""COMPUTED_VALUE"""),56371)</f>
        <v>56371</v>
      </c>
      <c r="O184" s="184"/>
    </row>
    <row r="185" spans="1:15">
      <c r="A185" s="46">
        <f ca="1">IFERROR(__xludf.DUMMYFUNCTION("""COMPUTED_VALUE"""),-5191.96745995847)</f>
        <v>-5191.9674599584696</v>
      </c>
      <c r="O185" s="184"/>
    </row>
    <row r="186" spans="1:15">
      <c r="A186" s="40"/>
      <c r="O186" s="184"/>
    </row>
    <row r="187" spans="1:15">
      <c r="A187" s="40"/>
      <c r="O187" s="184"/>
    </row>
    <row r="188" spans="1:15">
      <c r="A188" s="40"/>
      <c r="O188" s="184"/>
    </row>
    <row r="189" spans="1:15">
      <c r="A189" s="40"/>
      <c r="O189" s="184"/>
    </row>
    <row r="190" spans="1:15">
      <c r="A190" s="46">
        <f ca="1">IFERROR(__xludf.DUMMYFUNCTION("""COMPUTED_VALUE"""),5286)</f>
        <v>5286</v>
      </c>
      <c r="O190" s="184"/>
    </row>
    <row r="191" spans="1:15">
      <c r="A191" s="46">
        <f ca="1">IFERROR(__xludf.DUMMYFUNCTION("""COMPUTED_VALUE"""),4013)</f>
        <v>4013</v>
      </c>
      <c r="O191" s="184"/>
    </row>
    <row r="192" spans="1:15">
      <c r="A192" s="46">
        <f ca="1">IFERROR(__xludf.DUMMYFUNCTION("""COMPUTED_VALUE"""),4273)</f>
        <v>4273</v>
      </c>
      <c r="O192" s="184"/>
    </row>
    <row r="193" spans="1:15">
      <c r="A193" s="46">
        <f ca="1">IFERROR(__xludf.DUMMYFUNCTION("""COMPUTED_VALUE"""),5108)</f>
        <v>5108</v>
      </c>
      <c r="O193" s="184"/>
    </row>
    <row r="194" spans="1:15">
      <c r="A194" s="46">
        <f ca="1">IFERROR(__xludf.DUMMYFUNCTION("""COMPUTED_VALUE"""),5108)</f>
        <v>5108</v>
      </c>
      <c r="O194" s="184"/>
    </row>
    <row r="195" spans="1:15">
      <c r="A195" s="46">
        <f ca="1">IFERROR(__xludf.DUMMYFUNCTION("""COMPUTED_VALUE"""),4741)</f>
        <v>4741</v>
      </c>
      <c r="O195" s="184"/>
    </row>
    <row r="196" spans="1:15">
      <c r="A196" s="46">
        <f ca="1">IFERROR(__xludf.DUMMYFUNCTION("""COMPUTED_VALUE"""),6114)</f>
        <v>6114</v>
      </c>
      <c r="O196" s="184"/>
    </row>
    <row r="197" spans="1:15">
      <c r="A197" s="46">
        <f ca="1">IFERROR(__xludf.DUMMYFUNCTION("""COMPUTED_VALUE"""),7315)</f>
        <v>7315</v>
      </c>
      <c r="O197" s="184"/>
    </row>
    <row r="198" spans="1:15">
      <c r="A198" s="46">
        <f ca="1">IFERROR(__xludf.DUMMYFUNCTION("""COMPUTED_VALUE"""),4851)</f>
        <v>4851</v>
      </c>
      <c r="O198" s="184"/>
    </row>
    <row r="199" spans="1:15">
      <c r="A199" s="46">
        <f ca="1">IFERROR(__xludf.DUMMYFUNCTION("""COMPUTED_VALUE"""),5215)</f>
        <v>5215</v>
      </c>
      <c r="O199" s="184"/>
    </row>
    <row r="200" spans="1:15">
      <c r="A200" s="40">
        <f ca="1">IFERROR(__xludf.DUMMYFUNCTION("""COMPUTED_VALUE"""),4449)</f>
        <v>4449</v>
      </c>
      <c r="O200" s="184"/>
    </row>
    <row r="201" spans="1:15">
      <c r="A201" s="40">
        <f ca="1">IFERROR(__xludf.DUMMYFUNCTION("""COMPUTED_VALUE"""),56473)</f>
        <v>56473</v>
      </c>
      <c r="O201" s="184"/>
    </row>
    <row r="202" spans="1:15">
      <c r="A202" s="46">
        <f ca="1">IFERROR(__xludf.DUMMYFUNCTION("""COMPUTED_VALUE"""),-5959.39177292661)</f>
        <v>-5959.3917729266104</v>
      </c>
      <c r="O202" s="184"/>
    </row>
    <row r="203" spans="1:15">
      <c r="A203" s="40"/>
      <c r="O203" s="184"/>
    </row>
    <row r="204" spans="1:15">
      <c r="A204" s="40"/>
      <c r="O204" s="184"/>
    </row>
    <row r="205" spans="1:15">
      <c r="A205" s="40"/>
      <c r="O205" s="184"/>
    </row>
    <row r="206" spans="1:15">
      <c r="A206" s="40"/>
      <c r="O206" s="184"/>
    </row>
    <row r="207" spans="1:15">
      <c r="A207" s="40">
        <f ca="1">IFERROR(__xludf.DUMMYFUNCTION("""COMPUTED_VALUE"""),5426)</f>
        <v>5426</v>
      </c>
      <c r="O207" s="184"/>
    </row>
    <row r="208" spans="1:15">
      <c r="A208" s="40">
        <f ca="1">IFERROR(__xludf.DUMMYFUNCTION("""COMPUTED_VALUE"""),6275)</f>
        <v>6275</v>
      </c>
      <c r="O208" s="184"/>
    </row>
    <row r="209" spans="1:15">
      <c r="A209" s="40">
        <f ca="1">IFERROR(__xludf.DUMMYFUNCTION("""COMPUTED_VALUE"""),5598.22)</f>
        <v>5598.22</v>
      </c>
      <c r="O209" s="184"/>
    </row>
    <row r="210" spans="1:15">
      <c r="A210" s="40">
        <f ca="1">IFERROR(__xludf.DUMMYFUNCTION("""COMPUTED_VALUE"""),0)</f>
        <v>0</v>
      </c>
      <c r="O210" s="184"/>
    </row>
    <row r="211" spans="1:15">
      <c r="A211" s="40">
        <f ca="1">IFERROR(__xludf.DUMMYFUNCTION("""COMPUTED_VALUE"""),12506.48)</f>
        <v>12506.48</v>
      </c>
      <c r="O211" s="184"/>
    </row>
    <row r="212" spans="1:15">
      <c r="A212" s="46">
        <f ca="1">IFERROR(__xludf.DUMMYFUNCTION("""COMPUTED_VALUE"""),5226)</f>
        <v>5226</v>
      </c>
      <c r="O212" s="184"/>
    </row>
    <row r="213" spans="1:15">
      <c r="A213" s="40">
        <f ca="1">IFERROR(__xludf.DUMMYFUNCTION("""COMPUTED_VALUE"""),0)</f>
        <v>0</v>
      </c>
      <c r="O213" s="184"/>
    </row>
    <row r="214" spans="1:15">
      <c r="A214" s="40">
        <f ca="1">IFERROR(__xludf.DUMMYFUNCTION("""COMPUTED_VALUE"""),13384.67)</f>
        <v>13384.67</v>
      </c>
      <c r="O214" s="184"/>
    </row>
    <row r="215" spans="1:15">
      <c r="A215" s="40">
        <f ca="1">IFERROR(__xludf.DUMMYFUNCTION("""COMPUTED_VALUE"""),0)</f>
        <v>0</v>
      </c>
      <c r="O215" s="184"/>
    </row>
    <row r="216" spans="1:15">
      <c r="A216" s="40">
        <f ca="1">IFERROR(__xludf.DUMMYFUNCTION("""COMPUTED_VALUE"""),5123.2)</f>
        <v>5123.2</v>
      </c>
      <c r="O216" s="184"/>
    </row>
    <row r="217" spans="1:15">
      <c r="A217" s="40">
        <f ca="1">IFERROR(__xludf.DUMMYFUNCTION("""COMPUTED_VALUE"""),9742)</f>
        <v>9742</v>
      </c>
      <c r="O217" s="184"/>
    </row>
    <row r="218" spans="1:15">
      <c r="A218" s="40">
        <f ca="1">IFERROR(__xludf.DUMMYFUNCTION("""COMPUTED_VALUE"""),63281.5699999999)</f>
        <v>63281.569999999898</v>
      </c>
      <c r="O218" s="184"/>
    </row>
    <row r="219" spans="1:15">
      <c r="A219" s="46">
        <f ca="1">IFERROR(__xludf.DUMMYFUNCTION("""COMPUTED_VALUE"""),-5076.28085714245)</f>
        <v>-5076.2808571424503</v>
      </c>
      <c r="O219" s="184"/>
    </row>
    <row r="220" spans="1:15">
      <c r="A220" s="40"/>
      <c r="O220" s="184"/>
    </row>
    <row r="221" spans="1:15">
      <c r="A221" s="40"/>
      <c r="O221" s="184"/>
    </row>
    <row r="222" spans="1:15">
      <c r="A222" s="40"/>
      <c r="O222" s="184"/>
    </row>
    <row r="223" spans="1:15">
      <c r="A223" s="40"/>
      <c r="O223" s="184"/>
    </row>
    <row r="224" spans="1:15">
      <c r="A224" s="46">
        <f ca="1">IFERROR(__xludf.DUMMYFUNCTION("""COMPUTED_VALUE"""),6148)</f>
        <v>6148</v>
      </c>
      <c r="O224" s="184"/>
    </row>
    <row r="225" spans="1:15">
      <c r="A225" s="46">
        <f ca="1">IFERROR(__xludf.DUMMYFUNCTION("""COMPUTED_VALUE"""),4891)</f>
        <v>4891</v>
      </c>
      <c r="O225" s="184"/>
    </row>
    <row r="226" spans="1:15">
      <c r="A226" s="46">
        <f ca="1">IFERROR(__xludf.DUMMYFUNCTION("""COMPUTED_VALUE"""),5391)</f>
        <v>5391</v>
      </c>
      <c r="O226" s="184"/>
    </row>
    <row r="227" spans="1:15">
      <c r="A227" s="46">
        <f ca="1">IFERROR(__xludf.DUMMYFUNCTION("""COMPUTED_VALUE"""),5439)</f>
        <v>5439</v>
      </c>
      <c r="O227" s="184"/>
    </row>
    <row r="228" spans="1:15">
      <c r="A228" s="46">
        <f ca="1">IFERROR(__xludf.DUMMYFUNCTION("""COMPUTED_VALUE"""),5439)</f>
        <v>5439</v>
      </c>
      <c r="O228" s="184"/>
    </row>
    <row r="229" spans="1:15">
      <c r="A229" s="46">
        <f ca="1">IFERROR(__xludf.DUMMYFUNCTION("""COMPUTED_VALUE"""),4975)</f>
        <v>4975</v>
      </c>
      <c r="O229" s="184"/>
    </row>
    <row r="230" spans="1:15">
      <c r="A230" s="40">
        <f ca="1">IFERROR(__xludf.DUMMYFUNCTION("""COMPUTED_VALUE"""),6231)</f>
        <v>6231</v>
      </c>
      <c r="O230" s="184"/>
    </row>
    <row r="231" spans="1:15">
      <c r="A231" s="46">
        <f ca="1">IFERROR(__xludf.DUMMYFUNCTION("""COMPUTED_VALUE"""),0)</f>
        <v>0</v>
      </c>
      <c r="O231" s="184"/>
    </row>
    <row r="232" spans="1:15">
      <c r="A232" s="46">
        <f ca="1">IFERROR(__xludf.DUMMYFUNCTION("""COMPUTED_VALUE"""),5438)</f>
        <v>5438</v>
      </c>
      <c r="O232" s="184"/>
    </row>
    <row r="233" spans="1:15">
      <c r="A233" s="46">
        <f ca="1">IFERROR(__xludf.DUMMYFUNCTION("""COMPUTED_VALUE"""),5478)</f>
        <v>5478</v>
      </c>
      <c r="O233" s="184"/>
    </row>
    <row r="234" spans="1:15">
      <c r="A234" s="40">
        <f ca="1">IFERROR(__xludf.DUMMYFUNCTION("""COMPUTED_VALUE"""),0)</f>
        <v>0</v>
      </c>
      <c r="O234" s="184"/>
    </row>
    <row r="235" spans="1:15">
      <c r="A235" s="40">
        <f ca="1">IFERROR(__xludf.DUMMYFUNCTION("""COMPUTED_VALUE"""),49430)</f>
        <v>49430</v>
      </c>
      <c r="O235" s="184"/>
    </row>
    <row r="236" spans="1:15">
      <c r="A236" s="46">
        <f ca="1">IFERROR(__xludf.DUMMYFUNCTION("""COMPUTED_VALUE"""),-18601.2584703563)</f>
        <v>-18601.258470356301</v>
      </c>
      <c r="O236" s="184"/>
    </row>
    <row r="237" spans="1:15">
      <c r="A237" s="40"/>
      <c r="O237" s="184"/>
    </row>
    <row r="238" spans="1:15">
      <c r="A238" s="40"/>
      <c r="O238" s="184"/>
    </row>
    <row r="239" spans="1:15">
      <c r="A239" s="40"/>
      <c r="O239" s="184"/>
    </row>
    <row r="240" spans="1:15">
      <c r="A240" s="40"/>
      <c r="O240" s="184"/>
    </row>
    <row r="241" spans="1:15">
      <c r="A241" s="40">
        <f ca="1">IFERROR(__xludf.DUMMYFUNCTION("""COMPUTED_VALUE"""),6465)</f>
        <v>6465</v>
      </c>
      <c r="O241" s="184"/>
    </row>
    <row r="242" spans="1:15">
      <c r="A242" s="40">
        <f ca="1">IFERROR(__xludf.DUMMYFUNCTION("""COMPUTED_VALUE"""),5466)</f>
        <v>5466</v>
      </c>
      <c r="O242" s="184"/>
    </row>
    <row r="243" spans="1:15">
      <c r="A243" s="40">
        <f ca="1">IFERROR(__xludf.DUMMYFUNCTION("""COMPUTED_VALUE"""),5712)</f>
        <v>5712</v>
      </c>
      <c r="O243" s="184"/>
    </row>
    <row r="244" spans="1:15">
      <c r="A244" s="40">
        <f ca="1">IFERROR(__xludf.DUMMYFUNCTION("""COMPUTED_VALUE"""),6487)</f>
        <v>6487</v>
      </c>
      <c r="O244" s="184"/>
    </row>
    <row r="245" spans="1:15">
      <c r="A245" s="40">
        <f ca="1">IFERROR(__xludf.DUMMYFUNCTION("""COMPUTED_VALUE"""),6487)</f>
        <v>6487</v>
      </c>
      <c r="O245" s="184"/>
    </row>
    <row r="246" spans="1:15">
      <c r="A246" s="46">
        <f ca="1">IFERROR(__xludf.DUMMYFUNCTION("""COMPUTED_VALUE"""),5911)</f>
        <v>5911</v>
      </c>
      <c r="O246" s="184"/>
    </row>
    <row r="247" spans="1:15">
      <c r="A247" s="40">
        <f ca="1">IFERROR(__xludf.DUMMYFUNCTION("""COMPUTED_VALUE"""),6981)</f>
        <v>6981</v>
      </c>
      <c r="O247" s="184"/>
    </row>
    <row r="248" spans="1:15">
      <c r="A248" s="40">
        <f ca="1">IFERROR(__xludf.DUMMYFUNCTION("""COMPUTED_VALUE"""),7638.43)</f>
        <v>7638.43</v>
      </c>
      <c r="O248" s="184"/>
    </row>
    <row r="249" spans="1:15">
      <c r="A249" s="40">
        <f ca="1">IFERROR(__xludf.DUMMYFUNCTION("""COMPUTED_VALUE"""),6020)</f>
        <v>6020</v>
      </c>
      <c r="O249" s="184"/>
    </row>
    <row r="250" spans="1:15">
      <c r="A250" s="40">
        <f ca="1">IFERROR(__xludf.DUMMYFUNCTION("""COMPUTED_VALUE"""),5912)</f>
        <v>5912</v>
      </c>
      <c r="O250" s="184"/>
    </row>
    <row r="251" spans="1:15">
      <c r="A251" s="40">
        <f ca="1">IFERROR(__xludf.DUMMYFUNCTION("""COMPUTED_VALUE"""),5520)</f>
        <v>5520</v>
      </c>
      <c r="O251" s="184"/>
    </row>
    <row r="252" spans="1:15">
      <c r="A252" s="40">
        <f ca="1">IFERROR(__xludf.DUMMYFUNCTION("""COMPUTED_VALUE"""),68599.43)</f>
        <v>68599.429999999993</v>
      </c>
      <c r="O252" s="184"/>
    </row>
    <row r="253" spans="1:15">
      <c r="A253" s="46">
        <f ca="1">IFERROR(__xludf.DUMMYFUNCTION("""COMPUTED_VALUE"""),-6131.40099231299)</f>
        <v>-6131.4009923129897</v>
      </c>
      <c r="O253" s="184"/>
    </row>
    <row r="254" spans="1:15">
      <c r="A254" s="40"/>
      <c r="O254" s="184"/>
    </row>
    <row r="255" spans="1:15">
      <c r="A255" s="40"/>
      <c r="O255" s="184"/>
    </row>
    <row r="256" spans="1:15">
      <c r="A256" s="40"/>
      <c r="O256" s="184"/>
    </row>
    <row r="257" spans="1:15">
      <c r="A257" s="40"/>
      <c r="O257" s="184"/>
    </row>
    <row r="258" spans="1:15">
      <c r="A258" s="40">
        <f ca="1">IFERROR(__xludf.DUMMYFUNCTION("""COMPUTED_VALUE"""),0)</f>
        <v>0</v>
      </c>
      <c r="O258" s="184"/>
    </row>
    <row r="259" spans="1:15">
      <c r="A259" s="40">
        <f ca="1">IFERROR(__xludf.DUMMYFUNCTION("""COMPUTED_VALUE"""),0)</f>
        <v>0</v>
      </c>
      <c r="O259" s="184"/>
    </row>
    <row r="260" spans="1:15">
      <c r="A260" s="40">
        <f ca="1">IFERROR(__xludf.DUMMYFUNCTION("""COMPUTED_VALUE"""),0)</f>
        <v>0</v>
      </c>
      <c r="O260" s="184"/>
    </row>
    <row r="261" spans="1:15">
      <c r="A261" s="40">
        <f ca="1">IFERROR(__xludf.DUMMYFUNCTION("""COMPUTED_VALUE"""),0)</f>
        <v>0</v>
      </c>
      <c r="O261" s="184"/>
    </row>
    <row r="262" spans="1:15">
      <c r="A262" s="40">
        <f ca="1">IFERROR(__xludf.DUMMYFUNCTION("""COMPUTED_VALUE"""),0)</f>
        <v>0</v>
      </c>
      <c r="O262" s="184"/>
    </row>
    <row r="263" spans="1:15">
      <c r="A263" s="40">
        <f ca="1">IFERROR(__xludf.DUMMYFUNCTION("""COMPUTED_VALUE"""),0)</f>
        <v>0</v>
      </c>
      <c r="O263" s="184"/>
    </row>
    <row r="264" spans="1:15">
      <c r="A264" s="40">
        <f ca="1">IFERROR(__xludf.DUMMYFUNCTION("""COMPUTED_VALUE"""),0)</f>
        <v>0</v>
      </c>
      <c r="O264" s="184"/>
    </row>
    <row r="265" spans="1:15">
      <c r="A265" s="40">
        <f ca="1">IFERROR(__xludf.DUMMYFUNCTION("""COMPUTED_VALUE"""),7879.33)</f>
        <v>7879.33</v>
      </c>
      <c r="O265" s="184"/>
    </row>
    <row r="266" spans="1:15">
      <c r="A266" s="40">
        <f ca="1">IFERROR(__xludf.DUMMYFUNCTION("""COMPUTED_VALUE"""),6624.7)</f>
        <v>6624.7</v>
      </c>
      <c r="O266" s="184"/>
    </row>
    <row r="267" spans="1:15">
      <c r="A267" s="40">
        <f ca="1">IFERROR(__xludf.DUMMYFUNCTION("""COMPUTED_VALUE"""),0)</f>
        <v>0</v>
      </c>
      <c r="O267" s="184"/>
    </row>
    <row r="268" spans="1:15">
      <c r="A268" s="40">
        <f ca="1">IFERROR(__xludf.DUMMYFUNCTION("""COMPUTED_VALUE"""),6057)</f>
        <v>6057</v>
      </c>
      <c r="O268" s="184"/>
    </row>
    <row r="269" spans="1:15">
      <c r="A269" s="40">
        <f ca="1">IFERROR(__xludf.DUMMYFUNCTION("""COMPUTED_VALUE"""),20561.03)</f>
        <v>20561.03</v>
      </c>
      <c r="O269" s="184"/>
    </row>
    <row r="270" spans="1:15">
      <c r="A270" s="46">
        <f ca="1">IFERROR(__xludf.DUMMYFUNCTION("""COMPUTED_VALUE"""),-56105.7776707555)</f>
        <v>-56105.777670755502</v>
      </c>
      <c r="O270" s="184"/>
    </row>
    <row r="271" spans="1:15">
      <c r="A271" s="40"/>
      <c r="O271" s="184"/>
    </row>
    <row r="272" spans="1:15">
      <c r="A272" s="40"/>
      <c r="O272" s="184"/>
    </row>
    <row r="273" spans="1:15">
      <c r="A273" s="40"/>
      <c r="O273" s="184"/>
    </row>
    <row r="274" spans="1:15">
      <c r="A274" s="40"/>
      <c r="O274" s="184"/>
    </row>
    <row r="275" spans="1:15">
      <c r="A275" s="46">
        <f ca="1">IFERROR(__xludf.DUMMYFUNCTION("""COMPUTED_VALUE"""),0)</f>
        <v>0</v>
      </c>
      <c r="O275" s="184"/>
    </row>
    <row r="276" spans="1:15">
      <c r="A276" s="46">
        <f ca="1">IFERROR(__xludf.DUMMYFUNCTION("""COMPUTED_VALUE"""),11295)</f>
        <v>11295</v>
      </c>
      <c r="O276" s="184"/>
    </row>
    <row r="277" spans="1:15">
      <c r="A277" s="46">
        <f ca="1">IFERROR(__xludf.DUMMYFUNCTION("""COMPUTED_VALUE"""),4700)</f>
        <v>4700</v>
      </c>
      <c r="O277" s="184"/>
    </row>
    <row r="278" spans="1:15">
      <c r="A278" s="46">
        <f ca="1">IFERROR(__xludf.DUMMYFUNCTION("""COMPUTED_VALUE"""),6042)</f>
        <v>6042</v>
      </c>
      <c r="O278" s="184"/>
    </row>
    <row r="279" spans="1:15">
      <c r="A279" s="46">
        <f ca="1">IFERROR(__xludf.DUMMYFUNCTION("""COMPUTED_VALUE"""),6533)</f>
        <v>6533</v>
      </c>
      <c r="O279" s="184"/>
    </row>
    <row r="280" spans="1:15">
      <c r="A280" s="46">
        <f ca="1">IFERROR(__xludf.DUMMYFUNCTION("""COMPUTED_VALUE"""),5603)</f>
        <v>5603</v>
      </c>
      <c r="O280" s="184"/>
    </row>
    <row r="281" spans="1:15">
      <c r="A281" s="40">
        <f ca="1">IFERROR(__xludf.DUMMYFUNCTION("""COMPUTED_VALUE"""),0)</f>
        <v>0</v>
      </c>
      <c r="O281" s="184"/>
    </row>
    <row r="282" spans="1:15">
      <c r="A282" s="46">
        <f ca="1">IFERROR(__xludf.DUMMYFUNCTION("""COMPUTED_VALUE"""),6114)</f>
        <v>6114</v>
      </c>
      <c r="O282" s="184"/>
    </row>
    <row r="283" spans="1:15">
      <c r="A283" s="46">
        <f ca="1">IFERROR(__xludf.DUMMYFUNCTION("""COMPUTED_VALUE"""),7235)</f>
        <v>7235</v>
      </c>
      <c r="O283" s="184"/>
    </row>
    <row r="284" spans="1:15">
      <c r="A284" s="40">
        <f ca="1">IFERROR(__xludf.DUMMYFUNCTION("""COMPUTED_VALUE"""),5541)</f>
        <v>5541</v>
      </c>
      <c r="O284" s="184"/>
    </row>
    <row r="285" spans="1:15">
      <c r="A285" s="46">
        <f ca="1">IFERROR(__xludf.DUMMYFUNCTION("""COMPUTED_VALUE"""),12874)</f>
        <v>12874</v>
      </c>
      <c r="O285" s="184"/>
    </row>
    <row r="286" spans="1:15">
      <c r="A286" s="40">
        <f ca="1">IFERROR(__xludf.DUMMYFUNCTION("""COMPUTED_VALUE"""),65937)</f>
        <v>65937</v>
      </c>
      <c r="O286" s="184"/>
    </row>
    <row r="287" spans="1:15">
      <c r="A287" s="46">
        <f ca="1">IFERROR(__xludf.DUMMYFUNCTION("""COMPUTED_VALUE"""),-6912.22628880718)</f>
        <v>-6912.22628880718</v>
      </c>
      <c r="O287" s="184"/>
    </row>
    <row r="288" spans="1:15">
      <c r="A288" s="40"/>
      <c r="O288" s="184"/>
    </row>
    <row r="289" spans="1:15">
      <c r="A289" s="40"/>
      <c r="O289" s="184"/>
    </row>
    <row r="290" spans="1:15">
      <c r="A290" s="40"/>
      <c r="O290" s="184"/>
    </row>
    <row r="291" spans="1:15">
      <c r="A291" s="40"/>
      <c r="O291" s="184"/>
    </row>
    <row r="292" spans="1:15">
      <c r="A292" s="46">
        <f ca="1">IFERROR(__xludf.DUMMYFUNCTION("""COMPUTED_VALUE"""),0)</f>
        <v>0</v>
      </c>
      <c r="O292" s="184"/>
    </row>
    <row r="293" spans="1:15">
      <c r="A293" s="46">
        <f ca="1">IFERROR(__xludf.DUMMYFUNCTION("""COMPUTED_VALUE"""),12477)</f>
        <v>12477</v>
      </c>
      <c r="O293" s="184"/>
    </row>
    <row r="294" spans="1:15">
      <c r="A294" s="46">
        <f ca="1">IFERROR(__xludf.DUMMYFUNCTION("""COMPUTED_VALUE"""),6087.95)</f>
        <v>6087.95</v>
      </c>
      <c r="O294" s="184"/>
    </row>
    <row r="295" spans="1:15">
      <c r="A295" s="46">
        <f ca="1">IFERROR(__xludf.DUMMYFUNCTION("""COMPUTED_VALUE"""),6478)</f>
        <v>6478</v>
      </c>
      <c r="O295" s="184"/>
    </row>
    <row r="296" spans="1:15">
      <c r="A296" s="46">
        <f ca="1">IFERROR(__xludf.DUMMYFUNCTION("""COMPUTED_VALUE"""),6772.92)</f>
        <v>6772.92</v>
      </c>
      <c r="O296" s="184"/>
    </row>
    <row r="297" spans="1:15">
      <c r="A297" s="46">
        <f ca="1">IFERROR(__xludf.DUMMYFUNCTION("""COMPUTED_VALUE"""),7311.21)</f>
        <v>7311.21</v>
      </c>
      <c r="O297" s="184"/>
    </row>
    <row r="298" spans="1:15">
      <c r="A298" s="46">
        <f ca="1">IFERROR(__xludf.DUMMYFUNCTION("""COMPUTED_VALUE"""),6231.38)</f>
        <v>6231.38</v>
      </c>
      <c r="O298" s="184"/>
    </row>
    <row r="299" spans="1:15">
      <c r="A299" s="46">
        <f ca="1">IFERROR(__xludf.DUMMYFUNCTION("""COMPUTED_VALUE"""),8220)</f>
        <v>8220</v>
      </c>
      <c r="O299" s="184"/>
    </row>
    <row r="300" spans="1:15">
      <c r="A300" s="46">
        <f ca="1">IFERROR(__xludf.DUMMYFUNCTION("""COMPUTED_VALUE"""),5627.68)</f>
        <v>5627.68</v>
      </c>
      <c r="O300" s="184"/>
    </row>
    <row r="301" spans="1:15">
      <c r="A301" s="46">
        <f ca="1">IFERROR(__xludf.DUMMYFUNCTION("""COMPUTED_VALUE"""),5817)</f>
        <v>5817</v>
      </c>
      <c r="O301" s="184"/>
    </row>
    <row r="302" spans="1:15">
      <c r="A302" s="40">
        <f ca="1">IFERROR(__xludf.DUMMYFUNCTION("""COMPUTED_VALUE"""),5984.58)</f>
        <v>5984.58</v>
      </c>
      <c r="O302" s="184"/>
    </row>
    <row r="303" spans="1:15">
      <c r="A303" s="40">
        <f ca="1">IFERROR(__xludf.DUMMYFUNCTION("""COMPUTED_VALUE"""),71007.72)</f>
        <v>71007.72</v>
      </c>
      <c r="O303" s="184"/>
    </row>
    <row r="304" spans="1:15">
      <c r="A304" s="46">
        <f ca="1">IFERROR(__xludf.DUMMYFUNCTION("""COMPUTED_VALUE"""),-5656.71740134201)</f>
        <v>-5656.7174013420099</v>
      </c>
      <c r="O304" s="184"/>
    </row>
    <row r="305" spans="1:15">
      <c r="A305" s="40"/>
      <c r="O305" s="184"/>
    </row>
    <row r="306" spans="1:15">
      <c r="A306" s="40"/>
      <c r="O306" s="184"/>
    </row>
    <row r="307" spans="1:15">
      <c r="A307" s="40"/>
      <c r="O307" s="184"/>
    </row>
    <row r="308" spans="1:15">
      <c r="A308" s="40"/>
      <c r="O308" s="184"/>
    </row>
    <row r="309" spans="1:15">
      <c r="A309" s="46">
        <f ca="1">IFERROR(__xludf.DUMMYFUNCTION("""COMPUTED_VALUE"""),6545)</f>
        <v>6545</v>
      </c>
      <c r="O309" s="184"/>
    </row>
    <row r="310" spans="1:15">
      <c r="A310" s="46">
        <f ca="1">IFERROR(__xludf.DUMMYFUNCTION("""COMPUTED_VALUE"""),5150)</f>
        <v>5150</v>
      </c>
      <c r="O310" s="184"/>
    </row>
    <row r="311" spans="1:15">
      <c r="A311" s="46">
        <f ca="1">IFERROR(__xludf.DUMMYFUNCTION("""COMPUTED_VALUE"""),5120)</f>
        <v>5120</v>
      </c>
      <c r="O311" s="184"/>
    </row>
    <row r="312" spans="1:15">
      <c r="A312" s="46">
        <f ca="1">IFERROR(__xludf.DUMMYFUNCTION("""COMPUTED_VALUE"""),6558)</f>
        <v>6558</v>
      </c>
      <c r="O312" s="184"/>
    </row>
    <row r="313" spans="1:15">
      <c r="A313" s="46">
        <f ca="1">IFERROR(__xludf.DUMMYFUNCTION("""COMPUTED_VALUE"""),6558)</f>
        <v>6558</v>
      </c>
      <c r="O313" s="184"/>
    </row>
    <row r="314" spans="1:15">
      <c r="A314" s="46">
        <f ca="1">IFERROR(__xludf.DUMMYFUNCTION("""COMPUTED_VALUE"""),5742)</f>
        <v>5742</v>
      </c>
      <c r="O314" s="184"/>
    </row>
    <row r="315" spans="1:15">
      <c r="A315" s="46">
        <f ca="1">IFERROR(__xludf.DUMMYFUNCTION("""COMPUTED_VALUE"""),6731)</f>
        <v>6731</v>
      </c>
      <c r="O315" s="184"/>
    </row>
    <row r="316" spans="1:15">
      <c r="A316" s="46">
        <f ca="1">IFERROR(__xludf.DUMMYFUNCTION("""COMPUTED_VALUE"""),7369)</f>
        <v>7369</v>
      </c>
      <c r="O316" s="184"/>
    </row>
    <row r="317" spans="1:15">
      <c r="A317" s="46">
        <f ca="1">IFERROR(__xludf.DUMMYFUNCTION("""COMPUTED_VALUE"""),5799)</f>
        <v>5799</v>
      </c>
      <c r="O317" s="184"/>
    </row>
    <row r="318" spans="1:15">
      <c r="A318" s="46">
        <f ca="1">IFERROR(__xludf.DUMMYFUNCTION("""COMPUTED_VALUE"""),5787)</f>
        <v>5787</v>
      </c>
      <c r="O318" s="184"/>
    </row>
    <row r="319" spans="1:15">
      <c r="A319" s="40">
        <f ca="1">IFERROR(__xludf.DUMMYFUNCTION("""COMPUTED_VALUE"""),5355)</f>
        <v>5355</v>
      </c>
      <c r="O319" s="184"/>
    </row>
    <row r="320" spans="1:15">
      <c r="A320" s="40">
        <f ca="1">IFERROR(__xludf.DUMMYFUNCTION("""COMPUTED_VALUE"""),66714)</f>
        <v>66714</v>
      </c>
      <c r="O320" s="184"/>
    </row>
    <row r="321" spans="1:15">
      <c r="A321" s="46">
        <f ca="1">IFERROR(__xludf.DUMMYFUNCTION("""COMPUTED_VALUE"""),-7203.44207707118)</f>
        <v>-7203.4420770711804</v>
      </c>
      <c r="O321" s="184"/>
    </row>
    <row r="322" spans="1:15">
      <c r="A322" s="40"/>
      <c r="O322" s="184"/>
    </row>
    <row r="323" spans="1:15">
      <c r="A323" s="40"/>
      <c r="O323" s="184"/>
    </row>
    <row r="324" spans="1:15">
      <c r="A324" s="40"/>
      <c r="O324" s="184"/>
    </row>
    <row r="325" spans="1:15">
      <c r="A325" s="40"/>
      <c r="O325" s="184"/>
    </row>
    <row r="326" spans="1:15">
      <c r="A326" s="46">
        <f ca="1">IFERROR(__xludf.DUMMYFUNCTION("""COMPUTED_VALUE"""),6908)</f>
        <v>6908</v>
      </c>
      <c r="O326" s="184"/>
    </row>
    <row r="327" spans="1:15">
      <c r="A327" s="46">
        <f ca="1">IFERROR(__xludf.DUMMYFUNCTION("""COMPUTED_VALUE"""),5107)</f>
        <v>5107</v>
      </c>
      <c r="O327" s="184"/>
    </row>
    <row r="328" spans="1:15">
      <c r="A328" s="46">
        <f ca="1">IFERROR(__xludf.DUMMYFUNCTION("""COMPUTED_VALUE"""),5140)</f>
        <v>5140</v>
      </c>
      <c r="O328" s="184"/>
    </row>
    <row r="329" spans="1:15">
      <c r="A329" s="46">
        <f ca="1">IFERROR(__xludf.DUMMYFUNCTION("""COMPUTED_VALUE"""),7082)</f>
        <v>7082</v>
      </c>
      <c r="O329" s="184"/>
    </row>
    <row r="330" spans="1:15">
      <c r="A330" s="46">
        <f ca="1">IFERROR(__xludf.DUMMYFUNCTION("""COMPUTED_VALUE"""),0)</f>
        <v>0</v>
      </c>
      <c r="O330" s="184"/>
    </row>
    <row r="331" spans="1:15">
      <c r="A331" s="46">
        <f ca="1">IFERROR(__xludf.DUMMYFUNCTION("""COMPUTED_VALUE"""),6287)</f>
        <v>6287</v>
      </c>
      <c r="O331" s="184"/>
    </row>
    <row r="332" spans="1:15">
      <c r="A332" s="46">
        <f ca="1">IFERROR(__xludf.DUMMYFUNCTION("""COMPUTED_VALUE"""),0)</f>
        <v>0</v>
      </c>
      <c r="O332" s="184"/>
    </row>
    <row r="333" spans="1:15">
      <c r="A333" s="46">
        <f ca="1">IFERROR(__xludf.DUMMYFUNCTION("""COMPUTED_VALUE"""),14257)</f>
        <v>14257</v>
      </c>
      <c r="O333" s="184"/>
    </row>
    <row r="334" spans="1:15">
      <c r="A334" s="46">
        <f ca="1">IFERROR(__xludf.DUMMYFUNCTION("""COMPUTED_VALUE"""),6500)</f>
        <v>6500</v>
      </c>
      <c r="O334" s="184"/>
    </row>
    <row r="335" spans="1:15">
      <c r="A335" s="46">
        <f ca="1">IFERROR(__xludf.DUMMYFUNCTION("""COMPUTED_VALUE"""),6288)</f>
        <v>6288</v>
      </c>
      <c r="O335" s="184"/>
    </row>
    <row r="336" spans="1:15">
      <c r="A336" s="40">
        <f ca="1">IFERROR(__xludf.DUMMYFUNCTION("""COMPUTED_VALUE"""),5479)</f>
        <v>5479</v>
      </c>
      <c r="O336" s="184"/>
    </row>
    <row r="337" spans="1:15">
      <c r="A337" s="40">
        <f ca="1">IFERROR(__xludf.DUMMYFUNCTION("""COMPUTED_VALUE"""),63048)</f>
        <v>63048</v>
      </c>
      <c r="O337" s="184"/>
    </row>
    <row r="338" spans="1:15">
      <c r="A338" s="46">
        <f ca="1">IFERROR(__xludf.DUMMYFUNCTION("""COMPUTED_VALUE"""),-14949.1920305931)</f>
        <v>-14949.1920305931</v>
      </c>
      <c r="O338" s="184"/>
    </row>
    <row r="339" spans="1:15">
      <c r="A339" s="40"/>
      <c r="O339" s="184"/>
    </row>
    <row r="340" spans="1:15">
      <c r="A340" s="40"/>
      <c r="O340" s="184"/>
    </row>
    <row r="341" spans="1:15">
      <c r="A341" s="40"/>
      <c r="O341" s="184"/>
    </row>
    <row r="342" spans="1:15">
      <c r="A342" s="40"/>
      <c r="O342" s="184"/>
    </row>
    <row r="343" spans="1:15">
      <c r="A343" s="46">
        <f ca="1">IFERROR(__xludf.DUMMYFUNCTION("""COMPUTED_VALUE"""),6000)</f>
        <v>6000</v>
      </c>
      <c r="O343" s="184"/>
    </row>
    <row r="344" spans="1:15">
      <c r="A344" s="46">
        <f ca="1">IFERROR(__xludf.DUMMYFUNCTION("""COMPUTED_VALUE"""),0)</f>
        <v>0</v>
      </c>
      <c r="O344" s="184"/>
    </row>
    <row r="345" spans="1:15">
      <c r="A345" s="46">
        <f ca="1">IFERROR(__xludf.DUMMYFUNCTION("""COMPUTED_VALUE"""),0)</f>
        <v>0</v>
      </c>
      <c r="O345" s="184"/>
    </row>
    <row r="346" spans="1:15">
      <c r="A346" s="46">
        <f ca="1">IFERROR(__xludf.DUMMYFUNCTION("""COMPUTED_VALUE"""),0)</f>
        <v>0</v>
      </c>
      <c r="O346" s="184"/>
    </row>
    <row r="347" spans="1:15">
      <c r="A347" s="46">
        <f ca="1">IFERROR(__xludf.DUMMYFUNCTION("""COMPUTED_VALUE"""),11102.41)</f>
        <v>11102.41</v>
      </c>
      <c r="O347" s="184"/>
    </row>
    <row r="348" spans="1:15">
      <c r="A348" s="46">
        <f ca="1">IFERROR(__xludf.DUMMYFUNCTION("""COMPUTED_VALUE"""),6000)</f>
        <v>6000</v>
      </c>
      <c r="O348" s="184"/>
    </row>
    <row r="349" spans="1:15">
      <c r="A349" s="46">
        <f ca="1">IFERROR(__xludf.DUMMYFUNCTION("""COMPUTED_VALUE"""),6114)</f>
        <v>6114</v>
      </c>
      <c r="O349" s="184"/>
    </row>
    <row r="350" spans="1:15">
      <c r="A350" s="46">
        <f ca="1">IFERROR(__xludf.DUMMYFUNCTION("""COMPUTED_VALUE"""),0)</f>
        <v>0</v>
      </c>
      <c r="O350" s="184"/>
    </row>
    <row r="351" spans="1:15">
      <c r="A351" s="46">
        <f ca="1">IFERROR(__xludf.DUMMYFUNCTION("""COMPUTED_VALUE"""),0)</f>
        <v>0</v>
      </c>
      <c r="O351" s="184"/>
    </row>
    <row r="352" spans="1:15">
      <c r="A352" s="46">
        <f ca="1">IFERROR(__xludf.DUMMYFUNCTION("""COMPUTED_VALUE"""),27000)</f>
        <v>27000</v>
      </c>
      <c r="O352" s="184"/>
    </row>
    <row r="353" spans="1:15">
      <c r="A353" s="40">
        <f ca="1">IFERROR(__xludf.DUMMYFUNCTION("""COMPUTED_VALUE"""),0)</f>
        <v>0</v>
      </c>
      <c r="O353" s="184"/>
    </row>
    <row r="354" spans="1:15">
      <c r="A354" s="40">
        <f ca="1">IFERROR(__xludf.DUMMYFUNCTION("""COMPUTED_VALUE"""),56216.41)</f>
        <v>56216.41</v>
      </c>
      <c r="O354" s="184"/>
    </row>
    <row r="355" spans="1:15">
      <c r="A355" s="46">
        <f ca="1">IFERROR(__xludf.DUMMYFUNCTION("""COMPUTED_VALUE"""),-10635.8748149002)</f>
        <v>-10635.8748149002</v>
      </c>
      <c r="O355" s="184"/>
    </row>
    <row r="356" spans="1:15">
      <c r="A356" s="40"/>
      <c r="O356" s="184"/>
    </row>
    <row r="357" spans="1:15">
      <c r="A357" s="40"/>
      <c r="O357" s="184"/>
    </row>
    <row r="358" spans="1:15">
      <c r="A358" s="40"/>
      <c r="O358" s="184"/>
    </row>
    <row r="359" spans="1:15">
      <c r="A359" s="40"/>
      <c r="O359" s="184"/>
    </row>
    <row r="360" spans="1:15">
      <c r="A360" s="40">
        <f ca="1">IFERROR(__xludf.DUMMYFUNCTION("""COMPUTED_VALUE"""),0)</f>
        <v>0</v>
      </c>
      <c r="O360" s="184"/>
    </row>
    <row r="361" spans="1:15">
      <c r="A361" s="40">
        <f ca="1">IFERROR(__xludf.DUMMYFUNCTION("""COMPUTED_VALUE"""),85000)</f>
        <v>85000</v>
      </c>
      <c r="O361" s="184"/>
    </row>
    <row r="362" spans="1:15">
      <c r="A362" s="40">
        <f ca="1">IFERROR(__xludf.DUMMYFUNCTION("""COMPUTED_VALUE"""),20000)</f>
        <v>20000</v>
      </c>
      <c r="O362" s="184"/>
    </row>
    <row r="363" spans="1:15">
      <c r="A363" s="40">
        <f ca="1">IFERROR(__xludf.DUMMYFUNCTION("""COMPUTED_VALUE"""),0)</f>
        <v>0</v>
      </c>
      <c r="O363" s="184"/>
    </row>
    <row r="364" spans="1:15">
      <c r="A364" s="40">
        <f ca="1">IFERROR(__xludf.DUMMYFUNCTION("""COMPUTED_VALUE"""),5212)</f>
        <v>5212</v>
      </c>
      <c r="O364" s="184"/>
    </row>
    <row r="365" spans="1:15">
      <c r="A365" s="40">
        <f ca="1">IFERROR(__xludf.DUMMYFUNCTION("""COMPUTED_VALUE"""),0)</f>
        <v>0</v>
      </c>
      <c r="O365" s="184"/>
    </row>
    <row r="366" spans="1:15">
      <c r="A366" s="40">
        <f ca="1">IFERROR(__xludf.DUMMYFUNCTION("""COMPUTED_VALUE"""),0)</f>
        <v>0</v>
      </c>
      <c r="O366" s="184"/>
    </row>
    <row r="367" spans="1:15">
      <c r="A367" s="40">
        <f ca="1">IFERROR(__xludf.DUMMYFUNCTION("""COMPUTED_VALUE"""),18215)</f>
        <v>18215</v>
      </c>
      <c r="O367" s="184"/>
    </row>
    <row r="368" spans="1:15">
      <c r="A368" s="40">
        <f ca="1">IFERROR(__xludf.DUMMYFUNCTION("""COMPUTED_VALUE"""),5785)</f>
        <v>5785</v>
      </c>
      <c r="O368" s="184"/>
    </row>
    <row r="369" spans="1:15">
      <c r="A369" s="40">
        <f ca="1">IFERROR(__xludf.DUMMYFUNCTION("""COMPUTED_VALUE"""),0)</f>
        <v>0</v>
      </c>
      <c r="O369" s="184"/>
    </row>
    <row r="370" spans="1:15">
      <c r="A370" s="40">
        <f ca="1">IFERROR(__xludf.DUMMYFUNCTION("""COMPUTED_VALUE"""),5394)</f>
        <v>5394</v>
      </c>
      <c r="O370" s="184"/>
    </row>
    <row r="371" spans="1:15">
      <c r="A371" s="40">
        <f ca="1">IFERROR(__xludf.DUMMYFUNCTION("""COMPUTED_VALUE"""),139606)</f>
        <v>139606</v>
      </c>
      <c r="O371" s="184"/>
    </row>
    <row r="372" spans="1:15">
      <c r="A372" s="46">
        <f ca="1">IFERROR(__xludf.DUMMYFUNCTION("""COMPUTED_VALUE"""),71039.0716507446)</f>
        <v>71039.071650744605</v>
      </c>
      <c r="O372" s="184"/>
    </row>
    <row r="373" spans="1:15">
      <c r="A373" s="40"/>
      <c r="O373" s="184"/>
    </row>
    <row r="374" spans="1:15">
      <c r="A374" s="40"/>
      <c r="O374" s="184"/>
    </row>
    <row r="375" spans="1:15">
      <c r="A375" s="40"/>
      <c r="O375" s="184"/>
    </row>
    <row r="376" spans="1:15">
      <c r="A376" s="40"/>
      <c r="O376" s="184"/>
    </row>
    <row r="377" spans="1:15">
      <c r="A377" s="46">
        <f ca="1">IFERROR(__xludf.DUMMYFUNCTION("""COMPUTED_VALUE"""),5752)</f>
        <v>5752</v>
      </c>
      <c r="O377" s="184"/>
    </row>
    <row r="378" spans="1:15">
      <c r="A378" s="46">
        <f ca="1">IFERROR(__xludf.DUMMYFUNCTION("""COMPUTED_VALUE"""),0)</f>
        <v>0</v>
      </c>
      <c r="O378" s="184"/>
    </row>
    <row r="379" spans="1:15">
      <c r="A379" s="46">
        <f ca="1">IFERROR(__xludf.DUMMYFUNCTION("""COMPUTED_VALUE"""),4083)</f>
        <v>4083</v>
      </c>
      <c r="O379" s="184"/>
    </row>
    <row r="380" spans="1:15">
      <c r="A380" s="46">
        <f ca="1">IFERROR(__xludf.DUMMYFUNCTION("""COMPUTED_VALUE"""),0)</f>
        <v>0</v>
      </c>
      <c r="O380" s="184"/>
    </row>
    <row r="381" spans="1:15">
      <c r="A381" s="46">
        <f ca="1">IFERROR(__xludf.DUMMYFUNCTION("""COMPUTED_VALUE"""),5635)</f>
        <v>5635</v>
      </c>
      <c r="O381" s="184"/>
    </row>
    <row r="382" spans="1:15">
      <c r="A382" s="46">
        <f ca="1">IFERROR(__xludf.DUMMYFUNCTION("""COMPUTED_VALUE"""),5264)</f>
        <v>5264</v>
      </c>
      <c r="O382" s="184"/>
    </row>
    <row r="383" spans="1:15">
      <c r="A383" s="40">
        <f ca="1">IFERROR(__xludf.DUMMYFUNCTION("""COMPUTED_VALUE"""),6114)</f>
        <v>6114</v>
      </c>
      <c r="O383" s="184"/>
    </row>
    <row r="384" spans="1:15">
      <c r="A384" s="46">
        <f ca="1">IFERROR(__xludf.DUMMYFUNCTION("""COMPUTED_VALUE"""),0)</f>
        <v>0</v>
      </c>
      <c r="O384" s="184"/>
    </row>
    <row r="385" spans="1:15">
      <c r="A385" s="46">
        <f ca="1">IFERROR(__xludf.DUMMYFUNCTION("""COMPUTED_VALUE"""),6888)</f>
        <v>6888</v>
      </c>
      <c r="O385" s="184"/>
    </row>
    <row r="386" spans="1:15">
      <c r="A386" s="46">
        <f ca="1">IFERROR(__xludf.DUMMYFUNCTION("""COMPUTED_VALUE"""),5350)</f>
        <v>5350</v>
      </c>
      <c r="O386" s="184"/>
    </row>
    <row r="387" spans="1:15">
      <c r="A387" s="40">
        <f ca="1">IFERROR(__xludf.DUMMYFUNCTION("""COMPUTED_VALUE"""),0)</f>
        <v>0</v>
      </c>
      <c r="O387" s="184"/>
    </row>
    <row r="388" spans="1:15">
      <c r="A388" s="40">
        <f ca="1">IFERROR(__xludf.DUMMYFUNCTION("""COMPUTED_VALUE"""),39086)</f>
        <v>39086</v>
      </c>
      <c r="O388" s="184"/>
    </row>
    <row r="389" spans="1:15">
      <c r="A389" s="46">
        <f ca="1">IFERROR(__xludf.DUMMYFUNCTION("""COMPUTED_VALUE"""),-25870.7071729546)</f>
        <v>-25870.707172954601</v>
      </c>
      <c r="O389" s="184"/>
    </row>
    <row r="390" spans="1:15">
      <c r="A390" s="40"/>
      <c r="O390" s="184"/>
    </row>
    <row r="391" spans="1:15">
      <c r="A391" s="40"/>
      <c r="O391" s="184"/>
    </row>
    <row r="392" spans="1:15">
      <c r="A392" s="40"/>
      <c r="O392" s="184"/>
    </row>
    <row r="393" spans="1:15">
      <c r="A393" s="40"/>
      <c r="O393" s="184"/>
    </row>
    <row r="394" spans="1:15">
      <c r="A394" s="40">
        <f ca="1">IFERROR(__xludf.DUMMYFUNCTION("""COMPUTED_VALUE"""),6328)</f>
        <v>6328</v>
      </c>
      <c r="O394" s="184"/>
    </row>
    <row r="395" spans="1:15">
      <c r="A395" s="40">
        <f ca="1">IFERROR(__xludf.DUMMYFUNCTION("""COMPUTED_VALUE"""),4772)</f>
        <v>4772</v>
      </c>
      <c r="O395" s="184"/>
    </row>
    <row r="396" spans="1:15">
      <c r="A396" s="40">
        <f ca="1">IFERROR(__xludf.DUMMYFUNCTION("""COMPUTED_VALUE"""),0)</f>
        <v>0</v>
      </c>
      <c r="O396" s="184"/>
    </row>
    <row r="397" spans="1:15">
      <c r="A397" s="40">
        <f ca="1">IFERROR(__xludf.DUMMYFUNCTION("""COMPUTED_VALUE"""),0)</f>
        <v>0</v>
      </c>
      <c r="O397" s="184"/>
    </row>
    <row r="398" spans="1:15">
      <c r="A398" s="40">
        <f ca="1">IFERROR(__xludf.DUMMYFUNCTION("""COMPUTED_VALUE"""),6108)</f>
        <v>6108</v>
      </c>
      <c r="O398" s="184"/>
    </row>
    <row r="399" spans="1:15">
      <c r="A399" s="40">
        <f ca="1">IFERROR(__xludf.DUMMYFUNCTION("""COMPUTED_VALUE"""),0)</f>
        <v>0</v>
      </c>
      <c r="O399" s="184"/>
    </row>
    <row r="400" spans="1:15">
      <c r="A400" s="40">
        <f ca="1">IFERROR(__xludf.DUMMYFUNCTION("""COMPUTED_VALUE"""),0)</f>
        <v>0</v>
      </c>
      <c r="O400" s="184"/>
    </row>
    <row r="401" spans="1:15">
      <c r="A401" s="40">
        <f ca="1">IFERROR(__xludf.DUMMYFUNCTION("""COMPUTED_VALUE"""),6114)</f>
        <v>6114</v>
      </c>
      <c r="O401" s="184"/>
    </row>
    <row r="402" spans="1:15">
      <c r="A402" s="40">
        <f ca="1">IFERROR(__xludf.DUMMYFUNCTION("""COMPUTED_VALUE"""),20517)</f>
        <v>20517</v>
      </c>
      <c r="O402" s="184"/>
    </row>
    <row r="403" spans="1:15">
      <c r="A403" s="40">
        <f ca="1">IFERROR(__xludf.DUMMYFUNCTION("""COMPUTED_VALUE"""),5198)</f>
        <v>5198</v>
      </c>
      <c r="O403" s="184"/>
    </row>
    <row r="404" spans="1:15">
      <c r="A404" s="40">
        <f ca="1">IFERROR(__xludf.DUMMYFUNCTION("""COMPUTED_VALUE"""),5744)</f>
        <v>5744</v>
      </c>
      <c r="O404" s="184"/>
    </row>
    <row r="405" spans="1:15">
      <c r="A405" s="40">
        <f ca="1">IFERROR(__xludf.DUMMYFUNCTION("""COMPUTED_VALUE"""),54781)</f>
        <v>54781</v>
      </c>
      <c r="O405" s="184"/>
    </row>
    <row r="406" spans="1:15">
      <c r="A406" s="46">
        <f ca="1">IFERROR(__xludf.DUMMYFUNCTION("""COMPUTED_VALUE"""),-14818.8316653232)</f>
        <v>-14818.8316653232</v>
      </c>
      <c r="O406" s="184"/>
    </row>
    <row r="407" spans="1:15">
      <c r="A407" s="40"/>
      <c r="O407" s="184"/>
    </row>
    <row r="408" spans="1:15">
      <c r="A408" s="40"/>
      <c r="O408" s="184"/>
    </row>
    <row r="409" spans="1:15">
      <c r="A409" s="40"/>
      <c r="O409" s="184"/>
    </row>
    <row r="410" spans="1:15">
      <c r="A410" s="40"/>
      <c r="O410" s="184"/>
    </row>
    <row r="411" spans="1:15">
      <c r="A411" s="46">
        <f ca="1">IFERROR(__xludf.DUMMYFUNCTION("""COMPUTED_VALUE"""),5203)</f>
        <v>5203</v>
      </c>
      <c r="O411" s="184"/>
    </row>
    <row r="412" spans="1:15">
      <c r="A412" s="46">
        <f ca="1">IFERROR(__xludf.DUMMYFUNCTION("""COMPUTED_VALUE"""),10919)</f>
        <v>10919</v>
      </c>
      <c r="O412" s="184"/>
    </row>
    <row r="413" spans="1:15">
      <c r="A413" s="46">
        <f ca="1">IFERROR(__xludf.DUMMYFUNCTION("""COMPUTED_VALUE"""),5203)</f>
        <v>5203</v>
      </c>
      <c r="O413" s="184"/>
    </row>
    <row r="414" spans="1:15">
      <c r="A414" s="46">
        <f ca="1">IFERROR(__xludf.DUMMYFUNCTION("""COMPUTED_VALUE"""),5869)</f>
        <v>5869</v>
      </c>
      <c r="O414" s="184"/>
    </row>
    <row r="415" spans="1:15">
      <c r="A415" s="46">
        <f ca="1">IFERROR(__xludf.DUMMYFUNCTION("""COMPUTED_VALUE"""),5869)</f>
        <v>5869</v>
      </c>
      <c r="O415" s="184"/>
    </row>
    <row r="416" spans="1:15">
      <c r="A416" s="46">
        <f ca="1">IFERROR(__xludf.DUMMYFUNCTION("""COMPUTED_VALUE"""),5500)</f>
        <v>5500</v>
      </c>
      <c r="O416" s="184"/>
    </row>
    <row r="417" spans="1:15">
      <c r="A417" s="46">
        <f ca="1">IFERROR(__xludf.DUMMYFUNCTION("""COMPUTED_VALUE"""),6354)</f>
        <v>6354</v>
      </c>
      <c r="O417" s="184"/>
    </row>
    <row r="418" spans="1:15">
      <c r="A418" s="46">
        <f ca="1">IFERROR(__xludf.DUMMYFUNCTION("""COMPUTED_VALUE"""),0)</f>
        <v>0</v>
      </c>
      <c r="O418" s="184"/>
    </row>
    <row r="419" spans="1:15">
      <c r="A419" s="46">
        <f ca="1">IFERROR(__xludf.DUMMYFUNCTION("""COMPUTED_VALUE"""),7111)</f>
        <v>7111</v>
      </c>
      <c r="O419" s="184"/>
    </row>
    <row r="420" spans="1:15">
      <c r="A420" s="46">
        <f ca="1">IFERROR(__xludf.DUMMYFUNCTION("""COMPUTED_VALUE"""),5686)</f>
        <v>5686</v>
      </c>
      <c r="O420" s="184"/>
    </row>
    <row r="421" spans="1:15">
      <c r="A421" s="40">
        <f ca="1">IFERROR(__xludf.DUMMYFUNCTION("""COMPUTED_VALUE"""),10715)</f>
        <v>10715</v>
      </c>
      <c r="O421" s="184"/>
    </row>
    <row r="422" spans="1:15">
      <c r="A422" s="40">
        <f ca="1">IFERROR(__xludf.DUMMYFUNCTION("""COMPUTED_VALUE"""),68429)</f>
        <v>68429</v>
      </c>
      <c r="O422" s="184"/>
    </row>
    <row r="423" spans="1:15">
      <c r="A423" s="46">
        <f ca="1">IFERROR(__xludf.DUMMYFUNCTION("""COMPUTED_VALUE"""),-1212.0987471036)</f>
        <v>-1212.0987471036001</v>
      </c>
      <c r="O423" s="184"/>
    </row>
    <row r="424" spans="1:15">
      <c r="A424" s="40"/>
      <c r="O424" s="184"/>
    </row>
    <row r="425" spans="1:15">
      <c r="A425" s="40"/>
      <c r="O425" s="184"/>
    </row>
    <row r="426" spans="1:15">
      <c r="A426" s="40"/>
      <c r="O426" s="184"/>
    </row>
    <row r="427" spans="1:15">
      <c r="A427" s="40"/>
      <c r="O427" s="184"/>
    </row>
    <row r="428" spans="1:15">
      <c r="A428" s="46">
        <f ca="1">IFERROR(__xludf.DUMMYFUNCTION("""COMPUTED_VALUE"""),6240)</f>
        <v>6240</v>
      </c>
      <c r="O428" s="184"/>
    </row>
    <row r="429" spans="1:15">
      <c r="A429" s="46">
        <f ca="1">IFERROR(__xludf.DUMMYFUNCTION("""COMPUTED_VALUE"""),4790)</f>
        <v>4790</v>
      </c>
      <c r="O429" s="184"/>
    </row>
    <row r="430" spans="1:15">
      <c r="A430" s="46">
        <f ca="1">IFERROR(__xludf.DUMMYFUNCTION("""COMPUTED_VALUE"""),5062)</f>
        <v>5062</v>
      </c>
      <c r="O430" s="184"/>
    </row>
    <row r="431" spans="1:15">
      <c r="A431" s="46">
        <f ca="1">IFERROR(__xludf.DUMMYFUNCTION("""COMPUTED_VALUE"""),6008)</f>
        <v>6008</v>
      </c>
      <c r="O431" s="184"/>
    </row>
    <row r="432" spans="1:15">
      <c r="A432" s="46">
        <f ca="1">IFERROR(__xludf.DUMMYFUNCTION("""COMPUTED_VALUE"""),12008)</f>
        <v>12008</v>
      </c>
      <c r="O432" s="184"/>
    </row>
    <row r="433" spans="1:15">
      <c r="A433" s="46">
        <f ca="1">IFERROR(__xludf.DUMMYFUNCTION("""COMPUTED_VALUE"""),0)</f>
        <v>0</v>
      </c>
      <c r="O433" s="184"/>
    </row>
    <row r="434" spans="1:15">
      <c r="A434" s="46">
        <f ca="1">IFERROR(__xludf.DUMMYFUNCTION("""COMPUTED_VALUE"""),6114)</f>
        <v>6114</v>
      </c>
      <c r="O434" s="184"/>
    </row>
    <row r="435" spans="1:15">
      <c r="A435" s="46">
        <f ca="1">IFERROR(__xludf.DUMMYFUNCTION("""COMPUTED_VALUE"""),7920.16)</f>
        <v>7920.16</v>
      </c>
      <c r="O435" s="184"/>
    </row>
    <row r="436" spans="1:15">
      <c r="A436" s="46">
        <f ca="1">IFERROR(__xludf.DUMMYFUNCTION("""COMPUTED_VALUE"""),5209.11)</f>
        <v>5209.1099999999997</v>
      </c>
      <c r="O436" s="184"/>
    </row>
    <row r="437" spans="1:15">
      <c r="A437" s="46">
        <f ca="1">IFERROR(__xludf.DUMMYFUNCTION("""COMPUTED_VALUE"""),5380)</f>
        <v>5380</v>
      </c>
      <c r="O437" s="184"/>
    </row>
    <row r="438" spans="1:15">
      <c r="A438" s="40">
        <f ca="1">IFERROR(__xludf.DUMMYFUNCTION("""COMPUTED_VALUE"""),4724)</f>
        <v>4724</v>
      </c>
      <c r="O438" s="184"/>
    </row>
    <row r="439" spans="1:15">
      <c r="A439" s="40">
        <f ca="1">IFERROR(__xludf.DUMMYFUNCTION("""COMPUTED_VALUE"""),63455.27)</f>
        <v>63455.27</v>
      </c>
      <c r="O439" s="184"/>
    </row>
    <row r="440" spans="1:15">
      <c r="A440" s="46">
        <f ca="1">IFERROR(__xludf.DUMMYFUNCTION("""COMPUTED_VALUE"""),-4510.93877610885)</f>
        <v>-4510.9387761088501</v>
      </c>
      <c r="O440" s="184"/>
    </row>
    <row r="441" spans="1:15">
      <c r="A441" s="40"/>
      <c r="O441" s="184"/>
    </row>
    <row r="442" spans="1:15">
      <c r="A442" s="40"/>
      <c r="O442" s="184"/>
    </row>
    <row r="443" spans="1:15">
      <c r="A443" s="40"/>
      <c r="O443" s="184"/>
    </row>
    <row r="444" spans="1:15">
      <c r="A444" s="40"/>
      <c r="O444" s="184"/>
    </row>
    <row r="445" spans="1:15">
      <c r="A445" s="46">
        <f ca="1">IFERROR(__xludf.DUMMYFUNCTION("""COMPUTED_VALUE"""),10288)</f>
        <v>10288</v>
      </c>
      <c r="O445" s="184"/>
    </row>
    <row r="446" spans="1:15">
      <c r="A446" s="46">
        <f ca="1">IFERROR(__xludf.DUMMYFUNCTION("""COMPUTED_VALUE"""),4399)</f>
        <v>4399</v>
      </c>
      <c r="O446" s="184"/>
    </row>
    <row r="447" spans="1:15">
      <c r="A447" s="46">
        <f ca="1">IFERROR(__xludf.DUMMYFUNCTION("""COMPUTED_VALUE"""),4541)</f>
        <v>4541</v>
      </c>
      <c r="O447" s="184"/>
    </row>
    <row r="448" spans="1:15">
      <c r="A448" s="46">
        <f ca="1">IFERROR(__xludf.DUMMYFUNCTION("""COMPUTED_VALUE"""),5377)</f>
        <v>5377</v>
      </c>
      <c r="O448" s="184"/>
    </row>
    <row r="449" spans="1:15">
      <c r="A449" s="46">
        <f ca="1">IFERROR(__xludf.DUMMYFUNCTION("""COMPUTED_VALUE"""),5377)</f>
        <v>5377</v>
      </c>
      <c r="O449" s="184"/>
    </row>
    <row r="450" spans="1:15">
      <c r="A450" s="46">
        <f ca="1">IFERROR(__xludf.DUMMYFUNCTION("""COMPUTED_VALUE"""),4935)</f>
        <v>4935</v>
      </c>
      <c r="O450" s="184"/>
    </row>
    <row r="451" spans="1:15">
      <c r="A451" s="40">
        <f ca="1">IFERROR(__xludf.DUMMYFUNCTION("""COMPUTED_VALUE"""),6114)</f>
        <v>6114</v>
      </c>
      <c r="O451" s="184"/>
    </row>
    <row r="452" spans="1:15">
      <c r="A452" s="46">
        <f ca="1">IFERROR(__xludf.DUMMYFUNCTION("""COMPUTED_VALUE"""),0)</f>
        <v>0</v>
      </c>
      <c r="O452" s="184"/>
    </row>
    <row r="453" spans="1:15">
      <c r="A453" s="46">
        <f ca="1">IFERROR(__xludf.DUMMYFUNCTION("""COMPUTED_VALUE"""),0)</f>
        <v>0</v>
      </c>
      <c r="O453" s="184"/>
    </row>
    <row r="454" spans="1:15">
      <c r="A454" s="46">
        <f ca="1">IFERROR(__xludf.DUMMYFUNCTION("""COMPUTED_VALUE"""),0)</f>
        <v>0</v>
      </c>
      <c r="O454" s="184"/>
    </row>
    <row r="455" spans="1:15">
      <c r="A455" s="40">
        <f ca="1">IFERROR(__xludf.DUMMYFUNCTION("""COMPUTED_VALUE"""),0)</f>
        <v>0</v>
      </c>
      <c r="O455" s="184"/>
    </row>
    <row r="456" spans="1:15">
      <c r="A456" s="40">
        <f ca="1">IFERROR(__xludf.DUMMYFUNCTION("""COMPUTED_VALUE"""),41031)</f>
        <v>41031</v>
      </c>
      <c r="O456" s="184"/>
    </row>
    <row r="457" spans="1:15">
      <c r="A457" s="46">
        <f ca="1">IFERROR(__xludf.DUMMYFUNCTION("""COMPUTED_VALUE"""),-21576.0000270286)</f>
        <v>-21576.0000270286</v>
      </c>
      <c r="O457" s="184"/>
    </row>
    <row r="458" spans="1:15">
      <c r="A458" s="40"/>
      <c r="O458" s="184"/>
    </row>
    <row r="459" spans="1:15">
      <c r="A459" s="40"/>
      <c r="O459" s="184"/>
    </row>
    <row r="460" spans="1:15">
      <c r="A460" s="40"/>
      <c r="O460" s="184"/>
    </row>
    <row r="461" spans="1:15">
      <c r="A461" s="40"/>
      <c r="O461" s="184"/>
    </row>
    <row r="462" spans="1:15">
      <c r="A462" s="46">
        <f ca="1">IFERROR(__xludf.DUMMYFUNCTION("""COMPUTED_VALUE"""),5803)</f>
        <v>5803</v>
      </c>
      <c r="O462" s="184"/>
    </row>
    <row r="463" spans="1:15">
      <c r="A463" s="46">
        <f ca="1">IFERROR(__xludf.DUMMYFUNCTION("""COMPUTED_VALUE"""),14646)</f>
        <v>14646</v>
      </c>
      <c r="O463" s="184"/>
    </row>
    <row r="464" spans="1:15">
      <c r="A464" s="46">
        <f ca="1">IFERROR(__xludf.DUMMYFUNCTION("""COMPUTED_VALUE"""),5083)</f>
        <v>5083</v>
      </c>
      <c r="O464" s="184"/>
    </row>
    <row r="465" spans="1:15">
      <c r="A465" s="46">
        <f ca="1">IFERROR(__xludf.DUMMYFUNCTION("""COMPUTED_VALUE"""),6120)</f>
        <v>6120</v>
      </c>
      <c r="O465" s="184"/>
    </row>
    <row r="466" spans="1:15">
      <c r="A466" s="46">
        <f ca="1">IFERROR(__xludf.DUMMYFUNCTION("""COMPUTED_VALUE"""),6119)</f>
        <v>6119</v>
      </c>
      <c r="O466" s="184"/>
    </row>
    <row r="467" spans="1:15">
      <c r="A467" s="46">
        <f ca="1">IFERROR(__xludf.DUMMYFUNCTION("""COMPUTED_VALUE"""),4978)</f>
        <v>4978</v>
      </c>
      <c r="O467" s="184"/>
    </row>
    <row r="468" spans="1:15">
      <c r="A468" s="46">
        <f ca="1">IFERROR(__xludf.DUMMYFUNCTION("""COMPUTED_VALUE"""),6114)</f>
        <v>6114</v>
      </c>
      <c r="O468" s="184"/>
    </row>
    <row r="469" spans="1:15">
      <c r="A469" s="46">
        <f ca="1">IFERROR(__xludf.DUMMYFUNCTION("""COMPUTED_VALUE"""),7936)</f>
        <v>7936</v>
      </c>
      <c r="O469" s="184"/>
    </row>
    <row r="470" spans="1:15">
      <c r="A470" s="46">
        <f ca="1">IFERROR(__xludf.DUMMYFUNCTION("""COMPUTED_VALUE"""),0)</f>
        <v>0</v>
      </c>
      <c r="O470" s="184"/>
    </row>
    <row r="471" spans="1:15">
      <c r="A471" s="40">
        <f ca="1">IFERROR(__xludf.DUMMYFUNCTION("""COMPUTED_VALUE"""),0)</f>
        <v>0</v>
      </c>
      <c r="O471" s="184"/>
    </row>
    <row r="472" spans="1:15">
      <c r="A472" s="46">
        <f ca="1">IFERROR(__xludf.DUMMYFUNCTION("""COMPUTED_VALUE"""),0)</f>
        <v>0</v>
      </c>
      <c r="O472" s="184"/>
    </row>
    <row r="473" spans="1:15">
      <c r="A473" s="40">
        <f ca="1">IFERROR(__xludf.DUMMYFUNCTION("""COMPUTED_VALUE"""),56799)</f>
        <v>56799</v>
      </c>
      <c r="O473" s="184"/>
    </row>
    <row r="474" spans="1:15">
      <c r="A474" s="46">
        <f ca="1">IFERROR(__xludf.DUMMYFUNCTION("""COMPUTED_VALUE"""),-13466.3036413142)</f>
        <v>-13466.3036413142</v>
      </c>
      <c r="O474" s="184"/>
    </row>
    <row r="475" spans="1:15">
      <c r="A475" s="40"/>
      <c r="O475" s="184"/>
    </row>
    <row r="476" spans="1:15">
      <c r="A476" s="40"/>
      <c r="O476" s="184"/>
    </row>
    <row r="477" spans="1:15">
      <c r="A477" s="40"/>
      <c r="O477" s="184"/>
    </row>
    <row r="478" spans="1:15">
      <c r="A478" s="40"/>
      <c r="O478" s="184"/>
    </row>
    <row r="479" spans="1:15">
      <c r="A479" s="40">
        <f ca="1">IFERROR(__xludf.DUMMYFUNCTION("""COMPUTED_VALUE"""),6379)</f>
        <v>6379</v>
      </c>
      <c r="O479" s="184"/>
    </row>
    <row r="480" spans="1:15">
      <c r="A480" s="40">
        <f ca="1">IFERROR(__xludf.DUMMYFUNCTION("""COMPUTED_VALUE"""),0)</f>
        <v>0</v>
      </c>
      <c r="O480" s="184"/>
    </row>
    <row r="481" spans="1:15">
      <c r="A481" s="40">
        <f ca="1">IFERROR(__xludf.DUMMYFUNCTION("""COMPUTED_VALUE"""),13339)</f>
        <v>13339</v>
      </c>
      <c r="O481" s="184"/>
    </row>
    <row r="482" spans="1:15">
      <c r="A482" s="40">
        <f ca="1">IFERROR(__xludf.DUMMYFUNCTION("""COMPUTED_VALUE"""),0)</f>
        <v>0</v>
      </c>
      <c r="O482" s="184"/>
    </row>
    <row r="483" spans="1:15">
      <c r="A483" s="117">
        <f ca="1">IFERROR(__xludf.DUMMYFUNCTION("""COMPUTED_VALUE"""),12208)</f>
        <v>12208</v>
      </c>
      <c r="O483" s="184"/>
    </row>
    <row r="484" spans="1:15">
      <c r="A484" s="40">
        <f ca="1">IFERROR(__xludf.DUMMYFUNCTION("""COMPUTED_VALUE"""),0)</f>
        <v>0</v>
      </c>
      <c r="O484" s="184"/>
    </row>
    <row r="485" spans="1:15">
      <c r="A485" s="40">
        <f ca="1">IFERROR(__xludf.DUMMYFUNCTION("""COMPUTED_VALUE"""),0)</f>
        <v>0</v>
      </c>
      <c r="O485" s="184"/>
    </row>
    <row r="486" spans="1:15">
      <c r="A486" s="40">
        <f ca="1">IFERROR(__xludf.DUMMYFUNCTION("""COMPUTED_VALUE"""),0)</f>
        <v>0</v>
      </c>
      <c r="O486" s="184"/>
    </row>
    <row r="487" spans="1:15">
      <c r="A487" s="40">
        <f ca="1">IFERROR(__xludf.DUMMYFUNCTION("""COMPUTED_VALUE"""),22000)</f>
        <v>22000</v>
      </c>
      <c r="O487" s="184"/>
    </row>
    <row r="488" spans="1:15">
      <c r="A488" s="40">
        <f ca="1">IFERROR(__xludf.DUMMYFUNCTION("""COMPUTED_VALUE"""),0)</f>
        <v>0</v>
      </c>
      <c r="O488" s="184"/>
    </row>
    <row r="489" spans="1:15">
      <c r="A489" s="40">
        <f ca="1">IFERROR(__xludf.DUMMYFUNCTION("""COMPUTED_VALUE"""),0)</f>
        <v>0</v>
      </c>
      <c r="O489" s="184"/>
    </row>
    <row r="490" spans="1:15">
      <c r="A490" s="40">
        <f ca="1">IFERROR(__xludf.DUMMYFUNCTION("""COMPUTED_VALUE"""),53926)</f>
        <v>53926</v>
      </c>
      <c r="O490" s="184"/>
    </row>
    <row r="491" spans="1:15">
      <c r="A491" s="46">
        <f ca="1">IFERROR(__xludf.DUMMYFUNCTION("""COMPUTED_VALUE"""),-15113.1186226634)</f>
        <v>-15113.1186226634</v>
      </c>
      <c r="O491" s="184"/>
    </row>
    <row r="492" spans="1:15">
      <c r="A492" s="40"/>
      <c r="O492" s="184"/>
    </row>
    <row r="493" spans="1:15">
      <c r="A493" s="40"/>
      <c r="O493" s="184"/>
    </row>
    <row r="494" spans="1:15">
      <c r="A494" s="40"/>
      <c r="O494" s="184"/>
    </row>
    <row r="495" spans="1:15">
      <c r="A495" s="40"/>
      <c r="O495" s="184"/>
    </row>
    <row r="496" spans="1:15">
      <c r="A496" s="40">
        <f ca="1">IFERROR(__xludf.DUMMYFUNCTION("""COMPUTED_VALUE"""),5734)</f>
        <v>5734</v>
      </c>
      <c r="O496" s="184"/>
    </row>
    <row r="497" spans="1:15">
      <c r="A497" s="40">
        <f ca="1">IFERROR(__xludf.DUMMYFUNCTION("""COMPUTED_VALUE"""),5435)</f>
        <v>5435</v>
      </c>
      <c r="O497" s="184"/>
    </row>
    <row r="498" spans="1:15">
      <c r="A498" s="40">
        <f ca="1">IFERROR(__xludf.DUMMYFUNCTION("""COMPUTED_VALUE"""),4969)</f>
        <v>4969</v>
      </c>
      <c r="O498" s="184"/>
    </row>
    <row r="499" spans="1:15">
      <c r="A499" s="40">
        <f ca="1">IFERROR(__xludf.DUMMYFUNCTION("""COMPUTED_VALUE"""),5790)</f>
        <v>5790</v>
      </c>
      <c r="O499" s="184"/>
    </row>
    <row r="500" spans="1:15">
      <c r="A500" s="40">
        <f ca="1">IFERROR(__xludf.DUMMYFUNCTION("""COMPUTED_VALUE"""),5790)</f>
        <v>5790</v>
      </c>
      <c r="O500" s="184"/>
    </row>
    <row r="501" spans="1:15">
      <c r="A501" s="46">
        <f ca="1">IFERROR(__xludf.DUMMYFUNCTION("""COMPUTED_VALUE"""),5304)</f>
        <v>5304</v>
      </c>
      <c r="O501" s="184"/>
    </row>
    <row r="502" spans="1:15">
      <c r="A502" s="40">
        <f ca="1">IFERROR(__xludf.DUMMYFUNCTION("""COMPUTED_VALUE"""),6231)</f>
        <v>6231</v>
      </c>
      <c r="O502" s="184"/>
    </row>
    <row r="503" spans="1:15">
      <c r="A503" s="40">
        <f ca="1">IFERROR(__xludf.DUMMYFUNCTION("""COMPUTED_VALUE"""),7366.24)</f>
        <v>7366.24</v>
      </c>
      <c r="O503" s="184"/>
    </row>
    <row r="504" spans="1:15">
      <c r="A504" s="40">
        <f ca="1">IFERROR(__xludf.DUMMYFUNCTION("""COMPUTED_VALUE"""),6004.73)</f>
        <v>6004.73</v>
      </c>
      <c r="O504" s="184"/>
    </row>
    <row r="505" spans="1:15">
      <c r="A505" s="40">
        <f ca="1">IFERROR(__xludf.DUMMYFUNCTION("""COMPUTED_VALUE"""),5591)</f>
        <v>5591</v>
      </c>
      <c r="O505" s="184"/>
    </row>
    <row r="506" spans="1:15">
      <c r="A506" s="40">
        <f ca="1">IFERROR(__xludf.DUMMYFUNCTION("""COMPUTED_VALUE"""),5193)</f>
        <v>5193</v>
      </c>
      <c r="O506" s="184"/>
    </row>
    <row r="507" spans="1:15">
      <c r="A507" s="40">
        <f ca="1">IFERROR(__xludf.DUMMYFUNCTION("""COMPUTED_VALUE"""),63407.97)</f>
        <v>63407.97</v>
      </c>
      <c r="O507" s="184"/>
    </row>
    <row r="508" spans="1:15">
      <c r="A508" s="46">
        <f ca="1">IFERROR(__xludf.DUMMYFUNCTION("""COMPUTED_VALUE"""),-7488.62940626949)</f>
        <v>-7488.6294062694897</v>
      </c>
      <c r="O508" s="184"/>
    </row>
    <row r="509" spans="1:15">
      <c r="A509" s="40"/>
      <c r="O509" s="184"/>
    </row>
    <row r="510" spans="1:15">
      <c r="A510" s="40"/>
      <c r="O510" s="184"/>
    </row>
    <row r="511" spans="1:15">
      <c r="A511" s="40"/>
      <c r="O511" s="184"/>
    </row>
    <row r="512" spans="1:15">
      <c r="A512" s="40"/>
      <c r="O512" s="184"/>
    </row>
    <row r="513" spans="1:15">
      <c r="A513" s="46">
        <f ca="1">IFERROR(__xludf.DUMMYFUNCTION("""COMPUTED_VALUE"""),0)</f>
        <v>0</v>
      </c>
      <c r="O513" s="184"/>
    </row>
    <row r="514" spans="1:15">
      <c r="A514" s="46">
        <f ca="1">IFERROR(__xludf.DUMMYFUNCTION("""COMPUTED_VALUE"""),4568)</f>
        <v>4568</v>
      </c>
      <c r="O514" s="184"/>
    </row>
    <row r="515" spans="1:15">
      <c r="A515" s="46">
        <f ca="1">IFERROR(__xludf.DUMMYFUNCTION("""COMPUTED_VALUE"""),0)</f>
        <v>0</v>
      </c>
      <c r="O515" s="184"/>
    </row>
    <row r="516" spans="1:15">
      <c r="A516" s="46">
        <f ca="1">IFERROR(__xludf.DUMMYFUNCTION("""COMPUTED_VALUE"""),5226)</f>
        <v>5226</v>
      </c>
      <c r="O516" s="184"/>
    </row>
    <row r="517" spans="1:15">
      <c r="A517" s="46">
        <f ca="1">IFERROR(__xludf.DUMMYFUNCTION("""COMPUTED_VALUE"""),5226)</f>
        <v>5226</v>
      </c>
      <c r="O517" s="184"/>
    </row>
    <row r="518" spans="1:15">
      <c r="A518" s="46">
        <f ca="1">IFERROR(__xludf.DUMMYFUNCTION("""COMPUTED_VALUE"""),0)</f>
        <v>0</v>
      </c>
      <c r="O518" s="184"/>
    </row>
    <row r="519" spans="1:15">
      <c r="A519" s="46">
        <f ca="1">IFERROR(__xludf.DUMMYFUNCTION("""COMPUTED_VALUE"""),11242)</f>
        <v>11242</v>
      </c>
      <c r="O519" s="184"/>
    </row>
    <row r="520" spans="1:15">
      <c r="A520" s="46">
        <f ca="1">IFERROR(__xludf.DUMMYFUNCTION("""COMPUTED_VALUE"""),0)</f>
        <v>0</v>
      </c>
      <c r="O520" s="184"/>
    </row>
    <row r="521" spans="1:15">
      <c r="A521" s="46">
        <f ca="1">IFERROR(__xludf.DUMMYFUNCTION("""COMPUTED_VALUE"""),5582.17)</f>
        <v>5582.17</v>
      </c>
      <c r="O521" s="184"/>
    </row>
    <row r="522" spans="1:15">
      <c r="A522" s="46">
        <f ca="1">IFERROR(__xludf.DUMMYFUNCTION("""COMPUTED_VALUE"""),5281)</f>
        <v>5281</v>
      </c>
      <c r="O522" s="184"/>
    </row>
    <row r="523" spans="1:15">
      <c r="A523" s="40">
        <f ca="1">IFERROR(__xludf.DUMMYFUNCTION("""COMPUTED_VALUE"""),0)</f>
        <v>0</v>
      </c>
      <c r="O523" s="184"/>
    </row>
    <row r="524" spans="1:15">
      <c r="A524" s="40">
        <f ca="1">IFERROR(__xludf.DUMMYFUNCTION("""COMPUTED_VALUE"""),37125.17)</f>
        <v>37125.17</v>
      </c>
      <c r="O524" s="184"/>
    </row>
    <row r="525" spans="1:15">
      <c r="A525" s="46">
        <f ca="1">IFERROR(__xludf.DUMMYFUNCTION("""COMPUTED_VALUE"""),-28621.526193221)</f>
        <v>-28621.526193221001</v>
      </c>
      <c r="O525" s="184"/>
    </row>
    <row r="526" spans="1:15">
      <c r="A526" s="40"/>
      <c r="O526" s="184"/>
    </row>
    <row r="527" spans="1:15">
      <c r="A527" s="40"/>
      <c r="O527" s="184"/>
    </row>
    <row r="528" spans="1:15">
      <c r="A528" s="40"/>
      <c r="O528" s="184"/>
    </row>
    <row r="529" spans="1:15">
      <c r="A529" s="40"/>
      <c r="O529" s="184"/>
    </row>
    <row r="530" spans="1:15">
      <c r="A530" s="40">
        <f ca="1">IFERROR(__xludf.DUMMYFUNCTION("""COMPUTED_VALUE"""),0)</f>
        <v>0</v>
      </c>
      <c r="O530" s="184"/>
    </row>
    <row r="531" spans="1:15">
      <c r="A531" s="40">
        <f ca="1">IFERROR(__xludf.DUMMYFUNCTION("""COMPUTED_VALUE"""),10158)</f>
        <v>10158</v>
      </c>
      <c r="O531" s="184"/>
    </row>
    <row r="532" spans="1:15">
      <c r="A532" s="40">
        <f ca="1">IFERROR(__xludf.DUMMYFUNCTION("""COMPUTED_VALUE"""),4519.05)</f>
        <v>4519.05</v>
      </c>
      <c r="O532" s="184"/>
    </row>
    <row r="533" spans="1:15">
      <c r="A533" s="40">
        <f ca="1">IFERROR(__xludf.DUMMYFUNCTION("""COMPUTED_VALUE"""),5297.38)</f>
        <v>5297.38</v>
      </c>
      <c r="O533" s="184"/>
    </row>
    <row r="534" spans="1:15">
      <c r="A534" s="40">
        <f ca="1">IFERROR(__xludf.DUMMYFUNCTION("""COMPUTED_VALUE"""),7235)</f>
        <v>7235</v>
      </c>
      <c r="O534" s="184"/>
    </row>
    <row r="535" spans="1:15">
      <c r="A535" s="46">
        <f ca="1">IFERROR(__xludf.DUMMYFUNCTION("""COMPUTED_VALUE"""),4944)</f>
        <v>4944</v>
      </c>
      <c r="O535" s="184"/>
    </row>
    <row r="536" spans="1:15">
      <c r="A536" s="40">
        <f ca="1">IFERROR(__xludf.DUMMYFUNCTION("""COMPUTED_VALUE"""),6114)</f>
        <v>6114</v>
      </c>
      <c r="O536" s="184"/>
    </row>
    <row r="537" spans="1:15">
      <c r="A537" s="40">
        <f ca="1">IFERROR(__xludf.DUMMYFUNCTION("""COMPUTED_VALUE"""),0)</f>
        <v>0</v>
      </c>
      <c r="O537" s="184"/>
    </row>
    <row r="538" spans="1:15">
      <c r="A538" s="40">
        <f ca="1">IFERROR(__xludf.DUMMYFUNCTION("""COMPUTED_VALUE"""),12119.66)</f>
        <v>12119.66</v>
      </c>
      <c r="O538" s="184"/>
    </row>
    <row r="539" spans="1:15">
      <c r="A539" s="40">
        <f ca="1">IFERROR(__xludf.DUMMYFUNCTION("""COMPUTED_VALUE"""),5143)</f>
        <v>5143</v>
      </c>
      <c r="O539" s="184"/>
    </row>
    <row r="540" spans="1:15">
      <c r="A540" s="40">
        <f ca="1">IFERROR(__xludf.DUMMYFUNCTION("""COMPUTED_VALUE"""),5166)</f>
        <v>5166</v>
      </c>
      <c r="O540" s="184"/>
    </row>
    <row r="541" spans="1:15">
      <c r="A541" s="40">
        <f ca="1">IFERROR(__xludf.DUMMYFUNCTION("""COMPUTED_VALUE"""),60696.09)</f>
        <v>60696.09</v>
      </c>
      <c r="O541" s="184"/>
    </row>
    <row r="542" spans="1:15">
      <c r="A542" s="46">
        <f ca="1">IFERROR(__xludf.DUMMYFUNCTION("""COMPUTED_VALUE"""),-3583.57548342151)</f>
        <v>-3583.5754834215099</v>
      </c>
      <c r="O542" s="184"/>
    </row>
    <row r="543" spans="1:15">
      <c r="A543" s="40"/>
      <c r="O543" s="184"/>
    </row>
    <row r="544" spans="1:15">
      <c r="A544" s="40"/>
      <c r="O544" s="184"/>
    </row>
    <row r="545" spans="1:15">
      <c r="A545" s="40"/>
      <c r="O545" s="184"/>
    </row>
    <row r="546" spans="1:15">
      <c r="A546" s="40"/>
      <c r="O546" s="184"/>
    </row>
    <row r="547" spans="1:15">
      <c r="A547" s="46">
        <f ca="1">IFERROR(__xludf.DUMMYFUNCTION("""COMPUTED_VALUE"""),5286)</f>
        <v>5286</v>
      </c>
      <c r="O547" s="184"/>
    </row>
    <row r="548" spans="1:15">
      <c r="A548" s="46">
        <f ca="1">IFERROR(__xludf.DUMMYFUNCTION("""COMPUTED_VALUE"""),4012)</f>
        <v>4012</v>
      </c>
      <c r="O548" s="184"/>
    </row>
    <row r="549" spans="1:15">
      <c r="A549" s="46">
        <f ca="1">IFERROR(__xludf.DUMMYFUNCTION("""COMPUTED_VALUE"""),4365.17)</f>
        <v>4365.17</v>
      </c>
      <c r="O549" s="184"/>
    </row>
    <row r="550" spans="1:15">
      <c r="A550" s="46">
        <f ca="1">IFERROR(__xludf.DUMMYFUNCTION("""COMPUTED_VALUE"""),5177)</f>
        <v>5177</v>
      </c>
      <c r="O550" s="184"/>
    </row>
    <row r="551" spans="1:15">
      <c r="A551" s="46">
        <f ca="1">IFERROR(__xludf.DUMMYFUNCTION("""COMPUTED_VALUE"""),5581.91)</f>
        <v>5581.91</v>
      </c>
      <c r="O551" s="184"/>
    </row>
    <row r="552" spans="1:15">
      <c r="A552" s="46">
        <f ca="1">IFERROR(__xludf.DUMMYFUNCTION("""COMPUTED_VALUE"""),4841.04)</f>
        <v>4841.04</v>
      </c>
      <c r="O552" s="184"/>
    </row>
    <row r="553" spans="1:15">
      <c r="A553" s="46">
        <f ca="1">IFERROR(__xludf.DUMMYFUNCTION("""COMPUTED_VALUE"""),6114)</f>
        <v>6114</v>
      </c>
      <c r="O553" s="184"/>
    </row>
    <row r="554" spans="1:15">
      <c r="A554" s="46">
        <f ca="1">IFERROR(__xludf.DUMMYFUNCTION("""COMPUTED_VALUE"""),7245.47)</f>
        <v>7245.47</v>
      </c>
      <c r="O554" s="184"/>
    </row>
    <row r="555" spans="1:15">
      <c r="A555" s="46">
        <f ca="1">IFERROR(__xludf.DUMMYFUNCTION("""COMPUTED_VALUE"""),5192.32)</f>
        <v>5192.32</v>
      </c>
      <c r="O555" s="184"/>
    </row>
    <row r="556" spans="1:15">
      <c r="A556" s="46">
        <f ca="1">IFERROR(__xludf.DUMMYFUNCTION("""COMPUTED_VALUE"""),4894)</f>
        <v>4894</v>
      </c>
      <c r="O556" s="184"/>
    </row>
    <row r="557" spans="1:15">
      <c r="A557" s="40">
        <f ca="1">IFERROR(__xludf.DUMMYFUNCTION("""COMPUTED_VALUE"""),4573)</f>
        <v>4573</v>
      </c>
      <c r="O557" s="184"/>
    </row>
    <row r="558" spans="1:15">
      <c r="A558" s="40">
        <f ca="1">IFERROR(__xludf.DUMMYFUNCTION("""COMPUTED_VALUE"""),57281.9099999999)</f>
        <v>57281.909999999902</v>
      </c>
      <c r="O558" s="184"/>
    </row>
    <row r="559" spans="1:15">
      <c r="A559" s="46">
        <f ca="1">IFERROR(__xludf.DUMMYFUNCTION("""COMPUTED_VALUE"""),-5076.97557015961)</f>
        <v>-5076.9755701596096</v>
      </c>
      <c r="O559" s="184"/>
    </row>
    <row r="560" spans="1:15">
      <c r="A560" s="40"/>
      <c r="O560" s="184"/>
    </row>
    <row r="561" spans="1:15">
      <c r="A561" s="40"/>
      <c r="O561" s="184"/>
    </row>
    <row r="562" spans="1:15">
      <c r="A562" s="40"/>
      <c r="O562" s="184"/>
    </row>
    <row r="563" spans="1:15">
      <c r="A563" s="40"/>
      <c r="O563" s="184"/>
    </row>
    <row r="564" spans="1:15">
      <c r="A564" s="40">
        <f ca="1">IFERROR(__xludf.DUMMYFUNCTION("""COMPUTED_VALUE"""),21099)</f>
        <v>21099</v>
      </c>
      <c r="O564" s="184"/>
    </row>
    <row r="565" spans="1:15">
      <c r="A565" s="46">
        <f ca="1">IFERROR(__xludf.DUMMYFUNCTION("""COMPUTED_VALUE"""),77099)</f>
        <v>77099</v>
      </c>
      <c r="O565" s="184"/>
    </row>
    <row r="566" spans="1:15">
      <c r="A566" s="46">
        <f ca="1">IFERROR(__xludf.DUMMYFUNCTION("""COMPUTED_VALUE"""),0)</f>
        <v>0</v>
      </c>
      <c r="O566" s="184"/>
    </row>
    <row r="567" spans="1:15">
      <c r="A567" s="46">
        <f ca="1">IFERROR(__xludf.DUMMYFUNCTION("""COMPUTED_VALUE"""),15859)</f>
        <v>15859</v>
      </c>
      <c r="O567" s="184"/>
    </row>
    <row r="568" spans="1:15">
      <c r="A568" s="46">
        <f ca="1">IFERROR(__xludf.DUMMYFUNCTION("""COMPUTED_VALUE"""),0)</f>
        <v>0</v>
      </c>
      <c r="O568" s="184"/>
    </row>
    <row r="569" spans="1:15">
      <c r="A569" s="46">
        <f ca="1">IFERROR(__xludf.DUMMYFUNCTION("""COMPUTED_VALUE"""),0)</f>
        <v>0</v>
      </c>
      <c r="O569" s="184"/>
    </row>
    <row r="570" spans="1:15">
      <c r="A570" s="46">
        <f ca="1">IFERROR(__xludf.DUMMYFUNCTION("""COMPUTED_VALUE"""),0)</f>
        <v>0</v>
      </c>
      <c r="O570" s="184"/>
    </row>
    <row r="571" spans="1:15">
      <c r="A571" s="46">
        <f ca="1">IFERROR(__xludf.DUMMYFUNCTION("""COMPUTED_VALUE"""),0)</f>
        <v>0</v>
      </c>
      <c r="O571" s="184"/>
    </row>
    <row r="572" spans="1:15">
      <c r="A572" s="46">
        <f ca="1">IFERROR(__xludf.DUMMYFUNCTION("""COMPUTED_VALUE"""),6231)</f>
        <v>6231</v>
      </c>
      <c r="O572" s="184"/>
    </row>
    <row r="573" spans="1:15">
      <c r="A573" s="40">
        <f ca="1">IFERROR(__xludf.DUMMYFUNCTION("""COMPUTED_VALUE"""),5809.25)</f>
        <v>5809.25</v>
      </c>
      <c r="O573" s="184"/>
    </row>
    <row r="574" spans="1:15">
      <c r="A574" s="46">
        <f ca="1">IFERROR(__xludf.DUMMYFUNCTION("""COMPUTED_VALUE"""),5814)</f>
        <v>5814</v>
      </c>
      <c r="O574" s="184"/>
    </row>
    <row r="575" spans="1:15">
      <c r="A575" s="40">
        <f ca="1">IFERROR(__xludf.DUMMYFUNCTION("""COMPUTED_VALUE"""),131911.25)</f>
        <v>131911.25</v>
      </c>
      <c r="O575" s="184"/>
    </row>
    <row r="576" spans="1:15">
      <c r="A576" s="46">
        <f ca="1">IFERROR(__xludf.DUMMYFUNCTION("""COMPUTED_VALUE"""),41865.0877122106)</f>
        <v>41865.087712210603</v>
      </c>
      <c r="O576" s="184"/>
    </row>
    <row r="577" spans="1:15">
      <c r="A577" s="40"/>
      <c r="O577" s="184"/>
    </row>
    <row r="578" spans="1:15">
      <c r="A578" s="40"/>
      <c r="O578" s="184"/>
    </row>
    <row r="579" spans="1:15">
      <c r="A579" s="40"/>
      <c r="O579" s="184"/>
    </row>
    <row r="580" spans="1:15">
      <c r="A580" s="40"/>
      <c r="O580" s="184"/>
    </row>
    <row r="581" spans="1:15">
      <c r="A581" s="40">
        <f ca="1">IFERROR(__xludf.DUMMYFUNCTION("""COMPUTED_VALUE"""),5553)</f>
        <v>5553</v>
      </c>
      <c r="O581" s="184"/>
    </row>
    <row r="582" spans="1:15">
      <c r="A582" s="40">
        <f ca="1">IFERROR(__xludf.DUMMYFUNCTION("""COMPUTED_VALUE"""),44238.54)</f>
        <v>44238.54</v>
      </c>
      <c r="O582" s="184"/>
    </row>
    <row r="583" spans="1:15">
      <c r="A583" s="40">
        <f ca="1">IFERROR(__xludf.DUMMYFUNCTION("""COMPUTED_VALUE"""),4573)</f>
        <v>4573</v>
      </c>
      <c r="O583" s="184"/>
    </row>
    <row r="584" spans="1:15">
      <c r="A584" s="40">
        <f ca="1">IFERROR(__xludf.DUMMYFUNCTION("""COMPUTED_VALUE"""),5457)</f>
        <v>5457</v>
      </c>
      <c r="O584" s="184"/>
    </row>
    <row r="585" spans="1:15">
      <c r="A585" s="40">
        <f ca="1">IFERROR(__xludf.DUMMYFUNCTION("""COMPUTED_VALUE"""),5457)</f>
        <v>5457</v>
      </c>
      <c r="O585" s="184"/>
    </row>
    <row r="586" spans="1:15">
      <c r="A586" s="46">
        <f ca="1">IFERROR(__xludf.DUMMYFUNCTION("""COMPUTED_VALUE"""),4997)</f>
        <v>4997</v>
      </c>
      <c r="O586" s="184"/>
    </row>
    <row r="587" spans="1:15">
      <c r="A587" s="40">
        <f ca="1">IFERROR(__xludf.DUMMYFUNCTION("""COMPUTED_VALUE"""),6231)</f>
        <v>6231</v>
      </c>
      <c r="O587" s="184"/>
    </row>
    <row r="588" spans="1:15">
      <c r="A588" s="40">
        <f ca="1">IFERROR(__xludf.DUMMYFUNCTION("""COMPUTED_VALUE"""),6845)</f>
        <v>6845</v>
      </c>
      <c r="O588" s="184"/>
    </row>
    <row r="589" spans="1:15">
      <c r="A589" s="40">
        <f ca="1">IFERROR(__xludf.DUMMYFUNCTION("""COMPUTED_VALUE"""),5130)</f>
        <v>5130</v>
      </c>
      <c r="O589" s="184"/>
    </row>
    <row r="590" spans="1:15">
      <c r="A590" s="40">
        <f ca="1">IFERROR(__xludf.DUMMYFUNCTION("""COMPUTED_VALUE"""),5298)</f>
        <v>5298</v>
      </c>
      <c r="O590" s="184"/>
    </row>
    <row r="591" spans="1:15">
      <c r="A591" s="40">
        <f ca="1">IFERROR(__xludf.DUMMYFUNCTION("""COMPUTED_VALUE"""),0)</f>
        <v>0</v>
      </c>
      <c r="O591" s="184"/>
    </row>
    <row r="592" spans="1:15">
      <c r="A592" s="40">
        <f ca="1">IFERROR(__xludf.DUMMYFUNCTION("""COMPUTED_VALUE"""),93779.54)</f>
        <v>93779.54</v>
      </c>
      <c r="O592" s="184"/>
    </row>
    <row r="593" spans="1:15">
      <c r="A593" s="46">
        <f ca="1">IFERROR(__xludf.DUMMYFUNCTION("""COMPUTED_VALUE"""),29547.5097377091)</f>
        <v>29547.509737709101</v>
      </c>
      <c r="O593" s="184"/>
    </row>
    <row r="594" spans="1:15">
      <c r="A594" s="40"/>
      <c r="O594" s="184"/>
    </row>
    <row r="595" spans="1:15">
      <c r="A595" s="40"/>
      <c r="O595" s="184"/>
    </row>
    <row r="596" spans="1:15">
      <c r="A596" s="40"/>
      <c r="O596" s="184"/>
    </row>
    <row r="597" spans="1:15">
      <c r="A597" s="40"/>
      <c r="O597" s="184"/>
    </row>
    <row r="598" spans="1:15">
      <c r="A598" s="46">
        <f ca="1">IFERROR(__xludf.DUMMYFUNCTION("""COMPUTED_VALUE"""),6853)</f>
        <v>6853</v>
      </c>
      <c r="O598" s="184"/>
    </row>
    <row r="599" spans="1:15">
      <c r="A599" s="46">
        <f ca="1">IFERROR(__xludf.DUMMYFUNCTION("""COMPUTED_VALUE"""),4897)</f>
        <v>4897</v>
      </c>
      <c r="O599" s="184"/>
    </row>
    <row r="600" spans="1:15">
      <c r="A600" s="46">
        <f ca="1">IFERROR(__xludf.DUMMYFUNCTION("""COMPUTED_VALUE"""),4516)</f>
        <v>4516</v>
      </c>
      <c r="O600" s="184"/>
    </row>
    <row r="601" spans="1:15">
      <c r="A601" s="46">
        <f ca="1">IFERROR(__xludf.DUMMYFUNCTION("""COMPUTED_VALUE"""),5290)</f>
        <v>5290</v>
      </c>
      <c r="O601" s="184"/>
    </row>
    <row r="602" spans="1:15">
      <c r="A602" s="46">
        <f ca="1">IFERROR(__xludf.DUMMYFUNCTION("""COMPUTED_VALUE"""),5290)</f>
        <v>5290</v>
      </c>
      <c r="O602" s="184"/>
    </row>
    <row r="603" spans="1:15">
      <c r="A603" s="46">
        <f ca="1">IFERROR(__xludf.DUMMYFUNCTION("""COMPUTED_VALUE"""),0)</f>
        <v>0</v>
      </c>
      <c r="O603" s="184"/>
    </row>
    <row r="604" spans="1:15">
      <c r="A604" s="46">
        <f ca="1">IFERROR(__xludf.DUMMYFUNCTION("""COMPUTED_VALUE"""),11751)</f>
        <v>11751</v>
      </c>
      <c r="O604" s="184"/>
    </row>
    <row r="605" spans="1:15">
      <c r="A605" s="46">
        <f ca="1">IFERROR(__xludf.DUMMYFUNCTION("""COMPUTED_VALUE"""),0)</f>
        <v>0</v>
      </c>
      <c r="O605" s="184"/>
    </row>
    <row r="606" spans="1:15">
      <c r="A606" s="46">
        <f ca="1">IFERROR(__xludf.DUMMYFUNCTION("""COMPUTED_VALUE"""),0)</f>
        <v>0</v>
      </c>
      <c r="O606" s="184"/>
    </row>
    <row r="607" spans="1:15">
      <c r="A607" s="46">
        <f ca="1">IFERROR(__xludf.DUMMYFUNCTION("""COMPUTED_VALUE"""),0)</f>
        <v>0</v>
      </c>
      <c r="O607" s="184"/>
    </row>
    <row r="608" spans="1:15">
      <c r="A608" s="40">
        <f ca="1">IFERROR(__xludf.DUMMYFUNCTION("""COMPUTED_VALUE"""),5361)</f>
        <v>5361</v>
      </c>
      <c r="O608" s="184"/>
    </row>
    <row r="609" spans="1:15">
      <c r="A609" s="40">
        <f ca="1">IFERROR(__xludf.DUMMYFUNCTION("""COMPUTED_VALUE"""),43958)</f>
        <v>43958</v>
      </c>
      <c r="O609" s="184"/>
    </row>
    <row r="610" spans="1:15">
      <c r="A610" s="46">
        <f ca="1">IFERROR(__xludf.DUMMYFUNCTION("""COMPUTED_VALUE"""),-28363.7481615967)</f>
        <v>-28363.748161596701</v>
      </c>
      <c r="O610" s="184"/>
    </row>
    <row r="611" spans="1:15">
      <c r="A611" s="40"/>
      <c r="O611" s="184"/>
    </row>
    <row r="612" spans="1:15">
      <c r="A612" s="40"/>
      <c r="O612" s="184"/>
    </row>
    <row r="613" spans="1:15">
      <c r="A613" s="40"/>
      <c r="O613" s="184"/>
    </row>
    <row r="614" spans="1:15">
      <c r="A614" s="40"/>
      <c r="O614" s="184"/>
    </row>
    <row r="615" spans="1:15">
      <c r="A615" s="40">
        <f ca="1">IFERROR(__xludf.DUMMYFUNCTION("""COMPUTED_VALUE"""),6314)</f>
        <v>6314</v>
      </c>
      <c r="O615" s="184"/>
    </row>
    <row r="616" spans="1:15">
      <c r="A616" s="40">
        <f ca="1">IFERROR(__xludf.DUMMYFUNCTION("""COMPUTED_VALUE"""),0)</f>
        <v>0</v>
      </c>
      <c r="O616" s="184"/>
    </row>
    <row r="617" spans="1:15">
      <c r="A617" s="40">
        <f ca="1">IFERROR(__xludf.DUMMYFUNCTION("""COMPUTED_VALUE"""),0)</f>
        <v>0</v>
      </c>
      <c r="O617" s="184"/>
    </row>
    <row r="618" spans="1:15">
      <c r="A618" s="40">
        <f ca="1">IFERROR(__xludf.DUMMYFUNCTION("""COMPUTED_VALUE"""),5000)</f>
        <v>5000</v>
      </c>
      <c r="O618" s="184"/>
    </row>
    <row r="619" spans="1:15">
      <c r="A619" s="40">
        <f ca="1">IFERROR(__xludf.DUMMYFUNCTION("""COMPUTED_VALUE"""),0)</f>
        <v>0</v>
      </c>
      <c r="O619" s="184"/>
    </row>
    <row r="620" spans="1:15">
      <c r="A620" s="46">
        <f ca="1">IFERROR(__xludf.DUMMYFUNCTION("""COMPUTED_VALUE"""),4935)</f>
        <v>4935</v>
      </c>
      <c r="O620" s="184"/>
    </row>
    <row r="621" spans="1:15">
      <c r="A621" s="40">
        <f ca="1">IFERROR(__xludf.DUMMYFUNCTION("""COMPUTED_VALUE"""),0)</f>
        <v>0</v>
      </c>
      <c r="O621" s="184"/>
    </row>
    <row r="622" spans="1:15">
      <c r="A622" s="40">
        <f ca="1">IFERROR(__xludf.DUMMYFUNCTION("""COMPUTED_VALUE"""),6114)</f>
        <v>6114</v>
      </c>
      <c r="O622" s="184"/>
    </row>
    <row r="623" spans="1:15">
      <c r="A623" s="40">
        <f ca="1">IFERROR(__xludf.DUMMYFUNCTION("""COMPUTED_VALUE"""),0)</f>
        <v>0</v>
      </c>
      <c r="O623" s="184"/>
    </row>
    <row r="624" spans="1:15">
      <c r="A624" s="40">
        <f ca="1">IFERROR(__xludf.DUMMYFUNCTION("""COMPUTED_VALUE"""),4892)</f>
        <v>4892</v>
      </c>
      <c r="O624" s="184"/>
    </row>
    <row r="625" spans="1:15">
      <c r="A625" s="40">
        <f ca="1">IFERROR(__xludf.DUMMYFUNCTION("""COMPUTED_VALUE"""),4619)</f>
        <v>4619</v>
      </c>
      <c r="O625" s="184"/>
    </row>
    <row r="626" spans="1:15">
      <c r="A626" s="40">
        <f ca="1">IFERROR(__xludf.DUMMYFUNCTION("""COMPUTED_VALUE"""),31874)</f>
        <v>31874</v>
      </c>
      <c r="O626" s="184"/>
    </row>
    <row r="627" spans="1:15">
      <c r="A627" s="46">
        <f ca="1">IFERROR(__xludf.DUMMYFUNCTION("""COMPUTED_VALUE"""),-34060.5291895907)</f>
        <v>-34060.529189590699</v>
      </c>
      <c r="O627" s="184"/>
    </row>
    <row r="628" spans="1:15">
      <c r="A628" s="40"/>
      <c r="O628" s="184"/>
    </row>
    <row r="629" spans="1:15">
      <c r="A629" s="40"/>
      <c r="O629" s="184"/>
    </row>
    <row r="630" spans="1:15">
      <c r="A630" s="40"/>
      <c r="O630" s="184"/>
    </row>
    <row r="631" spans="1:15">
      <c r="A631" s="40"/>
      <c r="O631" s="184"/>
    </row>
    <row r="632" spans="1:15">
      <c r="A632" s="40">
        <f ca="1">IFERROR(__xludf.DUMMYFUNCTION("""COMPUTED_VALUE"""),5320)</f>
        <v>5320</v>
      </c>
      <c r="O632" s="184"/>
    </row>
    <row r="633" spans="1:15">
      <c r="A633" s="40">
        <f ca="1">IFERROR(__xludf.DUMMYFUNCTION("""COMPUTED_VALUE"""),0)</f>
        <v>0</v>
      </c>
      <c r="O633" s="184"/>
    </row>
    <row r="634" spans="1:15">
      <c r="A634" s="40">
        <f ca="1">IFERROR(__xludf.DUMMYFUNCTION("""COMPUTED_VALUE"""),0)</f>
        <v>0</v>
      </c>
      <c r="O634" s="184"/>
    </row>
    <row r="635" spans="1:15">
      <c r="A635" s="40">
        <f ca="1">IFERROR(__xludf.DUMMYFUNCTION("""COMPUTED_VALUE"""),0)</f>
        <v>0</v>
      </c>
      <c r="O635" s="184"/>
    </row>
    <row r="636" spans="1:15">
      <c r="A636" s="40">
        <f ca="1">IFERROR(__xludf.DUMMYFUNCTION("""COMPUTED_VALUE"""),15000)</f>
        <v>15000</v>
      </c>
      <c r="O636" s="184"/>
    </row>
    <row r="637" spans="1:15">
      <c r="A637" s="40">
        <f ca="1">IFERROR(__xludf.DUMMYFUNCTION("""COMPUTED_VALUE"""),0)</f>
        <v>0</v>
      </c>
      <c r="O637" s="184"/>
    </row>
    <row r="638" spans="1:15">
      <c r="A638" s="40">
        <f ca="1">IFERROR(__xludf.DUMMYFUNCTION("""COMPUTED_VALUE"""),0)</f>
        <v>0</v>
      </c>
      <c r="O638" s="184"/>
    </row>
    <row r="639" spans="1:15">
      <c r="A639" s="40">
        <f ca="1">IFERROR(__xludf.DUMMYFUNCTION("""COMPUTED_VALUE"""),0)</f>
        <v>0</v>
      </c>
      <c r="O639" s="184"/>
    </row>
    <row r="640" spans="1:15">
      <c r="A640" s="40">
        <f ca="1">IFERROR(__xludf.DUMMYFUNCTION("""COMPUTED_VALUE"""),0)</f>
        <v>0</v>
      </c>
      <c r="O640" s="184"/>
    </row>
    <row r="641" spans="1:15">
      <c r="A641" s="40">
        <f ca="1">IFERROR(__xludf.DUMMYFUNCTION("""COMPUTED_VALUE"""),0)</f>
        <v>0</v>
      </c>
      <c r="O641" s="184"/>
    </row>
    <row r="642" spans="1:15">
      <c r="A642" s="40">
        <f ca="1">IFERROR(__xludf.DUMMYFUNCTION("""COMPUTED_VALUE"""),0)</f>
        <v>0</v>
      </c>
      <c r="O642" s="184"/>
    </row>
    <row r="643" spans="1:15">
      <c r="A643" s="40">
        <f ca="1">IFERROR(__xludf.DUMMYFUNCTION("""COMPUTED_VALUE"""),20320)</f>
        <v>20320</v>
      </c>
      <c r="O643" s="184"/>
    </row>
    <row r="644" spans="1:15">
      <c r="A644" s="46">
        <f ca="1">IFERROR(__xludf.DUMMYFUNCTION("""COMPUTED_VALUE"""),-40782.0550871475)</f>
        <v>-40782.055087147499</v>
      </c>
      <c r="O644" s="184"/>
    </row>
    <row r="645" spans="1:15">
      <c r="A645" s="40"/>
      <c r="O645" s="184"/>
    </row>
    <row r="646" spans="1:15">
      <c r="A646" s="40"/>
      <c r="O646" s="184"/>
    </row>
    <row r="647" spans="1:15">
      <c r="A647" s="40"/>
      <c r="O647" s="184"/>
    </row>
    <row r="648" spans="1:15">
      <c r="A648" s="40"/>
      <c r="O648" s="184"/>
    </row>
    <row r="649" spans="1:15">
      <c r="A649" s="46">
        <f ca="1">IFERROR(__xludf.DUMMYFUNCTION("""COMPUTED_VALUE"""),5402)</f>
        <v>5402</v>
      </c>
      <c r="O649" s="184"/>
    </row>
    <row r="650" spans="1:15">
      <c r="A650" s="46">
        <f ca="1">IFERROR(__xludf.DUMMYFUNCTION("""COMPUTED_VALUE"""),4060)</f>
        <v>4060</v>
      </c>
      <c r="O650" s="184"/>
    </row>
    <row r="651" spans="1:15">
      <c r="A651" s="46">
        <f ca="1">IFERROR(__xludf.DUMMYFUNCTION("""COMPUTED_VALUE"""),4378)</f>
        <v>4378</v>
      </c>
      <c r="O651" s="184"/>
    </row>
    <row r="652" spans="1:15">
      <c r="A652" s="46">
        <f ca="1">IFERROR(__xludf.DUMMYFUNCTION("""COMPUTED_VALUE"""),5168)</f>
        <v>5168</v>
      </c>
      <c r="O652" s="184"/>
    </row>
    <row r="653" spans="1:15">
      <c r="A653" s="46">
        <f ca="1">IFERROR(__xludf.DUMMYFUNCTION("""COMPUTED_VALUE"""),5168)</f>
        <v>5168</v>
      </c>
      <c r="O653" s="184"/>
    </row>
    <row r="654" spans="1:15">
      <c r="A654" s="46">
        <f ca="1">IFERROR(__xludf.DUMMYFUNCTION("""COMPUTED_VALUE"""),4741)</f>
        <v>4741</v>
      </c>
      <c r="O654" s="184"/>
    </row>
    <row r="655" spans="1:15">
      <c r="A655" s="40">
        <f ca="1">IFERROR(__xludf.DUMMYFUNCTION("""COMPUTED_VALUE"""),6114)</f>
        <v>6114</v>
      </c>
      <c r="O655" s="184"/>
    </row>
    <row r="656" spans="1:15">
      <c r="A656" s="46">
        <f ca="1">IFERROR(__xludf.DUMMYFUNCTION("""COMPUTED_VALUE"""),6546)</f>
        <v>6546</v>
      </c>
      <c r="O656" s="184"/>
    </row>
    <row r="657" spans="1:15">
      <c r="A657" s="46">
        <f ca="1">IFERROR(__xludf.DUMMYFUNCTION("""COMPUTED_VALUE"""),4800.13)</f>
        <v>4800.13</v>
      </c>
      <c r="O657" s="184"/>
    </row>
    <row r="658" spans="1:15">
      <c r="A658" s="46">
        <f ca="1">IFERROR(__xludf.DUMMYFUNCTION("""COMPUTED_VALUE"""),5272)</f>
        <v>5272</v>
      </c>
      <c r="O658" s="184"/>
    </row>
    <row r="659" spans="1:15">
      <c r="A659" s="40">
        <f ca="1">IFERROR(__xludf.DUMMYFUNCTION("""COMPUTED_VALUE"""),4875)</f>
        <v>4875</v>
      </c>
      <c r="O659" s="184"/>
    </row>
    <row r="660" spans="1:15">
      <c r="A660" s="40">
        <f ca="1">IFERROR(__xludf.DUMMYFUNCTION("""COMPUTED_VALUE"""),56524.13)</f>
        <v>56524.13</v>
      </c>
      <c r="O660" s="184"/>
    </row>
    <row r="661" spans="1:15">
      <c r="A661" s="46">
        <f ca="1">IFERROR(__xludf.DUMMYFUNCTION("""COMPUTED_VALUE"""),-5330.37342170197)</f>
        <v>-5330.3734217019701</v>
      </c>
      <c r="O661" s="184"/>
    </row>
    <row r="662" spans="1:15">
      <c r="A662" s="40"/>
      <c r="O662" s="184"/>
    </row>
    <row r="663" spans="1:15">
      <c r="A663" s="40"/>
      <c r="O663" s="184"/>
    </row>
    <row r="664" spans="1:15">
      <c r="A664" s="40"/>
      <c r="O664" s="184"/>
    </row>
    <row r="665" spans="1:15">
      <c r="A665" s="40"/>
      <c r="O665" s="184"/>
    </row>
    <row r="666" spans="1:15">
      <c r="A666" s="46">
        <f ca="1">IFERROR(__xludf.DUMMYFUNCTION("""COMPUTED_VALUE"""),5431)</f>
        <v>5431</v>
      </c>
      <c r="O666" s="184"/>
    </row>
    <row r="667" spans="1:15">
      <c r="A667" s="46">
        <f ca="1">IFERROR(__xludf.DUMMYFUNCTION("""COMPUTED_VALUE"""),4838)</f>
        <v>4838</v>
      </c>
      <c r="O667" s="184"/>
    </row>
    <row r="668" spans="1:15">
      <c r="A668" s="46">
        <f ca="1">IFERROR(__xludf.DUMMYFUNCTION("""COMPUTED_VALUE"""),5922.86)</f>
        <v>5922.86</v>
      </c>
      <c r="O668" s="184"/>
    </row>
    <row r="669" spans="1:15">
      <c r="A669" s="46">
        <f ca="1">IFERROR(__xludf.DUMMYFUNCTION("""COMPUTED_VALUE"""),6830.03)</f>
        <v>6830.03</v>
      </c>
      <c r="O669" s="184"/>
    </row>
    <row r="670" spans="1:15">
      <c r="A670" s="46">
        <f ca="1">IFERROR(__xludf.DUMMYFUNCTION("""COMPUTED_VALUE"""),6981.26)</f>
        <v>6981.26</v>
      </c>
      <c r="O670" s="184"/>
    </row>
    <row r="671" spans="1:15">
      <c r="A671" s="46">
        <f ca="1">IFERROR(__xludf.DUMMYFUNCTION("""COMPUTED_VALUE"""),5862.45)</f>
        <v>5862.45</v>
      </c>
      <c r="O671" s="184"/>
    </row>
    <row r="672" spans="1:15">
      <c r="A672" s="46">
        <f ca="1">IFERROR(__xludf.DUMMYFUNCTION("""COMPUTED_VALUE"""),6114)</f>
        <v>6114</v>
      </c>
      <c r="O672" s="184"/>
    </row>
    <row r="673" spans="1:15">
      <c r="A673" s="46">
        <f ca="1">IFERROR(__xludf.DUMMYFUNCTION("""COMPUTED_VALUE"""),7947.89)</f>
        <v>7947.89</v>
      </c>
      <c r="O673" s="184"/>
    </row>
    <row r="674" spans="1:15">
      <c r="A674" s="46">
        <f ca="1">IFERROR(__xludf.DUMMYFUNCTION("""COMPUTED_VALUE"""),6131.54)</f>
        <v>6131.54</v>
      </c>
      <c r="O674" s="184"/>
    </row>
    <row r="675" spans="1:15">
      <c r="A675" s="46">
        <f ca="1">IFERROR(__xludf.DUMMYFUNCTION("""COMPUTED_VALUE"""),0)</f>
        <v>0</v>
      </c>
      <c r="O675" s="184"/>
    </row>
    <row r="676" spans="1:15">
      <c r="A676" s="40">
        <f ca="1">IFERROR(__xludf.DUMMYFUNCTION("""COMPUTED_VALUE"""),11302)</f>
        <v>11302</v>
      </c>
      <c r="O676" s="184"/>
    </row>
    <row r="677" spans="1:15">
      <c r="A677" s="40">
        <f ca="1">IFERROR(__xludf.DUMMYFUNCTION("""COMPUTED_VALUE"""),67361.03)</f>
        <v>67361.03</v>
      </c>
      <c r="O677" s="184"/>
    </row>
    <row r="678" spans="1:15">
      <c r="A678" s="46">
        <f ca="1">IFERROR(__xludf.DUMMYFUNCTION("""COMPUTED_VALUE"""),-9022.6744377408)</f>
        <v>-9022.6744377407995</v>
      </c>
      <c r="O678" s="184"/>
    </row>
    <row r="679" spans="1:15">
      <c r="A679" s="40"/>
      <c r="O679" s="184"/>
    </row>
    <row r="680" spans="1:15">
      <c r="A680" s="40"/>
      <c r="O680" s="184"/>
    </row>
    <row r="681" spans="1:15">
      <c r="A681" s="40"/>
      <c r="O681" s="184"/>
    </row>
    <row r="682" spans="1:15">
      <c r="A682" s="40"/>
      <c r="O682" s="184"/>
    </row>
    <row r="683" spans="1:15">
      <c r="A683" s="46">
        <f ca="1">IFERROR(__xludf.DUMMYFUNCTION("""COMPUTED_VALUE"""),11712)</f>
        <v>11712</v>
      </c>
      <c r="O683" s="184"/>
    </row>
    <row r="684" spans="1:15">
      <c r="A684" s="46">
        <f ca="1">IFERROR(__xludf.DUMMYFUNCTION("""COMPUTED_VALUE"""),5025)</f>
        <v>5025</v>
      </c>
      <c r="O684" s="184"/>
    </row>
    <row r="685" spans="1:15">
      <c r="A685" s="46">
        <f ca="1">IFERROR(__xludf.DUMMYFUNCTION("""COMPUTED_VALUE"""),5000)</f>
        <v>5000</v>
      </c>
      <c r="O685" s="184"/>
    </row>
    <row r="686" spans="1:15">
      <c r="A686" s="46">
        <f ca="1">IFERROR(__xludf.DUMMYFUNCTION("""COMPUTED_VALUE"""),5500)</f>
        <v>5500</v>
      </c>
      <c r="O686" s="184"/>
    </row>
    <row r="687" spans="1:15">
      <c r="A687" s="46">
        <f ca="1">IFERROR(__xludf.DUMMYFUNCTION("""COMPUTED_VALUE"""),6000)</f>
        <v>6000</v>
      </c>
      <c r="O687" s="184"/>
    </row>
    <row r="688" spans="1:15">
      <c r="A688" s="46">
        <f ca="1">IFERROR(__xludf.DUMMYFUNCTION("""COMPUTED_VALUE"""),5205)</f>
        <v>5205</v>
      </c>
      <c r="O688" s="184"/>
    </row>
    <row r="689" spans="1:15">
      <c r="A689" s="46">
        <f ca="1">IFERROR(__xludf.DUMMYFUNCTION("""COMPUTED_VALUE"""),6240)</f>
        <v>6240</v>
      </c>
      <c r="O689" s="184"/>
    </row>
    <row r="690" spans="1:15">
      <c r="A690" s="46">
        <f ca="1">IFERROR(__xludf.DUMMYFUNCTION("""COMPUTED_VALUE"""),7602)</f>
        <v>7602</v>
      </c>
      <c r="O690" s="184"/>
    </row>
    <row r="691" spans="1:15">
      <c r="A691" s="46">
        <f ca="1">IFERROR(__xludf.DUMMYFUNCTION("""COMPUTED_VALUE"""),5300)</f>
        <v>5300</v>
      </c>
      <c r="O691" s="184"/>
    </row>
    <row r="692" spans="1:15">
      <c r="A692" s="46">
        <f ca="1">IFERROR(__xludf.DUMMYFUNCTION("""COMPUTED_VALUE"""),5520)</f>
        <v>5520</v>
      </c>
      <c r="O692" s="184"/>
    </row>
    <row r="693" spans="1:15">
      <c r="A693" s="40">
        <f ca="1">IFERROR(__xludf.DUMMYFUNCTION("""COMPUTED_VALUE"""),5500)</f>
        <v>5500</v>
      </c>
      <c r="O693" s="184"/>
    </row>
    <row r="694" spans="1:15">
      <c r="A694" s="40">
        <f ca="1">IFERROR(__xludf.DUMMYFUNCTION("""COMPUTED_VALUE"""),68604)</f>
        <v>68604</v>
      </c>
      <c r="O694" s="184"/>
    </row>
    <row r="695" spans="1:15">
      <c r="A695" s="46">
        <f ca="1">IFERROR(__xludf.DUMMYFUNCTION("""COMPUTED_VALUE"""),-87.7851766557432)</f>
        <v>-87.7851766557432</v>
      </c>
      <c r="O695" s="184"/>
    </row>
    <row r="696" spans="1:15">
      <c r="A696" s="40"/>
      <c r="O696" s="184"/>
    </row>
    <row r="697" spans="1:15">
      <c r="A697" s="40"/>
      <c r="O697" s="184"/>
    </row>
    <row r="698" spans="1:15">
      <c r="A698" s="40"/>
      <c r="O698" s="184"/>
    </row>
    <row r="699" spans="1:15">
      <c r="A699" s="40"/>
      <c r="O699" s="184"/>
    </row>
    <row r="700" spans="1:15">
      <c r="A700" s="46">
        <f ca="1">IFERROR(__xludf.DUMMYFUNCTION("""COMPUTED_VALUE"""),0)</f>
        <v>0</v>
      </c>
      <c r="O700" s="184"/>
    </row>
    <row r="701" spans="1:15">
      <c r="A701" s="46">
        <f ca="1">IFERROR(__xludf.DUMMYFUNCTION("""COMPUTED_VALUE"""),0)</f>
        <v>0</v>
      </c>
      <c r="O701" s="184"/>
    </row>
    <row r="702" spans="1:15">
      <c r="A702" s="46">
        <f ca="1">IFERROR(__xludf.DUMMYFUNCTION("""COMPUTED_VALUE"""),0)</f>
        <v>0</v>
      </c>
      <c r="O702" s="184"/>
    </row>
    <row r="703" spans="1:15">
      <c r="A703" s="46">
        <f ca="1">IFERROR(__xludf.DUMMYFUNCTION("""COMPUTED_VALUE"""),0)</f>
        <v>0</v>
      </c>
      <c r="O703" s="184"/>
    </row>
    <row r="704" spans="1:15">
      <c r="A704" s="46">
        <f ca="1">IFERROR(__xludf.DUMMYFUNCTION("""COMPUTED_VALUE"""),0)</f>
        <v>0</v>
      </c>
      <c r="O704" s="184"/>
    </row>
    <row r="705" spans="1:15">
      <c r="A705" s="46">
        <f ca="1">IFERROR(__xludf.DUMMYFUNCTION("""COMPUTED_VALUE"""),0)</f>
        <v>0</v>
      </c>
      <c r="O705" s="184"/>
    </row>
    <row r="706" spans="1:15">
      <c r="A706" s="46">
        <f ca="1">IFERROR(__xludf.DUMMYFUNCTION("""COMPUTED_VALUE"""),0)</f>
        <v>0</v>
      </c>
      <c r="O706" s="184"/>
    </row>
    <row r="707" spans="1:15">
      <c r="A707" s="46">
        <f ca="1">IFERROR(__xludf.DUMMYFUNCTION("""COMPUTED_VALUE"""),0)</f>
        <v>0</v>
      </c>
      <c r="O707" s="184"/>
    </row>
    <row r="708" spans="1:15">
      <c r="A708" s="46">
        <f ca="1">IFERROR(__xludf.DUMMYFUNCTION("""COMPUTED_VALUE"""),0)</f>
        <v>0</v>
      </c>
      <c r="O708" s="184"/>
    </row>
    <row r="709" spans="1:15">
      <c r="A709" s="46">
        <f ca="1">IFERROR(__xludf.DUMMYFUNCTION("""COMPUTED_VALUE"""),0)</f>
        <v>0</v>
      </c>
      <c r="O709" s="184"/>
    </row>
    <row r="710" spans="1:15">
      <c r="A710" s="40">
        <f ca="1">IFERROR(__xludf.DUMMYFUNCTION("""COMPUTED_VALUE"""),0)</f>
        <v>0</v>
      </c>
      <c r="O710" s="184"/>
    </row>
    <row r="711" spans="1:15">
      <c r="A711" s="40">
        <f ca="1">IFERROR(__xludf.DUMMYFUNCTION("""COMPUTED_VALUE"""),0)</f>
        <v>0</v>
      </c>
      <c r="O711" s="184"/>
    </row>
    <row r="712" spans="1:15">
      <c r="A712" s="46">
        <f ca="1">IFERROR(__xludf.DUMMYFUNCTION("""COMPUTED_VALUE"""),-60862.5042879126)</f>
        <v>-60862.504287912598</v>
      </c>
      <c r="O712" s="184"/>
    </row>
    <row r="713" spans="1:15">
      <c r="A713" s="40"/>
      <c r="O713" s="184"/>
    </row>
    <row r="714" spans="1:15">
      <c r="A714" s="40"/>
      <c r="O714" s="184"/>
    </row>
    <row r="715" spans="1:15">
      <c r="A715" s="40"/>
      <c r="O715" s="184"/>
    </row>
    <row r="716" spans="1:15">
      <c r="A716" s="40"/>
      <c r="O716" s="184"/>
    </row>
    <row r="717" spans="1:15">
      <c r="A717" s="40">
        <f ca="1">IFERROR(__xludf.DUMMYFUNCTION("""COMPUTED_VALUE"""),5330)</f>
        <v>5330</v>
      </c>
      <c r="O717" s="184"/>
    </row>
    <row r="718" spans="1:15">
      <c r="A718" s="40">
        <f ca="1">IFERROR(__xludf.DUMMYFUNCTION("""COMPUTED_VALUE"""),4348)</f>
        <v>4348</v>
      </c>
      <c r="O718" s="184"/>
    </row>
    <row r="719" spans="1:15">
      <c r="A719" s="40">
        <f ca="1">IFERROR(__xludf.DUMMYFUNCTION("""COMPUTED_VALUE"""),5000)</f>
        <v>5000</v>
      </c>
      <c r="O719" s="184"/>
    </row>
    <row r="720" spans="1:15">
      <c r="A720" s="40">
        <f ca="1">IFERROR(__xludf.DUMMYFUNCTION("""COMPUTED_VALUE"""),5000)</f>
        <v>5000</v>
      </c>
      <c r="O720" s="184"/>
    </row>
    <row r="721" spans="1:15">
      <c r="A721" s="40">
        <f ca="1">IFERROR(__xludf.DUMMYFUNCTION("""COMPUTED_VALUE"""),37546)</f>
        <v>37546</v>
      </c>
      <c r="O721" s="184"/>
    </row>
    <row r="722" spans="1:15">
      <c r="A722" s="46">
        <f ca="1">IFERROR(__xludf.DUMMYFUNCTION("""COMPUTED_VALUE"""),5151)</f>
        <v>5151</v>
      </c>
      <c r="O722" s="184"/>
    </row>
    <row r="723" spans="1:15">
      <c r="A723" s="40">
        <f ca="1">IFERROR(__xludf.DUMMYFUNCTION("""COMPUTED_VALUE"""),6114)</f>
        <v>6114</v>
      </c>
      <c r="O723" s="184"/>
    </row>
    <row r="724" spans="1:15">
      <c r="A724" s="40">
        <f ca="1">IFERROR(__xludf.DUMMYFUNCTION("""COMPUTED_VALUE"""),7274)</f>
        <v>7274</v>
      </c>
      <c r="O724" s="184"/>
    </row>
    <row r="725" spans="1:15">
      <c r="A725" s="40">
        <f ca="1">IFERROR(__xludf.DUMMYFUNCTION("""COMPUTED_VALUE"""),5501)</f>
        <v>5501</v>
      </c>
      <c r="O725" s="184"/>
    </row>
    <row r="726" spans="1:15">
      <c r="A726" s="40">
        <f ca="1">IFERROR(__xludf.DUMMYFUNCTION("""COMPUTED_VALUE"""),5070)</f>
        <v>5070</v>
      </c>
      <c r="O726" s="184"/>
    </row>
    <row r="727" spans="1:15">
      <c r="A727" s="40">
        <f ca="1">IFERROR(__xludf.DUMMYFUNCTION("""COMPUTED_VALUE"""),5056)</f>
        <v>5056</v>
      </c>
      <c r="O727" s="184"/>
    </row>
    <row r="728" spans="1:15">
      <c r="A728" s="40">
        <f ca="1">IFERROR(__xludf.DUMMYFUNCTION("""COMPUTED_VALUE"""),91390)</f>
        <v>91390</v>
      </c>
      <c r="O728" s="184"/>
    </row>
    <row r="729" spans="1:15">
      <c r="A729" s="46">
        <f ca="1">IFERROR(__xludf.DUMMYFUNCTION("""COMPUTED_VALUE"""),24752.7803768144)</f>
        <v>24752.7803768144</v>
      </c>
      <c r="O729" s="184"/>
    </row>
    <row r="730" spans="1:15">
      <c r="A730" s="40"/>
      <c r="O730" s="184"/>
    </row>
    <row r="731" spans="1:15">
      <c r="A731" s="40"/>
      <c r="O731" s="184"/>
    </row>
    <row r="732" spans="1:15">
      <c r="A732" s="40"/>
      <c r="O732" s="184"/>
    </row>
    <row r="733" spans="1:15">
      <c r="A733" s="40"/>
      <c r="O733" s="184"/>
    </row>
    <row r="734" spans="1:15">
      <c r="A734" s="46">
        <f ca="1">IFERROR(__xludf.DUMMYFUNCTION("""COMPUTED_VALUE"""),0)</f>
        <v>0</v>
      </c>
      <c r="O734" s="184"/>
    </row>
    <row r="735" spans="1:15">
      <c r="A735" s="46">
        <f ca="1">IFERROR(__xludf.DUMMYFUNCTION("""COMPUTED_VALUE"""),11151)</f>
        <v>11151</v>
      </c>
      <c r="O735" s="184"/>
    </row>
    <row r="736" spans="1:15">
      <c r="A736" s="46">
        <f ca="1">IFERROR(__xludf.DUMMYFUNCTION("""COMPUTED_VALUE"""),5119)</f>
        <v>5119</v>
      </c>
      <c r="O736" s="184"/>
    </row>
    <row r="737" spans="1:15">
      <c r="A737" s="46">
        <f ca="1">IFERROR(__xludf.DUMMYFUNCTION("""COMPUTED_VALUE"""),5905)</f>
        <v>5905</v>
      </c>
      <c r="O737" s="184"/>
    </row>
    <row r="738" spans="1:15">
      <c r="A738" s="46">
        <f ca="1">IFERROR(__xludf.DUMMYFUNCTION("""COMPUTED_VALUE"""),5905)</f>
        <v>5905</v>
      </c>
      <c r="O738" s="184"/>
    </row>
    <row r="739" spans="1:15">
      <c r="A739" s="46">
        <f ca="1">IFERROR(__xludf.DUMMYFUNCTION("""COMPUTED_VALUE"""),0)</f>
        <v>0</v>
      </c>
      <c r="O739" s="184"/>
    </row>
    <row r="740" spans="1:15">
      <c r="A740" s="46">
        <f ca="1">IFERROR(__xludf.DUMMYFUNCTION("""COMPUTED_VALUE"""),11349)</f>
        <v>11349</v>
      </c>
      <c r="O740" s="184"/>
    </row>
    <row r="741" spans="1:15">
      <c r="A741" s="46">
        <f ca="1">IFERROR(__xludf.DUMMYFUNCTION("""COMPUTED_VALUE"""),6798.85)</f>
        <v>6798.85</v>
      </c>
      <c r="O741" s="184"/>
    </row>
    <row r="742" spans="1:15">
      <c r="A742" s="46">
        <f ca="1">IFERROR(__xludf.DUMMYFUNCTION("""COMPUTED_VALUE"""),5897.24)</f>
        <v>5897.24</v>
      </c>
      <c r="O742" s="184"/>
    </row>
    <row r="743" spans="1:15">
      <c r="A743" s="46">
        <f ca="1">IFERROR(__xludf.DUMMYFUNCTION("""COMPUTED_VALUE"""),0)</f>
        <v>0</v>
      </c>
      <c r="O743" s="184"/>
    </row>
    <row r="744" spans="1:15">
      <c r="A744" s="40">
        <f ca="1">IFERROR(__xludf.DUMMYFUNCTION("""COMPUTED_VALUE"""),0)</f>
        <v>0</v>
      </c>
      <c r="O744" s="184"/>
    </row>
    <row r="745" spans="1:15">
      <c r="A745" s="40">
        <f ca="1">IFERROR(__xludf.DUMMYFUNCTION("""COMPUTED_VALUE"""),52125.09)</f>
        <v>52125.09</v>
      </c>
      <c r="O745" s="184"/>
    </row>
    <row r="746" spans="1:15">
      <c r="A746" s="46">
        <f ca="1">IFERROR(__xludf.DUMMYFUNCTION("""COMPUTED_VALUE"""),-16571.5580492877)</f>
        <v>-16571.558049287702</v>
      </c>
      <c r="O746" s="184"/>
    </row>
    <row r="747" spans="1:15">
      <c r="A747" s="40"/>
      <c r="O747" s="184"/>
    </row>
    <row r="748" spans="1:15">
      <c r="A748" s="40"/>
      <c r="O748" s="184"/>
    </row>
    <row r="749" spans="1:15">
      <c r="A749" s="40"/>
      <c r="O749" s="184"/>
    </row>
    <row r="750" spans="1:15">
      <c r="A750" s="40"/>
      <c r="O750" s="184"/>
    </row>
    <row r="751" spans="1:15">
      <c r="A751" s="40">
        <f ca="1">IFERROR(__xludf.DUMMYFUNCTION("""COMPUTED_VALUE"""),5665)</f>
        <v>5665</v>
      </c>
      <c r="O751" s="184"/>
    </row>
    <row r="752" spans="1:15">
      <c r="A752" s="40">
        <f ca="1">IFERROR(__xludf.DUMMYFUNCTION("""COMPUTED_VALUE"""),4439)</f>
        <v>4439</v>
      </c>
      <c r="O752" s="184"/>
    </row>
    <row r="753" spans="1:15">
      <c r="A753" s="40">
        <f ca="1">IFERROR(__xludf.DUMMYFUNCTION("""COMPUTED_VALUE"""),4778.53)</f>
        <v>4778.53</v>
      </c>
      <c r="O753" s="184"/>
    </row>
    <row r="754" spans="1:15">
      <c r="A754" s="40">
        <f ca="1">IFERROR(__xludf.DUMMYFUNCTION("""COMPUTED_VALUE"""),0)</f>
        <v>0</v>
      </c>
      <c r="O754" s="184"/>
    </row>
    <row r="755" spans="1:15">
      <c r="A755" s="40">
        <f ca="1">IFERROR(__xludf.DUMMYFUNCTION("""COMPUTED_VALUE"""),11550.33)</f>
        <v>11550.33</v>
      </c>
      <c r="O755" s="184"/>
    </row>
    <row r="756" spans="1:15">
      <c r="A756" s="46">
        <f ca="1">IFERROR(__xludf.DUMMYFUNCTION("""COMPUTED_VALUE"""),5067)</f>
        <v>5067</v>
      </c>
      <c r="O756" s="184"/>
    </row>
    <row r="757" spans="1:15">
      <c r="A757" s="40">
        <f ca="1">IFERROR(__xludf.DUMMYFUNCTION("""COMPUTED_VALUE"""),0)</f>
        <v>0</v>
      </c>
      <c r="O757" s="184"/>
    </row>
    <row r="758" spans="1:15">
      <c r="A758" s="40">
        <f ca="1">IFERROR(__xludf.DUMMYFUNCTION("""COMPUTED_VALUE"""),13166.98)</f>
        <v>13166.98</v>
      </c>
      <c r="O758" s="184"/>
    </row>
    <row r="759" spans="1:15">
      <c r="A759" s="40">
        <f ca="1">IFERROR(__xludf.DUMMYFUNCTION("""COMPUTED_VALUE"""),0)</f>
        <v>0</v>
      </c>
      <c r="O759" s="184"/>
    </row>
    <row r="760" spans="1:15">
      <c r="A760" s="40">
        <f ca="1">IFERROR(__xludf.DUMMYFUNCTION("""COMPUTED_VALUE"""),5025.21)</f>
        <v>5025.21</v>
      </c>
      <c r="O760" s="184"/>
    </row>
    <row r="761" spans="1:15">
      <c r="A761" s="40">
        <f ca="1">IFERROR(__xludf.DUMMYFUNCTION("""COMPUTED_VALUE"""),9444)</f>
        <v>9444</v>
      </c>
      <c r="O761" s="184"/>
    </row>
    <row r="762" spans="1:15">
      <c r="A762" s="40">
        <f ca="1">IFERROR(__xludf.DUMMYFUNCTION("""COMPUTED_VALUE"""),59136.0499999999)</f>
        <v>59136.049999999901</v>
      </c>
      <c r="O762" s="184"/>
    </row>
    <row r="763" spans="1:15">
      <c r="A763" s="46">
        <f ca="1">IFERROR(__xludf.DUMMYFUNCTION("""COMPUTED_VALUE"""),-5023.48359795369)</f>
        <v>-5023.4835979536902</v>
      </c>
      <c r="O763" s="184"/>
    </row>
    <row r="764" spans="1:15">
      <c r="A764" s="40"/>
      <c r="O764" s="184"/>
    </row>
    <row r="765" spans="1:15">
      <c r="A765" s="40"/>
      <c r="O765" s="184"/>
    </row>
    <row r="766" spans="1:15">
      <c r="A766" s="40"/>
      <c r="O766" s="184"/>
    </row>
    <row r="767" spans="1:15">
      <c r="A767" s="40"/>
      <c r="O767" s="184"/>
    </row>
    <row r="768" spans="1:15">
      <c r="A768" s="40">
        <f ca="1">IFERROR(__xludf.DUMMYFUNCTION("""COMPUTED_VALUE"""),0)</f>
        <v>0</v>
      </c>
      <c r="O768" s="184"/>
    </row>
    <row r="769" spans="1:15">
      <c r="A769" s="40">
        <f ca="1">IFERROR(__xludf.DUMMYFUNCTION("""COMPUTED_VALUE"""),0)</f>
        <v>0</v>
      </c>
      <c r="O769" s="184"/>
    </row>
    <row r="770" spans="1:15">
      <c r="A770" s="40">
        <f ca="1">IFERROR(__xludf.DUMMYFUNCTION("""COMPUTED_VALUE"""),0)</f>
        <v>0</v>
      </c>
      <c r="O770" s="184"/>
    </row>
    <row r="771" spans="1:15">
      <c r="A771" s="40">
        <f ca="1">IFERROR(__xludf.DUMMYFUNCTION("""COMPUTED_VALUE"""),10000)</f>
        <v>10000</v>
      </c>
      <c r="O771" s="184"/>
    </row>
    <row r="772" spans="1:15">
      <c r="A772" s="40">
        <f ca="1">IFERROR(__xludf.DUMMYFUNCTION("""COMPUTED_VALUE"""),0)</f>
        <v>0</v>
      </c>
      <c r="O772" s="184"/>
    </row>
    <row r="773" spans="1:15">
      <c r="A773" s="40">
        <f ca="1">IFERROR(__xludf.DUMMYFUNCTION("""COMPUTED_VALUE"""),17240)</f>
        <v>17240</v>
      </c>
      <c r="O773" s="184"/>
    </row>
    <row r="774" spans="1:15">
      <c r="A774" s="40">
        <f ca="1">IFERROR(__xludf.DUMMYFUNCTION("""COMPUTED_VALUE"""),0)</f>
        <v>0</v>
      </c>
      <c r="O774" s="184"/>
    </row>
    <row r="775" spans="1:15">
      <c r="A775" s="40">
        <f ca="1">IFERROR(__xludf.DUMMYFUNCTION("""COMPUTED_VALUE"""),0)</f>
        <v>0</v>
      </c>
      <c r="O775" s="184"/>
    </row>
    <row r="776" spans="1:15">
      <c r="A776" s="40">
        <f ca="1">IFERROR(__xludf.DUMMYFUNCTION("""COMPUTED_VALUE"""),23264)</f>
        <v>23264</v>
      </c>
      <c r="O776" s="184"/>
    </row>
    <row r="777" spans="1:15">
      <c r="A777" s="40">
        <f ca="1">IFERROR(__xludf.DUMMYFUNCTION("""COMPUTED_VALUE"""),0)</f>
        <v>0</v>
      </c>
      <c r="O777" s="184"/>
    </row>
    <row r="778" spans="1:15">
      <c r="A778" s="40">
        <f ca="1">IFERROR(__xludf.DUMMYFUNCTION("""COMPUTED_VALUE"""),0)</f>
        <v>0</v>
      </c>
      <c r="O778" s="184"/>
    </row>
    <row r="779" spans="1:15">
      <c r="A779" s="40">
        <f ca="1">IFERROR(__xludf.DUMMYFUNCTION("""COMPUTED_VALUE"""),50504)</f>
        <v>50504</v>
      </c>
      <c r="O779" s="184"/>
    </row>
    <row r="780" spans="1:15">
      <c r="A780" s="46">
        <f ca="1">IFERROR(__xludf.DUMMYFUNCTION("""COMPUTED_VALUE"""),-14394.4863152417)</f>
        <v>-14394.4863152417</v>
      </c>
      <c r="O780" s="184"/>
    </row>
    <row r="781" spans="1:15">
      <c r="A781" s="40"/>
      <c r="O781" s="184"/>
    </row>
    <row r="782" spans="1:15">
      <c r="A782" s="40"/>
      <c r="O782" s="184"/>
    </row>
    <row r="783" spans="1:15">
      <c r="A783" s="40"/>
      <c r="O783" s="184"/>
    </row>
    <row r="784" spans="1:15">
      <c r="A784" s="40"/>
      <c r="O784" s="184"/>
    </row>
    <row r="785" spans="1:15">
      <c r="A785" s="46">
        <f ca="1">IFERROR(__xludf.DUMMYFUNCTION("""COMPUTED_VALUE"""),7056)</f>
        <v>7056</v>
      </c>
      <c r="O785" s="184"/>
    </row>
    <row r="786" spans="1:15">
      <c r="A786" s="46">
        <f ca="1">IFERROR(__xludf.DUMMYFUNCTION("""COMPUTED_VALUE"""),0)</f>
        <v>0</v>
      </c>
      <c r="O786" s="184"/>
    </row>
    <row r="787" spans="1:15">
      <c r="A787" s="46">
        <f ca="1">IFERROR(__xludf.DUMMYFUNCTION("""COMPUTED_VALUE"""),9919)</f>
        <v>9919</v>
      </c>
      <c r="O787" s="184"/>
    </row>
    <row r="788" spans="1:15">
      <c r="A788" s="46">
        <f ca="1">IFERROR(__xludf.DUMMYFUNCTION("""COMPUTED_VALUE"""),6502)</f>
        <v>6502</v>
      </c>
      <c r="O788" s="184"/>
    </row>
    <row r="789" spans="1:15">
      <c r="A789" s="46">
        <f ca="1">IFERROR(__xludf.DUMMYFUNCTION("""COMPUTED_VALUE"""),6788)</f>
        <v>6788</v>
      </c>
      <c r="O789" s="184"/>
    </row>
    <row r="790" spans="1:15">
      <c r="A790" s="46">
        <f ca="1">IFERROR(__xludf.DUMMYFUNCTION("""COMPUTED_VALUE"""),6032)</f>
        <v>6032</v>
      </c>
      <c r="O790" s="184"/>
    </row>
    <row r="791" spans="1:15">
      <c r="A791" s="40">
        <f ca="1">IFERROR(__xludf.DUMMYFUNCTION("""COMPUTED_VALUE"""),0)</f>
        <v>0</v>
      </c>
      <c r="O791" s="184"/>
    </row>
    <row r="792" spans="1:15">
      <c r="A792" s="46">
        <f ca="1">IFERROR(__xludf.DUMMYFUNCTION("""COMPUTED_VALUE"""),6231)</f>
        <v>6231</v>
      </c>
      <c r="O792" s="184"/>
    </row>
    <row r="793" spans="1:15">
      <c r="A793" s="46">
        <f ca="1">IFERROR(__xludf.DUMMYFUNCTION("""COMPUTED_VALUE"""),6329)</f>
        <v>6329</v>
      </c>
      <c r="O793" s="184"/>
    </row>
    <row r="794" spans="1:15">
      <c r="A794" s="40">
        <f ca="1">IFERROR(__xludf.DUMMYFUNCTION("""COMPUTED_VALUE"""),0)</f>
        <v>0</v>
      </c>
      <c r="O794" s="184"/>
    </row>
    <row r="795" spans="1:15">
      <c r="A795" s="46">
        <f ca="1">IFERROR(__xludf.DUMMYFUNCTION("""COMPUTED_VALUE"""),5919)</f>
        <v>5919</v>
      </c>
      <c r="O795" s="184"/>
    </row>
    <row r="796" spans="1:15">
      <c r="A796" s="40">
        <f ca="1">IFERROR(__xludf.DUMMYFUNCTION("""COMPUTED_VALUE"""),54776)</f>
        <v>54776</v>
      </c>
      <c r="O796" s="184"/>
    </row>
    <row r="797" spans="1:15">
      <c r="A797" s="46">
        <f ca="1">IFERROR(__xludf.DUMMYFUNCTION("""COMPUTED_VALUE"""),-22238.0545577905)</f>
        <v>-22238.0545577905</v>
      </c>
      <c r="O797" s="184"/>
    </row>
    <row r="798" spans="1:15">
      <c r="A798" s="40"/>
      <c r="O798" s="184"/>
    </row>
    <row r="799" spans="1:15">
      <c r="A799" s="40"/>
      <c r="O799" s="184"/>
    </row>
    <row r="800" spans="1:15">
      <c r="A800" s="40"/>
      <c r="O800" s="184"/>
    </row>
    <row r="801" spans="1:15">
      <c r="A801" s="40"/>
      <c r="O801" s="184"/>
    </row>
    <row r="802" spans="1:15">
      <c r="A802" s="40">
        <f ca="1">IFERROR(__xludf.DUMMYFUNCTION("""COMPUTED_VALUE"""),5800)</f>
        <v>5800</v>
      </c>
      <c r="O802" s="184"/>
    </row>
    <row r="803" spans="1:15">
      <c r="A803" s="40">
        <f ca="1">IFERROR(__xludf.DUMMYFUNCTION("""COMPUTED_VALUE"""),4372)</f>
        <v>4372</v>
      </c>
      <c r="O803" s="184"/>
    </row>
    <row r="804" spans="1:15">
      <c r="A804" s="40">
        <f ca="1">IFERROR(__xludf.DUMMYFUNCTION("""COMPUTED_VALUE"""),4475)</f>
        <v>4475</v>
      </c>
      <c r="O804" s="184"/>
    </row>
    <row r="805" spans="1:15">
      <c r="A805" s="40">
        <f ca="1">IFERROR(__xludf.DUMMYFUNCTION("""COMPUTED_VALUE"""),5525)</f>
        <v>5525</v>
      </c>
      <c r="O805" s="184"/>
    </row>
    <row r="806" spans="1:15">
      <c r="A806" s="40">
        <f ca="1">IFERROR(__xludf.DUMMYFUNCTION("""COMPUTED_VALUE"""),5931)</f>
        <v>5931</v>
      </c>
      <c r="O806" s="184"/>
    </row>
    <row r="807" spans="1:15">
      <c r="A807" s="46">
        <f ca="1">IFERROR(__xludf.DUMMYFUNCTION("""COMPUTED_VALUE"""),5084)</f>
        <v>5084</v>
      </c>
      <c r="O807" s="184"/>
    </row>
    <row r="808" spans="1:15">
      <c r="A808" s="40">
        <f ca="1">IFERROR(__xludf.DUMMYFUNCTION("""COMPUTED_VALUE"""),6114)</f>
        <v>6114</v>
      </c>
      <c r="O808" s="184"/>
    </row>
    <row r="809" spans="1:15">
      <c r="A809" s="40">
        <f ca="1">IFERROR(__xludf.DUMMYFUNCTION("""COMPUTED_VALUE"""),7026)</f>
        <v>7026</v>
      </c>
      <c r="O809" s="184"/>
    </row>
    <row r="810" spans="1:15">
      <c r="A810" s="40">
        <f ca="1">IFERROR(__xludf.DUMMYFUNCTION("""COMPUTED_VALUE"""),5400)</f>
        <v>5400</v>
      </c>
      <c r="O810" s="184"/>
    </row>
    <row r="811" spans="1:15">
      <c r="A811" s="40">
        <f ca="1">IFERROR(__xludf.DUMMYFUNCTION("""COMPUTED_VALUE"""),5100)</f>
        <v>5100</v>
      </c>
      <c r="O811" s="184"/>
    </row>
    <row r="812" spans="1:15">
      <c r="A812" s="40">
        <f ca="1">IFERROR(__xludf.DUMMYFUNCTION("""COMPUTED_VALUE"""),4792)</f>
        <v>4792</v>
      </c>
      <c r="O812" s="184"/>
    </row>
    <row r="813" spans="1:15">
      <c r="A813" s="40">
        <f ca="1">IFERROR(__xludf.DUMMYFUNCTION("""COMPUTED_VALUE"""),59619)</f>
        <v>59619</v>
      </c>
      <c r="O813" s="184"/>
    </row>
    <row r="814" spans="1:15">
      <c r="A814" s="46">
        <f ca="1">IFERROR(__xludf.DUMMYFUNCTION("""COMPUTED_VALUE"""),-5272.21932851483)</f>
        <v>-5272.2193285148296</v>
      </c>
      <c r="O814" s="184"/>
    </row>
    <row r="815" spans="1:15">
      <c r="A815" s="40"/>
      <c r="O815" s="184"/>
    </row>
    <row r="816" spans="1:15">
      <c r="A816" s="40"/>
      <c r="O816" s="184"/>
    </row>
    <row r="817" spans="1:15">
      <c r="A817" s="40"/>
      <c r="O817" s="184"/>
    </row>
    <row r="818" spans="1:15">
      <c r="A818" s="40"/>
      <c r="O818" s="184"/>
    </row>
    <row r="819" spans="1:15">
      <c r="A819" s="40">
        <f ca="1">IFERROR(__xludf.DUMMYFUNCTION("""COMPUTED_VALUE"""),6823)</f>
        <v>6823</v>
      </c>
      <c r="O819" s="184"/>
    </row>
    <row r="820" spans="1:15">
      <c r="A820" s="40">
        <f ca="1">IFERROR(__xludf.DUMMYFUNCTION("""COMPUTED_VALUE"""),5591)</f>
        <v>5591</v>
      </c>
      <c r="O820" s="184"/>
    </row>
    <row r="821" spans="1:15">
      <c r="A821" s="40">
        <f ca="1">IFERROR(__xludf.DUMMYFUNCTION("""COMPUTED_VALUE"""),5410)</f>
        <v>5410</v>
      </c>
      <c r="O821" s="184"/>
    </row>
    <row r="822" spans="1:15">
      <c r="A822" s="40">
        <f ca="1">IFERROR(__xludf.DUMMYFUNCTION("""COMPUTED_VALUE"""),6420)</f>
        <v>6420</v>
      </c>
      <c r="O822" s="184"/>
    </row>
    <row r="823" spans="1:15">
      <c r="A823" s="40">
        <f ca="1">IFERROR(__xludf.DUMMYFUNCTION("""COMPUTED_VALUE"""),6417)</f>
        <v>6417</v>
      </c>
      <c r="O823" s="184"/>
    </row>
    <row r="824" spans="1:15">
      <c r="A824" s="46">
        <f ca="1">IFERROR(__xludf.DUMMYFUNCTION("""COMPUTED_VALUE"""),6026)</f>
        <v>6026</v>
      </c>
      <c r="O824" s="184"/>
    </row>
    <row r="825" spans="1:15">
      <c r="A825" s="40">
        <f ca="1">IFERROR(__xludf.DUMMYFUNCTION("""COMPUTED_VALUE"""),6114)</f>
        <v>6114</v>
      </c>
      <c r="O825" s="184"/>
    </row>
    <row r="826" spans="1:15">
      <c r="A826" s="40">
        <f ca="1">IFERROR(__xludf.DUMMYFUNCTION("""COMPUTED_VALUE"""),7786)</f>
        <v>7786</v>
      </c>
      <c r="O826" s="184"/>
    </row>
    <row r="827" spans="1:15">
      <c r="A827" s="40">
        <f ca="1">IFERROR(__xludf.DUMMYFUNCTION("""COMPUTED_VALUE"""),6280)</f>
        <v>6280</v>
      </c>
      <c r="O827" s="184"/>
    </row>
    <row r="828" spans="1:15">
      <c r="A828" s="40">
        <f ca="1">IFERROR(__xludf.DUMMYFUNCTION("""COMPUTED_VALUE"""),6050)</f>
        <v>6050</v>
      </c>
      <c r="O828" s="184"/>
    </row>
    <row r="829" spans="1:15">
      <c r="A829" s="40">
        <f ca="1">IFERROR(__xludf.DUMMYFUNCTION("""COMPUTED_VALUE"""),5933)</f>
        <v>5933</v>
      </c>
      <c r="O829" s="184"/>
    </row>
    <row r="830" spans="1:15">
      <c r="A830" s="40">
        <f ca="1">IFERROR(__xludf.DUMMYFUNCTION("""COMPUTED_VALUE"""),68850)</f>
        <v>68850</v>
      </c>
      <c r="O830" s="184"/>
    </row>
    <row r="831" spans="1:15">
      <c r="A831" s="46">
        <f ca="1">IFERROR(__xludf.DUMMYFUNCTION("""COMPUTED_VALUE"""),-7754.27772993565)</f>
        <v>-7754.2777299356503</v>
      </c>
      <c r="O831" s="184"/>
    </row>
    <row r="832" spans="1:15">
      <c r="A832" s="40"/>
      <c r="O832" s="184"/>
    </row>
    <row r="833" spans="1:15">
      <c r="A833" s="40"/>
      <c r="O833" s="184"/>
    </row>
    <row r="834" spans="1:15">
      <c r="A834" s="40"/>
      <c r="O834" s="184"/>
    </row>
    <row r="835" spans="1:15">
      <c r="A835" s="40"/>
      <c r="O835" s="184"/>
    </row>
    <row r="836" spans="1:15">
      <c r="A836" s="46">
        <f ca="1">IFERROR(__xludf.DUMMYFUNCTION("""COMPUTED_VALUE"""),0)</f>
        <v>0</v>
      </c>
      <c r="O836" s="184"/>
    </row>
    <row r="837" spans="1:15">
      <c r="A837" s="46">
        <f ca="1">IFERROR(__xludf.DUMMYFUNCTION("""COMPUTED_VALUE"""),69469)</f>
        <v>69469</v>
      </c>
      <c r="O837" s="184"/>
    </row>
    <row r="838" spans="1:15">
      <c r="A838" s="46">
        <f ca="1">IFERROR(__xludf.DUMMYFUNCTION("""COMPUTED_VALUE"""),0)</f>
        <v>0</v>
      </c>
      <c r="O838" s="184"/>
    </row>
    <row r="839" spans="1:15">
      <c r="A839" s="46">
        <f ca="1">IFERROR(__xludf.DUMMYFUNCTION("""COMPUTED_VALUE"""),18827)</f>
        <v>18827</v>
      </c>
      <c r="O839" s="184"/>
    </row>
    <row r="840" spans="1:15">
      <c r="A840" s="46">
        <f ca="1">IFERROR(__xludf.DUMMYFUNCTION("""COMPUTED_VALUE"""),0)</f>
        <v>0</v>
      </c>
      <c r="O840" s="184"/>
    </row>
    <row r="841" spans="1:15">
      <c r="A841" s="46">
        <f ca="1">IFERROR(__xludf.DUMMYFUNCTION("""COMPUTED_VALUE"""),5775)</f>
        <v>5775</v>
      </c>
      <c r="O841" s="184"/>
    </row>
    <row r="842" spans="1:15">
      <c r="A842" s="40">
        <f ca="1">IFERROR(__xludf.DUMMYFUNCTION("""COMPUTED_VALUE"""),0)</f>
        <v>0</v>
      </c>
      <c r="O842" s="184"/>
    </row>
    <row r="843" spans="1:15">
      <c r="A843" s="46">
        <f ca="1">IFERROR(__xludf.DUMMYFUNCTION("""COMPUTED_VALUE"""),6231)</f>
        <v>6231</v>
      </c>
      <c r="O843" s="184"/>
    </row>
    <row r="844" spans="1:15">
      <c r="A844" s="46">
        <f ca="1">IFERROR(__xludf.DUMMYFUNCTION("""COMPUTED_VALUE"""),0)</f>
        <v>0</v>
      </c>
      <c r="O844" s="184"/>
    </row>
    <row r="845" spans="1:15">
      <c r="A845" s="46">
        <f ca="1">IFERROR(__xludf.DUMMYFUNCTION("""COMPUTED_VALUE"""),0)</f>
        <v>0</v>
      </c>
      <c r="O845" s="184"/>
    </row>
    <row r="846" spans="1:15">
      <c r="A846" s="40">
        <f ca="1">IFERROR(__xludf.DUMMYFUNCTION("""COMPUTED_VALUE"""),0)</f>
        <v>0</v>
      </c>
      <c r="O846" s="184"/>
    </row>
    <row r="847" spans="1:15">
      <c r="A847" s="40">
        <f ca="1">IFERROR(__xludf.DUMMYFUNCTION("""COMPUTED_VALUE"""),100302)</f>
        <v>100302</v>
      </c>
      <c r="O847" s="184"/>
    </row>
    <row r="848" spans="1:15">
      <c r="A848" s="46">
        <f ca="1">IFERROR(__xludf.DUMMYFUNCTION("""COMPUTED_VALUE"""),23851.2221921476)</f>
        <v>23851.222192147601</v>
      </c>
      <c r="O848" s="184"/>
    </row>
    <row r="849" spans="1:15">
      <c r="A849" s="40"/>
      <c r="O849" s="184"/>
    </row>
    <row r="850" spans="1:15">
      <c r="A850" s="40"/>
      <c r="O850" s="184"/>
    </row>
    <row r="851" spans="1:15">
      <c r="A851" s="40"/>
      <c r="O851" s="184"/>
    </row>
    <row r="852" spans="1:15">
      <c r="A852" s="40"/>
      <c r="O852" s="184"/>
    </row>
    <row r="853" spans="1:15">
      <c r="A853" s="46">
        <f ca="1">IFERROR(__xludf.DUMMYFUNCTION("""COMPUTED_VALUE"""),11928)</f>
        <v>11928</v>
      </c>
      <c r="O853" s="184"/>
    </row>
    <row r="854" spans="1:15">
      <c r="A854" s="46">
        <f ca="1">IFERROR(__xludf.DUMMYFUNCTION("""COMPUTED_VALUE"""),4905)</f>
        <v>4905</v>
      </c>
      <c r="O854" s="184"/>
    </row>
    <row r="855" spans="1:15">
      <c r="A855" s="46">
        <f ca="1">IFERROR(__xludf.DUMMYFUNCTION("""COMPUTED_VALUE"""),4860)</f>
        <v>4860</v>
      </c>
      <c r="O855" s="184"/>
    </row>
    <row r="856" spans="1:15">
      <c r="A856" s="46">
        <f ca="1">IFERROR(__xludf.DUMMYFUNCTION("""COMPUTED_VALUE"""),6114.88)</f>
        <v>6114.88</v>
      </c>
      <c r="O856" s="184"/>
    </row>
    <row r="857" spans="1:15">
      <c r="A857" s="46">
        <f ca="1">IFERROR(__xludf.DUMMYFUNCTION("""COMPUTED_VALUE"""),6343)</f>
        <v>6343</v>
      </c>
      <c r="O857" s="184"/>
    </row>
    <row r="858" spans="1:15">
      <c r="A858" s="46">
        <f ca="1">IFERROR(__xludf.DUMMYFUNCTION("""COMPUTED_VALUE"""),5605)</f>
        <v>5605</v>
      </c>
      <c r="O858" s="184"/>
    </row>
    <row r="859" spans="1:15">
      <c r="A859" s="40">
        <f ca="1">IFERROR(__xludf.DUMMYFUNCTION("""COMPUTED_VALUE"""),6231)</f>
        <v>6231</v>
      </c>
      <c r="O859" s="184"/>
    </row>
    <row r="860" spans="1:15">
      <c r="A860" s="46">
        <f ca="1">IFERROR(__xludf.DUMMYFUNCTION("""COMPUTED_VALUE"""),6851)</f>
        <v>6851</v>
      </c>
      <c r="O860" s="184"/>
    </row>
    <row r="861" spans="1:15">
      <c r="A861" s="46">
        <f ca="1">IFERROR(__xludf.DUMMYFUNCTION("""COMPUTED_VALUE"""),5317.69)</f>
        <v>5317.69</v>
      </c>
      <c r="O861" s="184"/>
    </row>
    <row r="862" spans="1:15">
      <c r="A862" s="46">
        <f ca="1">IFERROR(__xludf.DUMMYFUNCTION("""COMPUTED_VALUE"""),5427)</f>
        <v>5427</v>
      </c>
      <c r="O862" s="184"/>
    </row>
    <row r="863" spans="1:15">
      <c r="A863" s="40">
        <f ca="1">IFERROR(__xludf.DUMMYFUNCTION("""COMPUTED_VALUE"""),5276)</f>
        <v>5276</v>
      </c>
      <c r="O863" s="184"/>
    </row>
    <row r="864" spans="1:15">
      <c r="A864" s="40">
        <f ca="1">IFERROR(__xludf.DUMMYFUNCTION("""COMPUTED_VALUE"""),68858.57)</f>
        <v>68858.570000000007</v>
      </c>
      <c r="O864" s="184"/>
    </row>
    <row r="865" spans="1:15">
      <c r="A865" s="46">
        <f ca="1">IFERROR(__xludf.DUMMYFUNCTION("""COMPUTED_VALUE"""),-416.115829139467)</f>
        <v>-416.115829139467</v>
      </c>
      <c r="O865" s="184"/>
    </row>
    <row r="866" spans="1:15">
      <c r="A866" s="40"/>
      <c r="O866" s="184"/>
    </row>
    <row r="867" spans="1:15">
      <c r="A867" s="40"/>
      <c r="O867" s="184"/>
    </row>
    <row r="868" spans="1:15">
      <c r="A868" s="40"/>
      <c r="O868" s="184"/>
    </row>
    <row r="869" spans="1:15">
      <c r="A869" s="40"/>
      <c r="O869" s="184"/>
    </row>
    <row r="870" spans="1:15">
      <c r="A870" s="46">
        <f ca="1">IFERROR(__xludf.DUMMYFUNCTION("""COMPUTED_VALUE"""),0)</f>
        <v>0</v>
      </c>
      <c r="O870" s="184"/>
    </row>
    <row r="871" spans="1:15">
      <c r="A871" s="46">
        <f ca="1">IFERROR(__xludf.DUMMYFUNCTION("""COMPUTED_VALUE"""),5529)</f>
        <v>5529</v>
      </c>
      <c r="O871" s="184"/>
    </row>
    <row r="872" spans="1:15">
      <c r="A872" s="46">
        <f ca="1">IFERROR(__xludf.DUMMYFUNCTION("""COMPUTED_VALUE"""),0)</f>
        <v>0</v>
      </c>
      <c r="O872" s="184"/>
    </row>
    <row r="873" spans="1:15">
      <c r="A873" s="46">
        <f ca="1">IFERROR(__xludf.DUMMYFUNCTION("""COMPUTED_VALUE"""),11187)</f>
        <v>11187</v>
      </c>
      <c r="O873" s="184"/>
    </row>
    <row r="874" spans="1:15">
      <c r="A874" s="46">
        <f ca="1">IFERROR(__xludf.DUMMYFUNCTION("""COMPUTED_VALUE"""),0)</f>
        <v>0</v>
      </c>
      <c r="O874" s="184"/>
    </row>
    <row r="875" spans="1:15">
      <c r="A875" s="46">
        <f ca="1">IFERROR(__xludf.DUMMYFUNCTION("""COMPUTED_VALUE"""),0)</f>
        <v>0</v>
      </c>
      <c r="O875" s="184"/>
    </row>
    <row r="876" spans="1:15">
      <c r="A876" s="46">
        <f ca="1">IFERROR(__xludf.DUMMYFUNCTION("""COMPUTED_VALUE"""),0)</f>
        <v>0</v>
      </c>
      <c r="O876" s="184"/>
    </row>
    <row r="877" spans="1:15">
      <c r="A877" s="46">
        <f ca="1">IFERROR(__xludf.DUMMYFUNCTION("""COMPUTED_VALUE"""),6231)</f>
        <v>6231</v>
      </c>
      <c r="O877" s="184"/>
    </row>
    <row r="878" spans="1:15">
      <c r="A878" s="46">
        <f ca="1">IFERROR(__xludf.DUMMYFUNCTION("""COMPUTED_VALUE"""),0)</f>
        <v>0</v>
      </c>
      <c r="O878" s="184"/>
    </row>
    <row r="879" spans="1:15">
      <c r="A879" s="46">
        <f ca="1">IFERROR(__xludf.DUMMYFUNCTION("""COMPUTED_VALUE"""),0)</f>
        <v>0</v>
      </c>
      <c r="O879" s="184"/>
    </row>
    <row r="880" spans="1:15">
      <c r="A880" s="40">
        <f ca="1">IFERROR(__xludf.DUMMYFUNCTION("""COMPUTED_VALUE"""),0)</f>
        <v>0</v>
      </c>
      <c r="O880" s="184"/>
    </row>
    <row r="881" spans="1:15">
      <c r="A881" s="40">
        <f ca="1">IFERROR(__xludf.DUMMYFUNCTION("""COMPUTED_VALUE"""),22947)</f>
        <v>22947</v>
      </c>
      <c r="O881" s="184"/>
    </row>
    <row r="882" spans="1:15">
      <c r="A882" s="46">
        <f ca="1">IFERROR(__xludf.DUMMYFUNCTION("""COMPUTED_VALUE"""),-46150.1958778069)</f>
        <v>-46150.195877806902</v>
      </c>
      <c r="O882" s="184"/>
    </row>
    <row r="883" spans="1:15">
      <c r="A883" s="40"/>
      <c r="O883" s="184"/>
    </row>
    <row r="884" spans="1:15">
      <c r="A884" s="40"/>
      <c r="O884" s="184"/>
    </row>
    <row r="885" spans="1:15">
      <c r="A885" s="40"/>
      <c r="O885" s="184"/>
    </row>
    <row r="886" spans="1:15">
      <c r="A886" s="40"/>
      <c r="O886" s="184"/>
    </row>
    <row r="887" spans="1:15">
      <c r="A887" s="40">
        <f ca="1">IFERROR(__xludf.DUMMYFUNCTION("""COMPUTED_VALUE"""),5941)</f>
        <v>5941</v>
      </c>
      <c r="O887" s="184"/>
    </row>
    <row r="888" spans="1:15">
      <c r="A888" s="40">
        <f ca="1">IFERROR(__xludf.DUMMYFUNCTION("""COMPUTED_VALUE"""),0)</f>
        <v>0</v>
      </c>
      <c r="O888" s="184"/>
    </row>
    <row r="889" spans="1:15">
      <c r="A889" s="40">
        <f ca="1">IFERROR(__xludf.DUMMYFUNCTION("""COMPUTED_VALUE"""),0)</f>
        <v>0</v>
      </c>
      <c r="O889" s="184"/>
    </row>
    <row r="890" spans="1:15">
      <c r="A890" s="40">
        <f ca="1">IFERROR(__xludf.DUMMYFUNCTION("""COMPUTED_VALUE"""),4459)</f>
        <v>4459</v>
      </c>
      <c r="O890" s="184"/>
    </row>
    <row r="891" spans="1:15">
      <c r="A891" s="40">
        <f ca="1">IFERROR(__xludf.DUMMYFUNCTION("""COMPUTED_VALUE"""),0)</f>
        <v>0</v>
      </c>
      <c r="O891" s="184"/>
    </row>
    <row r="892" spans="1:15">
      <c r="A892" s="46">
        <f ca="1">IFERROR(__xludf.DUMMYFUNCTION("""COMPUTED_VALUE"""),4776)</f>
        <v>4776</v>
      </c>
      <c r="O892" s="184"/>
    </row>
    <row r="893" spans="1:15">
      <c r="A893" s="40">
        <f ca="1">IFERROR(__xludf.DUMMYFUNCTION("""COMPUTED_VALUE"""),0)</f>
        <v>0</v>
      </c>
      <c r="O893" s="184"/>
    </row>
    <row r="894" spans="1:15">
      <c r="A894" s="40">
        <f ca="1">IFERROR(__xludf.DUMMYFUNCTION("""COMPUTED_VALUE"""),6928)</f>
        <v>6928</v>
      </c>
      <c r="O894" s="184"/>
    </row>
    <row r="895" spans="1:15">
      <c r="A895" s="40">
        <f ca="1">IFERROR(__xludf.DUMMYFUNCTION("""COMPUTED_VALUE"""),0)</f>
        <v>0</v>
      </c>
      <c r="O895" s="184"/>
    </row>
    <row r="896" spans="1:15">
      <c r="A896" s="40">
        <f ca="1">IFERROR(__xludf.DUMMYFUNCTION("""COMPUTED_VALUE"""),4920)</f>
        <v>4920</v>
      </c>
      <c r="O896" s="184"/>
    </row>
    <row r="897" spans="1:15">
      <c r="A897" s="40">
        <f ca="1">IFERROR(__xludf.DUMMYFUNCTION("""COMPUTED_VALUE"""),4511)</f>
        <v>4511</v>
      </c>
      <c r="O897" s="184"/>
    </row>
    <row r="898" spans="1:15">
      <c r="A898" s="40">
        <f ca="1">IFERROR(__xludf.DUMMYFUNCTION("""COMPUTED_VALUE"""),31535)</f>
        <v>31535</v>
      </c>
      <c r="O898" s="184"/>
    </row>
    <row r="899" spans="1:15">
      <c r="A899" s="46">
        <f ca="1">IFERROR(__xludf.DUMMYFUNCTION("""COMPUTED_VALUE"""),-31322.0061991657)</f>
        <v>-31322.006199165698</v>
      </c>
      <c r="O899" s="184"/>
    </row>
    <row r="900" spans="1:15">
      <c r="A900" s="40"/>
      <c r="O900" s="184"/>
    </row>
    <row r="901" spans="1:15">
      <c r="A901" s="40"/>
      <c r="O901" s="184"/>
    </row>
    <row r="902" spans="1:15">
      <c r="A902" s="40"/>
      <c r="O902" s="184"/>
    </row>
    <row r="903" spans="1:15">
      <c r="A903" s="40"/>
      <c r="O903" s="184"/>
    </row>
    <row r="904" spans="1:15">
      <c r="A904" s="46">
        <f ca="1">IFERROR(__xludf.DUMMYFUNCTION("""COMPUTED_VALUE"""),6739)</f>
        <v>6739</v>
      </c>
      <c r="O904" s="184"/>
    </row>
    <row r="905" spans="1:15">
      <c r="A905" s="46">
        <f ca="1">IFERROR(__xludf.DUMMYFUNCTION("""COMPUTED_VALUE"""),0)</f>
        <v>0</v>
      </c>
      <c r="O905" s="184"/>
    </row>
    <row r="906" spans="1:15">
      <c r="A906" s="46">
        <f ca="1">IFERROR(__xludf.DUMMYFUNCTION("""COMPUTED_VALUE"""),0)</f>
        <v>0</v>
      </c>
      <c r="O906" s="184"/>
    </row>
    <row r="907" spans="1:15">
      <c r="A907" s="46">
        <f ca="1">IFERROR(__xludf.DUMMYFUNCTION("""COMPUTED_VALUE"""),11818)</f>
        <v>11818</v>
      </c>
      <c r="O907" s="184"/>
    </row>
    <row r="908" spans="1:15">
      <c r="A908" s="46">
        <f ca="1">IFERROR(__xludf.DUMMYFUNCTION("""COMPUTED_VALUE"""),0)</f>
        <v>0</v>
      </c>
      <c r="O908" s="184"/>
    </row>
    <row r="909" spans="1:15">
      <c r="A909" s="46">
        <f ca="1">IFERROR(__xludf.DUMMYFUNCTION("""COMPUTED_VALUE"""),6296)</f>
        <v>6296</v>
      </c>
      <c r="O909" s="184"/>
    </row>
    <row r="910" spans="1:15">
      <c r="A910" s="46">
        <f ca="1">IFERROR(__xludf.DUMMYFUNCTION("""COMPUTED_VALUE"""),5634)</f>
        <v>5634</v>
      </c>
      <c r="O910" s="184"/>
    </row>
    <row r="911" spans="1:15">
      <c r="A911" s="46">
        <f ca="1">IFERROR(__xludf.DUMMYFUNCTION("""COMPUTED_VALUE"""),13828.61)</f>
        <v>13828.61</v>
      </c>
      <c r="O911" s="184"/>
    </row>
    <row r="912" spans="1:15">
      <c r="A912" s="46">
        <f ca="1">IFERROR(__xludf.DUMMYFUNCTION("""COMPUTED_VALUE"""),0)</f>
        <v>0</v>
      </c>
      <c r="O912" s="184"/>
    </row>
    <row r="913" spans="1:15">
      <c r="A913" s="46">
        <f ca="1">IFERROR(__xludf.DUMMYFUNCTION("""COMPUTED_VALUE"""),0)</f>
        <v>0</v>
      </c>
      <c r="O913" s="184"/>
    </row>
    <row r="914" spans="1:15">
      <c r="A914" s="40">
        <f ca="1">IFERROR(__xludf.DUMMYFUNCTION("""COMPUTED_VALUE"""),0)</f>
        <v>0</v>
      </c>
      <c r="O914" s="184"/>
    </row>
    <row r="915" spans="1:15">
      <c r="A915" s="40">
        <f ca="1">IFERROR(__xludf.DUMMYFUNCTION("""COMPUTED_VALUE"""),44315.61)</f>
        <v>44315.61</v>
      </c>
      <c r="O915" s="184"/>
    </row>
    <row r="916" spans="1:15">
      <c r="A916" s="46">
        <f ca="1">IFERROR(__xludf.DUMMYFUNCTION("""COMPUTED_VALUE"""),-30362.3735508388)</f>
        <v>-30362.373550838802</v>
      </c>
      <c r="O916" s="184"/>
    </row>
    <row r="917" spans="1:15">
      <c r="A917" s="40"/>
      <c r="O917" s="184"/>
    </row>
    <row r="918" spans="1:15">
      <c r="A918" s="40"/>
      <c r="O918" s="184"/>
    </row>
    <row r="919" spans="1:15">
      <c r="A919" s="40"/>
      <c r="O919" s="184"/>
    </row>
    <row r="920" spans="1:15">
      <c r="A920" s="40"/>
      <c r="O920" s="184"/>
    </row>
    <row r="921" spans="1:15">
      <c r="A921" s="40">
        <f ca="1">IFERROR(__xludf.DUMMYFUNCTION("""COMPUTED_VALUE"""),0)</f>
        <v>0</v>
      </c>
      <c r="O921" s="184"/>
    </row>
    <row r="922" spans="1:15">
      <c r="A922" s="40">
        <f ca="1">IFERROR(__xludf.DUMMYFUNCTION("""COMPUTED_VALUE"""),4076)</f>
        <v>4076</v>
      </c>
      <c r="O922" s="184"/>
    </row>
    <row r="923" spans="1:15">
      <c r="A923" s="40">
        <f ca="1">IFERROR(__xludf.DUMMYFUNCTION("""COMPUTED_VALUE"""),4403.5)</f>
        <v>4403.5</v>
      </c>
      <c r="O923" s="184"/>
    </row>
    <row r="924" spans="1:15">
      <c r="A924" s="40">
        <f ca="1">IFERROR(__xludf.DUMMYFUNCTION("""COMPUTED_VALUE"""),1794)</f>
        <v>1794</v>
      </c>
      <c r="O924" s="184"/>
    </row>
    <row r="925" spans="1:15">
      <c r="A925" s="40">
        <f ca="1">IFERROR(__xludf.DUMMYFUNCTION("""COMPUTED_VALUE"""),5777.61)</f>
        <v>5777.61</v>
      </c>
      <c r="O925" s="184"/>
    </row>
    <row r="926" spans="1:15">
      <c r="A926" s="40">
        <f ca="1">IFERROR(__xludf.DUMMYFUNCTION("""COMPUTED_VALUE"""),0)</f>
        <v>0</v>
      </c>
      <c r="O926" s="184"/>
    </row>
    <row r="927" spans="1:15">
      <c r="A927" s="40">
        <f ca="1">IFERROR(__xludf.DUMMYFUNCTION("""COMPUTED_VALUE"""),6114)</f>
        <v>6114</v>
      </c>
      <c r="O927" s="184"/>
    </row>
    <row r="928" spans="1:15">
      <c r="A928" s="40">
        <f ca="1">IFERROR(__xludf.DUMMYFUNCTION("""COMPUTED_VALUE"""),6643.62)</f>
        <v>6643.62</v>
      </c>
      <c r="O928" s="184"/>
    </row>
    <row r="929" spans="1:15">
      <c r="A929" s="40">
        <f ca="1">IFERROR(__xludf.DUMMYFUNCTION("""COMPUTED_VALUE"""),4889.6)</f>
        <v>4889.6000000000004</v>
      </c>
      <c r="O929" s="184"/>
    </row>
    <row r="930" spans="1:15">
      <c r="A930" s="40">
        <f ca="1">IFERROR(__xludf.DUMMYFUNCTION("""COMPUTED_VALUE"""),5312)</f>
        <v>5312</v>
      </c>
      <c r="O930" s="184"/>
    </row>
    <row r="931" spans="1:15">
      <c r="A931" s="40">
        <f ca="1">IFERROR(__xludf.DUMMYFUNCTION("""COMPUTED_VALUE"""),4499)</f>
        <v>4499</v>
      </c>
      <c r="O931" s="184"/>
    </row>
    <row r="932" spans="1:15">
      <c r="A932" s="40">
        <f ca="1">IFERROR(__xludf.DUMMYFUNCTION("""COMPUTED_VALUE"""),43509.33)</f>
        <v>43509.33</v>
      </c>
      <c r="O932" s="184"/>
    </row>
    <row r="933" spans="1:15">
      <c r="A933" s="46">
        <f ca="1">IFERROR(__xludf.DUMMYFUNCTION("""COMPUTED_VALUE"""),-18487.0432223354)</f>
        <v>-18487.0432223354</v>
      </c>
      <c r="O933" s="184"/>
    </row>
    <row r="934" spans="1:15">
      <c r="A934" s="40"/>
      <c r="O934" s="184"/>
    </row>
    <row r="935" spans="1:15">
      <c r="A935" s="40"/>
      <c r="O935" s="184"/>
    </row>
    <row r="936" spans="1:15">
      <c r="A936" s="40"/>
      <c r="O936" s="184"/>
    </row>
    <row r="937" spans="1:15">
      <c r="A937" s="40"/>
      <c r="O937" s="184"/>
    </row>
    <row r="938" spans="1:15">
      <c r="A938" s="46">
        <f ca="1">IFERROR(__xludf.DUMMYFUNCTION("""COMPUTED_VALUE"""),6007)</f>
        <v>6007</v>
      </c>
      <c r="O938" s="184"/>
    </row>
    <row r="939" spans="1:15">
      <c r="A939" s="46">
        <f ca="1">IFERROR(__xludf.DUMMYFUNCTION("""COMPUTED_VALUE"""),4778)</f>
        <v>4778</v>
      </c>
      <c r="O939" s="184"/>
    </row>
    <row r="940" spans="1:15">
      <c r="A940" s="46">
        <f ca="1">IFERROR(__xludf.DUMMYFUNCTION("""COMPUTED_VALUE"""),4529)</f>
        <v>4529</v>
      </c>
      <c r="O940" s="184"/>
    </row>
    <row r="941" spans="1:15">
      <c r="A941" s="46">
        <f ca="1">IFERROR(__xludf.DUMMYFUNCTION("""COMPUTED_VALUE"""),5200)</f>
        <v>5200</v>
      </c>
      <c r="O941" s="184"/>
    </row>
    <row r="942" spans="1:15">
      <c r="A942" s="46">
        <f ca="1">IFERROR(__xludf.DUMMYFUNCTION("""COMPUTED_VALUE"""),0)</f>
        <v>0</v>
      </c>
      <c r="O942" s="184"/>
    </row>
    <row r="943" spans="1:15">
      <c r="A943" s="46">
        <f ca="1">IFERROR(__xludf.DUMMYFUNCTION("""COMPUTED_VALUE"""),4881)</f>
        <v>4881</v>
      </c>
      <c r="O943" s="184"/>
    </row>
    <row r="944" spans="1:15">
      <c r="A944" s="40">
        <f ca="1">IFERROR(__xludf.DUMMYFUNCTION("""COMPUTED_VALUE"""),6114)</f>
        <v>6114</v>
      </c>
      <c r="O944" s="184"/>
    </row>
    <row r="945" spans="1:15">
      <c r="A945" s="46">
        <f ca="1">IFERROR(__xludf.DUMMYFUNCTION("""COMPUTED_VALUE"""),0)</f>
        <v>0</v>
      </c>
      <c r="O945" s="184"/>
    </row>
    <row r="946" spans="1:15">
      <c r="A946" s="46">
        <f ca="1">IFERROR(__xludf.DUMMYFUNCTION("""COMPUTED_VALUE"""),4800.42)</f>
        <v>4800.42</v>
      </c>
      <c r="O946" s="184"/>
    </row>
    <row r="947" spans="1:15">
      <c r="A947" s="46">
        <f ca="1">IFERROR(__xludf.DUMMYFUNCTION("""COMPUTED_VALUE"""),0)</f>
        <v>0</v>
      </c>
      <c r="O947" s="184"/>
    </row>
    <row r="948" spans="1:15">
      <c r="A948" s="40">
        <f ca="1">IFERROR(__xludf.DUMMYFUNCTION("""COMPUTED_VALUE"""),10081)</f>
        <v>10081</v>
      </c>
      <c r="O948" s="184"/>
    </row>
    <row r="949" spans="1:15">
      <c r="A949" s="40">
        <f ca="1">IFERROR(__xludf.DUMMYFUNCTION("""COMPUTED_VALUE"""),46390.42)</f>
        <v>46390.42</v>
      </c>
      <c r="O949" s="184"/>
    </row>
    <row r="950" spans="1:15">
      <c r="A950" s="46">
        <f ca="1">IFERROR(__xludf.DUMMYFUNCTION("""COMPUTED_VALUE"""),-17304.7316854205)</f>
        <v>-17304.731685420498</v>
      </c>
      <c r="O950" s="184"/>
    </row>
    <row r="951" spans="1:15">
      <c r="A951" s="40"/>
      <c r="O951" s="184"/>
    </row>
    <row r="952" spans="1:15">
      <c r="A952" s="40"/>
      <c r="O952" s="184"/>
    </row>
    <row r="953" spans="1:15">
      <c r="A953" s="40"/>
      <c r="O953" s="184"/>
    </row>
    <row r="954" spans="1:15">
      <c r="A954" s="40"/>
      <c r="O954" s="184"/>
    </row>
    <row r="955" spans="1:15">
      <c r="A955" s="40">
        <f ca="1">IFERROR(__xludf.DUMMYFUNCTION("""COMPUTED_VALUE"""),5977)</f>
        <v>5977</v>
      </c>
      <c r="O955" s="184"/>
    </row>
    <row r="956" spans="1:15">
      <c r="A956" s="40">
        <f ca="1">IFERROR(__xludf.DUMMYFUNCTION("""COMPUTED_VALUE"""),5426)</f>
        <v>5426</v>
      </c>
      <c r="O956" s="184"/>
    </row>
    <row r="957" spans="1:15">
      <c r="A957" s="40">
        <f ca="1">IFERROR(__xludf.DUMMYFUNCTION("""COMPUTED_VALUE"""),5329)</f>
        <v>5329</v>
      </c>
      <c r="O957" s="184"/>
    </row>
    <row r="958" spans="1:15">
      <c r="A958" s="40">
        <f ca="1">IFERROR(__xludf.DUMMYFUNCTION("""COMPUTED_VALUE"""),5840)</f>
        <v>5840</v>
      </c>
      <c r="O958" s="184"/>
    </row>
    <row r="959" spans="1:15">
      <c r="A959" s="40">
        <f ca="1">IFERROR(__xludf.DUMMYFUNCTION("""COMPUTED_VALUE"""),5840)</f>
        <v>5840</v>
      </c>
      <c r="O959" s="184"/>
    </row>
    <row r="960" spans="1:15">
      <c r="A960" s="46">
        <f ca="1">IFERROR(__xludf.DUMMYFUNCTION("""COMPUTED_VALUE"""),5245)</f>
        <v>5245</v>
      </c>
      <c r="O960" s="184"/>
    </row>
    <row r="961" spans="1:15">
      <c r="A961" s="40">
        <f ca="1">IFERROR(__xludf.DUMMYFUNCTION("""COMPUTED_VALUE"""),6231)</f>
        <v>6231</v>
      </c>
      <c r="O961" s="184"/>
    </row>
    <row r="962" spans="1:15">
      <c r="A962" s="40">
        <f ca="1">IFERROR(__xludf.DUMMYFUNCTION("""COMPUTED_VALUE"""),7087.29)</f>
        <v>7087.29</v>
      </c>
      <c r="O962" s="184"/>
    </row>
    <row r="963" spans="1:15">
      <c r="A963" s="40">
        <f ca="1">IFERROR(__xludf.DUMMYFUNCTION("""COMPUTED_VALUE"""),5455.4)</f>
        <v>5455.4</v>
      </c>
      <c r="O963" s="184"/>
    </row>
    <row r="964" spans="1:15">
      <c r="A964" s="40">
        <f ca="1">IFERROR(__xludf.DUMMYFUNCTION("""COMPUTED_VALUE"""),5508)</f>
        <v>5508</v>
      </c>
      <c r="O964" s="184"/>
    </row>
    <row r="965" spans="1:15">
      <c r="A965" s="40">
        <f ca="1">IFERROR(__xludf.DUMMYFUNCTION("""COMPUTED_VALUE"""),4658)</f>
        <v>4658</v>
      </c>
      <c r="O965" s="184"/>
    </row>
    <row r="966" spans="1:15">
      <c r="A966" s="40">
        <f ca="1">IFERROR(__xludf.DUMMYFUNCTION("""COMPUTED_VALUE"""),62596.69)</f>
        <v>62596.69</v>
      </c>
      <c r="O966" s="184"/>
    </row>
    <row r="967" spans="1:15">
      <c r="A967" s="46">
        <f ca="1">IFERROR(__xludf.DUMMYFUNCTION("""COMPUTED_VALUE"""),-5537.38470986243)</f>
        <v>-5537.3847098624301</v>
      </c>
      <c r="O967" s="184"/>
    </row>
    <row r="968" spans="1:15">
      <c r="A968" s="40"/>
      <c r="O968" s="184"/>
    </row>
    <row r="969" spans="1:15">
      <c r="A969" s="40"/>
      <c r="O969" s="184"/>
    </row>
    <row r="970" spans="1:15">
      <c r="A970" s="40"/>
      <c r="O970" s="184"/>
    </row>
    <row r="971" spans="1:15">
      <c r="A971" s="40"/>
      <c r="O971" s="184"/>
    </row>
    <row r="972" spans="1:15">
      <c r="A972" s="46">
        <f ca="1">IFERROR(__xludf.DUMMYFUNCTION("""COMPUTED_VALUE"""),6577)</f>
        <v>6577</v>
      </c>
      <c r="O972" s="184"/>
    </row>
    <row r="973" spans="1:15">
      <c r="A973" s="46">
        <f ca="1">IFERROR(__xludf.DUMMYFUNCTION("""COMPUTED_VALUE"""),4959)</f>
        <v>4959</v>
      </c>
      <c r="O973" s="184"/>
    </row>
    <row r="974" spans="1:15">
      <c r="A974" s="46">
        <f ca="1">IFERROR(__xludf.DUMMYFUNCTION("""COMPUTED_VALUE"""),5281)</f>
        <v>5281</v>
      </c>
      <c r="O974" s="184"/>
    </row>
    <row r="975" spans="1:15">
      <c r="A975" s="46">
        <f ca="1">IFERROR(__xludf.DUMMYFUNCTION("""COMPUTED_VALUE"""),5886)</f>
        <v>5886</v>
      </c>
      <c r="O975" s="184"/>
    </row>
    <row r="976" spans="1:15">
      <c r="A976" s="46">
        <f ca="1">IFERROR(__xludf.DUMMYFUNCTION("""COMPUTED_VALUE"""),9000)</f>
        <v>9000</v>
      </c>
      <c r="O976" s="184"/>
    </row>
    <row r="977" spans="1:15">
      <c r="A977" s="46">
        <f ca="1">IFERROR(__xludf.DUMMYFUNCTION("""COMPUTED_VALUE"""),5796)</f>
        <v>5796</v>
      </c>
      <c r="O977" s="184"/>
    </row>
    <row r="978" spans="1:15">
      <c r="A978" s="46">
        <f ca="1">IFERROR(__xludf.DUMMYFUNCTION("""COMPUTED_VALUE"""),6864)</f>
        <v>6864</v>
      </c>
      <c r="O978" s="184"/>
    </row>
    <row r="979" spans="1:15">
      <c r="A979" s="46">
        <f ca="1">IFERROR(__xludf.DUMMYFUNCTION("""COMPUTED_VALUE"""),7323)</f>
        <v>7323</v>
      </c>
      <c r="O979" s="184"/>
    </row>
    <row r="980" spans="1:15">
      <c r="A980" s="46">
        <f ca="1">IFERROR(__xludf.DUMMYFUNCTION("""COMPUTED_VALUE"""),0)</f>
        <v>0</v>
      </c>
      <c r="O980" s="184"/>
    </row>
    <row r="981" spans="1:15">
      <c r="A981" s="46">
        <f ca="1">IFERROR(__xludf.DUMMYFUNCTION("""COMPUTED_VALUE"""),0)</f>
        <v>0</v>
      </c>
      <c r="O981" s="184"/>
    </row>
    <row r="982" spans="1:15">
      <c r="A982" s="40">
        <f ca="1">IFERROR(__xludf.DUMMYFUNCTION("""COMPUTED_VALUE"""),12354)</f>
        <v>12354</v>
      </c>
      <c r="O982" s="184"/>
    </row>
    <row r="983" spans="1:15">
      <c r="A983" s="40">
        <f ca="1">IFERROR(__xludf.DUMMYFUNCTION("""COMPUTED_VALUE"""),64040)</f>
        <v>64040</v>
      </c>
      <c r="O983" s="184"/>
    </row>
    <row r="984" spans="1:15">
      <c r="A984" s="46">
        <f ca="1">IFERROR(__xludf.DUMMYFUNCTION("""COMPUTED_VALUE"""),-9449.22658768123)</f>
        <v>-9449.2265876812307</v>
      </c>
      <c r="O984" s="184"/>
    </row>
    <row r="985" spans="1:15">
      <c r="A985" s="40"/>
      <c r="O985" s="184"/>
    </row>
    <row r="986" spans="1:15">
      <c r="A986" s="40"/>
      <c r="O986" s="184"/>
    </row>
    <row r="987" spans="1:15">
      <c r="A987" s="40"/>
      <c r="O987" s="184"/>
    </row>
    <row r="988" spans="1:15">
      <c r="A988" s="40"/>
      <c r="O988" s="184"/>
    </row>
    <row r="989" spans="1:15">
      <c r="A989" s="46">
        <f ca="1">IFERROR(__xludf.DUMMYFUNCTION("""COMPUTED_VALUE"""),0)</f>
        <v>0</v>
      </c>
      <c r="O989" s="184"/>
    </row>
    <row r="990" spans="1:15">
      <c r="A990" s="46">
        <f ca="1">IFERROR(__xludf.DUMMYFUNCTION("""COMPUTED_VALUE"""),10528)</f>
        <v>10528</v>
      </c>
      <c r="O990" s="184"/>
    </row>
    <row r="991" spans="1:15">
      <c r="A991" s="46">
        <f ca="1">IFERROR(__xludf.DUMMYFUNCTION("""COMPUTED_VALUE"""),4585)</f>
        <v>4585</v>
      </c>
      <c r="O991" s="184"/>
    </row>
    <row r="992" spans="1:15">
      <c r="A992" s="46">
        <f ca="1">IFERROR(__xludf.DUMMYFUNCTION("""COMPUTED_VALUE"""),5351)</f>
        <v>5351</v>
      </c>
      <c r="O992" s="184"/>
    </row>
    <row r="993" spans="1:15">
      <c r="A993" s="46">
        <f ca="1">IFERROR(__xludf.DUMMYFUNCTION("""COMPUTED_VALUE"""),0)</f>
        <v>0</v>
      </c>
      <c r="O993" s="184"/>
    </row>
    <row r="994" spans="1:15">
      <c r="A994" s="46">
        <f ca="1">IFERROR(__xludf.DUMMYFUNCTION("""COMPUTED_VALUE"""),5176)</f>
        <v>5176</v>
      </c>
      <c r="O994" s="184"/>
    </row>
    <row r="995" spans="1:15">
      <c r="A995" s="46">
        <f ca="1">IFERROR(__xludf.DUMMYFUNCTION("""COMPUTED_VALUE"""),4834)</f>
        <v>4834</v>
      </c>
      <c r="O995" s="184"/>
    </row>
    <row r="996" spans="1:15">
      <c r="A996" s="46">
        <f ca="1">IFERROR(__xludf.DUMMYFUNCTION("""COMPUTED_VALUE"""),13174.1199999999)</f>
        <v>13174.119999999901</v>
      </c>
      <c r="O996" s="184"/>
    </row>
    <row r="997" spans="1:15">
      <c r="A997" s="46">
        <f ca="1">IFERROR(__xludf.DUMMYFUNCTION("""COMPUTED_VALUE"""),0)</f>
        <v>0</v>
      </c>
      <c r="O997" s="184"/>
    </row>
    <row r="998" spans="1:15">
      <c r="A998" s="46">
        <f ca="1">IFERROR(__xludf.DUMMYFUNCTION("""COMPUTED_VALUE"""),0)</f>
        <v>0</v>
      </c>
      <c r="O998" s="184"/>
    </row>
    <row r="999" spans="1:15">
      <c r="A999" s="40">
        <f ca="1">IFERROR(__xludf.DUMMYFUNCTION("""COMPUTED_VALUE"""),5163)</f>
        <v>5163</v>
      </c>
      <c r="O999" s="184"/>
    </row>
    <row r="1000" spans="1:15">
      <c r="A1000" s="40">
        <f ca="1">IFERROR(__xludf.DUMMYFUNCTION("""COMPUTED_VALUE"""),48811.1199999999)</f>
        <v>48811.119999999901</v>
      </c>
      <c r="O1000" s="184"/>
    </row>
    <row r="1001" spans="1:15">
      <c r="A1001" s="46">
        <f ca="1">IFERROR(__xludf.DUMMYFUNCTION("""COMPUTED_VALUE"""),-15596.8644666795)</f>
        <v>-15596.864466679501</v>
      </c>
      <c r="O1001" s="184"/>
    </row>
    <row r="1002" spans="1:15">
      <c r="A1002" s="40"/>
      <c r="O1002" s="184"/>
    </row>
    <row r="1003" spans="1:15">
      <c r="A1003" s="40"/>
      <c r="O1003" s="184"/>
    </row>
    <row r="1004" spans="1:15">
      <c r="A1004" s="40"/>
      <c r="O1004" s="184"/>
    </row>
    <row r="1005" spans="1:15">
      <c r="A1005" s="40"/>
      <c r="O1005" s="184"/>
    </row>
    <row r="1006" spans="1:15">
      <c r="A1006" s="46">
        <f ca="1">IFERROR(__xludf.DUMMYFUNCTION("""COMPUTED_VALUE"""),6103)</f>
        <v>6103</v>
      </c>
      <c r="O1006" s="184"/>
    </row>
    <row r="1007" spans="1:15">
      <c r="A1007" s="46">
        <f ca="1">IFERROR(__xludf.DUMMYFUNCTION("""COMPUTED_VALUE"""),4195)</f>
        <v>4195</v>
      </c>
      <c r="O1007" s="184"/>
    </row>
    <row r="1008" spans="1:15">
      <c r="A1008" s="46">
        <f ca="1">IFERROR(__xludf.DUMMYFUNCTION("""COMPUTED_VALUE"""),4410.4)</f>
        <v>4410.3999999999996</v>
      </c>
      <c r="O1008" s="184"/>
    </row>
    <row r="1009" spans="1:15">
      <c r="A1009" s="46">
        <f ca="1">IFERROR(__xludf.DUMMYFUNCTION("""COMPUTED_VALUE"""),5218.7)</f>
        <v>5218.7</v>
      </c>
      <c r="O1009" s="184"/>
    </row>
    <row r="1010" spans="1:15">
      <c r="A1010" s="46">
        <f ca="1">IFERROR(__xludf.DUMMYFUNCTION("""COMPUTED_VALUE"""),5695.22)</f>
        <v>5695.22</v>
      </c>
      <c r="O1010" s="184"/>
    </row>
    <row r="1011" spans="1:15">
      <c r="A1011" s="46">
        <f ca="1">IFERROR(__xludf.DUMMYFUNCTION("""COMPUTED_VALUE"""),4826.82)</f>
        <v>4826.82</v>
      </c>
      <c r="O1011" s="184"/>
    </row>
    <row r="1012" spans="1:15">
      <c r="A1012" s="46">
        <f ca="1">IFERROR(__xludf.DUMMYFUNCTION("""COMPUTED_VALUE"""),6114)</f>
        <v>6114</v>
      </c>
      <c r="O1012" s="184"/>
    </row>
    <row r="1013" spans="1:15">
      <c r="A1013" s="46">
        <f ca="1">IFERROR(__xludf.DUMMYFUNCTION("""COMPUTED_VALUE"""),6980.33)</f>
        <v>6980.33</v>
      </c>
      <c r="O1013" s="184"/>
    </row>
    <row r="1014" spans="1:15">
      <c r="A1014" s="46">
        <f ca="1">IFERROR(__xludf.DUMMYFUNCTION("""COMPUTED_VALUE"""),16977.41)</f>
        <v>16977.41</v>
      </c>
      <c r="O1014" s="184"/>
    </row>
    <row r="1015" spans="1:15">
      <c r="A1015" s="46">
        <f ca="1">IFERROR(__xludf.DUMMYFUNCTION("""COMPUTED_VALUE"""),4982)</f>
        <v>4982</v>
      </c>
      <c r="O1015" s="184"/>
    </row>
    <row r="1016" spans="1:15">
      <c r="A1016" s="40">
        <f ca="1">IFERROR(__xludf.DUMMYFUNCTION("""COMPUTED_VALUE"""),4604)</f>
        <v>4604</v>
      </c>
      <c r="O1016" s="184"/>
    </row>
    <row r="1017" spans="1:15">
      <c r="A1017" s="40">
        <f ca="1">IFERROR(__xludf.DUMMYFUNCTION("""COMPUTED_VALUE"""),70106.88)</f>
        <v>70106.880000000005</v>
      </c>
      <c r="O1017" s="184"/>
    </row>
    <row r="1018" spans="1:15">
      <c r="A1018" s="46">
        <f ca="1">IFERROR(__xludf.DUMMYFUNCTION("""COMPUTED_VALUE"""),7741.3289408239)</f>
        <v>7741.3289408238998</v>
      </c>
      <c r="O1018" s="184"/>
    </row>
    <row r="1019" spans="1:15">
      <c r="A1019" s="40"/>
      <c r="O1019" s="184"/>
    </row>
    <row r="1020" spans="1:15">
      <c r="A1020" s="40"/>
      <c r="O1020" s="184"/>
    </row>
    <row r="1021" spans="1:15">
      <c r="A1021" s="40"/>
      <c r="O1021" s="184"/>
    </row>
    <row r="1022" spans="1:15">
      <c r="A1022" s="40"/>
      <c r="O1022" s="184"/>
    </row>
    <row r="1023" spans="1:15">
      <c r="A1023" s="46">
        <f ca="1">IFERROR(__xludf.DUMMYFUNCTION("""COMPUTED_VALUE"""),12000)</f>
        <v>12000</v>
      </c>
      <c r="O1023" s="184"/>
    </row>
    <row r="1024" spans="1:15">
      <c r="A1024" s="40">
        <f ca="1">IFERROR(__xludf.DUMMYFUNCTION("""COMPUTED_VALUE"""),0)</f>
        <v>0</v>
      </c>
      <c r="O1024" s="184"/>
    </row>
    <row r="1025" spans="1:15">
      <c r="A1025" s="40">
        <f ca="1">IFERROR(__xludf.DUMMYFUNCTION("""COMPUTED_VALUE"""),12000)</f>
        <v>12000</v>
      </c>
      <c r="O1025" s="184"/>
    </row>
    <row r="1026" spans="1:15">
      <c r="A1026" s="40">
        <f ca="1">IFERROR(__xludf.DUMMYFUNCTION("""COMPUTED_VALUE"""),0)</f>
        <v>0</v>
      </c>
      <c r="O1026" s="184"/>
    </row>
    <row r="1027" spans="1:15">
      <c r="A1027" s="40">
        <f ca="1">IFERROR(__xludf.DUMMYFUNCTION("""COMPUTED_VALUE"""),12000)</f>
        <v>12000</v>
      </c>
      <c r="O1027" s="184"/>
    </row>
    <row r="1028" spans="1:15">
      <c r="A1028" s="40">
        <f ca="1">IFERROR(__xludf.DUMMYFUNCTION("""COMPUTED_VALUE"""),12000)</f>
        <v>12000</v>
      </c>
      <c r="O1028" s="184"/>
    </row>
    <row r="1029" spans="1:15">
      <c r="A1029" s="46">
        <f ca="1">IFERROR(__xludf.DUMMYFUNCTION("""COMPUTED_VALUE"""),12000)</f>
        <v>12000</v>
      </c>
      <c r="O1029" s="184"/>
    </row>
    <row r="1030" spans="1:15">
      <c r="A1030" s="40">
        <f ca="1">IFERROR(__xludf.DUMMYFUNCTION("""COMPUTED_VALUE"""),0)</f>
        <v>0</v>
      </c>
      <c r="O1030" s="184"/>
    </row>
    <row r="1031" spans="1:15">
      <c r="A1031" s="40">
        <f ca="1">IFERROR(__xludf.DUMMYFUNCTION("""COMPUTED_VALUE"""),0)</f>
        <v>0</v>
      </c>
      <c r="O1031" s="184"/>
    </row>
    <row r="1032" spans="1:15">
      <c r="A1032" s="40">
        <f ca="1">IFERROR(__xludf.DUMMYFUNCTION("""COMPUTED_VALUE"""),12000)</f>
        <v>12000</v>
      </c>
      <c r="O1032" s="184"/>
    </row>
    <row r="1033" spans="1:15">
      <c r="A1033" s="40">
        <f ca="1">IFERROR(__xludf.DUMMYFUNCTION("""COMPUTED_VALUE"""),0)</f>
        <v>0</v>
      </c>
      <c r="O1033" s="184"/>
    </row>
    <row r="1034" spans="1:15">
      <c r="A1034" s="40">
        <f ca="1">IFERROR(__xludf.DUMMYFUNCTION("""COMPUTED_VALUE"""),72000)</f>
        <v>72000</v>
      </c>
      <c r="O1034" s="184"/>
    </row>
    <row r="1035" spans="1:15">
      <c r="A1035" s="46">
        <f ca="1">IFERROR(__xludf.DUMMYFUNCTION("""COMPUTED_VALUE"""),5358.0591150161)</f>
        <v>5358.0591150160999</v>
      </c>
      <c r="O1035" s="184"/>
    </row>
    <row r="1036" spans="1:15">
      <c r="A1036" s="40"/>
      <c r="O1036" s="184"/>
    </row>
    <row r="1037" spans="1:15">
      <c r="A1037" s="40"/>
      <c r="O1037" s="184"/>
    </row>
    <row r="1038" spans="1:15">
      <c r="A1038" s="40"/>
      <c r="O1038" s="184"/>
    </row>
    <row r="1039" spans="1:15">
      <c r="A1039" s="40"/>
      <c r="O1039" s="184"/>
    </row>
    <row r="1040" spans="1:15">
      <c r="A1040" s="46">
        <f ca="1">IFERROR(__xludf.DUMMYFUNCTION("""COMPUTED_VALUE"""),11709)</f>
        <v>11709</v>
      </c>
      <c r="O1040" s="184"/>
    </row>
    <row r="1041" spans="1:15">
      <c r="A1041" s="46">
        <f ca="1">IFERROR(__xludf.DUMMYFUNCTION("""COMPUTED_VALUE"""),5262)</f>
        <v>5262</v>
      </c>
      <c r="O1041" s="184"/>
    </row>
    <row r="1042" spans="1:15">
      <c r="A1042" s="46">
        <f ca="1">IFERROR(__xludf.DUMMYFUNCTION("""COMPUTED_VALUE"""),4875)</f>
        <v>4875</v>
      </c>
      <c r="O1042" s="184"/>
    </row>
    <row r="1043" spans="1:15">
      <c r="A1043" s="46">
        <f ca="1">IFERROR(__xludf.DUMMYFUNCTION("""COMPUTED_VALUE"""),5514)</f>
        <v>5514</v>
      </c>
      <c r="O1043" s="184"/>
    </row>
    <row r="1044" spans="1:15">
      <c r="A1044" s="46">
        <f ca="1">IFERROR(__xludf.DUMMYFUNCTION("""COMPUTED_VALUE"""),0)</f>
        <v>0</v>
      </c>
      <c r="O1044" s="184"/>
    </row>
    <row r="1045" spans="1:15">
      <c r="A1045" s="46">
        <f ca="1">IFERROR(__xludf.DUMMYFUNCTION("""COMPUTED_VALUE"""),5237)</f>
        <v>5237</v>
      </c>
      <c r="O1045" s="184"/>
    </row>
    <row r="1046" spans="1:15">
      <c r="A1046" s="46">
        <f ca="1">IFERROR(__xludf.DUMMYFUNCTION("""COMPUTED_VALUE"""),6231)</f>
        <v>6231</v>
      </c>
      <c r="O1046" s="184"/>
    </row>
    <row r="1047" spans="1:15">
      <c r="A1047" s="46">
        <f ca="1">IFERROR(__xludf.DUMMYFUNCTION("""COMPUTED_VALUE"""),7045)</f>
        <v>7045</v>
      </c>
      <c r="O1047" s="184"/>
    </row>
    <row r="1048" spans="1:15">
      <c r="A1048" s="46">
        <f ca="1">IFERROR(__xludf.DUMMYFUNCTION("""COMPUTED_VALUE"""),5556)</f>
        <v>5556</v>
      </c>
      <c r="O1048" s="184"/>
    </row>
    <row r="1049" spans="1:15">
      <c r="A1049" s="46">
        <f ca="1">IFERROR(__xludf.DUMMYFUNCTION("""COMPUTED_VALUE"""),1489)</f>
        <v>1489</v>
      </c>
      <c r="O1049" s="184"/>
    </row>
    <row r="1050" spans="1:15">
      <c r="A1050" s="40">
        <f ca="1">IFERROR(__xludf.DUMMYFUNCTION("""COMPUTED_VALUE"""),3631)</f>
        <v>3631</v>
      </c>
      <c r="O1050" s="184"/>
    </row>
    <row r="1051" spans="1:15">
      <c r="A1051" s="40">
        <f ca="1">IFERROR(__xludf.DUMMYFUNCTION("""COMPUTED_VALUE"""),56549)</f>
        <v>56549</v>
      </c>
      <c r="O1051" s="184"/>
    </row>
    <row r="1052" spans="1:15">
      <c r="A1052" s="46">
        <f ca="1">IFERROR(__xludf.DUMMYFUNCTION("""COMPUTED_VALUE"""),-10541.9018608224)</f>
        <v>-10541.9018608224</v>
      </c>
      <c r="O1052" s="184"/>
    </row>
    <row r="1053" spans="1:15">
      <c r="A1053" s="40"/>
      <c r="O1053" s="184"/>
    </row>
    <row r="1054" spans="1:15">
      <c r="A1054" s="40"/>
      <c r="O1054" s="184"/>
    </row>
    <row r="1055" spans="1:15">
      <c r="A1055" s="40"/>
      <c r="O1055" s="184"/>
    </row>
    <row r="1056" spans="1:15">
      <c r="A1056" s="40"/>
      <c r="O1056" s="184"/>
    </row>
    <row r="1057" spans="1:15">
      <c r="A1057" s="46">
        <f ca="1">IFERROR(__xludf.DUMMYFUNCTION("""COMPUTED_VALUE"""),6247)</f>
        <v>6247</v>
      </c>
      <c r="O1057" s="184"/>
    </row>
    <row r="1058" spans="1:15">
      <c r="A1058" s="46">
        <f ca="1">IFERROR(__xludf.DUMMYFUNCTION("""COMPUTED_VALUE"""),0)</f>
        <v>0</v>
      </c>
      <c r="O1058" s="184"/>
    </row>
    <row r="1059" spans="1:15">
      <c r="A1059" s="46">
        <f ca="1">IFERROR(__xludf.DUMMYFUNCTION("""COMPUTED_VALUE"""),5152)</f>
        <v>5152</v>
      </c>
      <c r="O1059" s="184"/>
    </row>
    <row r="1060" spans="1:15">
      <c r="A1060" s="46">
        <f ca="1">IFERROR(__xludf.DUMMYFUNCTION("""COMPUTED_VALUE"""),6161)</f>
        <v>6161</v>
      </c>
      <c r="O1060" s="184"/>
    </row>
    <row r="1061" spans="1:15">
      <c r="A1061" s="46">
        <f ca="1">IFERROR(__xludf.DUMMYFUNCTION("""COMPUTED_VALUE"""),0)</f>
        <v>0</v>
      </c>
      <c r="O1061" s="184"/>
    </row>
    <row r="1062" spans="1:15">
      <c r="A1062" s="46">
        <f ca="1">IFERROR(__xludf.DUMMYFUNCTION("""COMPUTED_VALUE"""),5511)</f>
        <v>5511</v>
      </c>
      <c r="O1062" s="184"/>
    </row>
    <row r="1063" spans="1:15">
      <c r="A1063" s="46">
        <f ca="1">IFERROR(__xludf.DUMMYFUNCTION("""COMPUTED_VALUE"""),0)</f>
        <v>0</v>
      </c>
      <c r="O1063" s="184"/>
    </row>
    <row r="1064" spans="1:15">
      <c r="A1064" s="46">
        <f ca="1">IFERROR(__xludf.DUMMYFUNCTION("""COMPUTED_VALUE"""),6231)</f>
        <v>6231</v>
      </c>
      <c r="O1064" s="184"/>
    </row>
    <row r="1065" spans="1:15">
      <c r="A1065" s="46">
        <f ca="1">IFERROR(__xludf.DUMMYFUNCTION("""COMPUTED_VALUE"""),0)</f>
        <v>0</v>
      </c>
      <c r="O1065" s="184"/>
    </row>
    <row r="1066" spans="1:15">
      <c r="A1066" s="46">
        <f ca="1">IFERROR(__xludf.DUMMYFUNCTION("""COMPUTED_VALUE"""),5781)</f>
        <v>5781</v>
      </c>
      <c r="O1066" s="184"/>
    </row>
    <row r="1067" spans="1:15">
      <c r="A1067" s="40">
        <f ca="1">IFERROR(__xludf.DUMMYFUNCTION("""COMPUTED_VALUE"""),5832)</f>
        <v>5832</v>
      </c>
      <c r="O1067" s="184"/>
    </row>
    <row r="1068" spans="1:15">
      <c r="A1068" s="40">
        <f ca="1">IFERROR(__xludf.DUMMYFUNCTION("""COMPUTED_VALUE"""),40915)</f>
        <v>40915</v>
      </c>
      <c r="O1068" s="184"/>
    </row>
    <row r="1069" spans="1:15">
      <c r="A1069" s="46">
        <f ca="1">IFERROR(__xludf.DUMMYFUNCTION("""COMPUTED_VALUE"""),-37677.8262869147)</f>
        <v>-37677.8262869147</v>
      </c>
      <c r="O1069" s="184"/>
    </row>
    <row r="1070" spans="1:15">
      <c r="A1070" s="40"/>
      <c r="O1070" s="184"/>
    </row>
    <row r="1071" spans="1:15">
      <c r="A1071" s="40"/>
      <c r="O1071" s="184"/>
    </row>
    <row r="1072" spans="1:15">
      <c r="A1072" s="40"/>
      <c r="O1072" s="184"/>
    </row>
    <row r="1073" spans="1:15">
      <c r="A1073" s="40"/>
      <c r="O1073" s="184"/>
    </row>
    <row r="1074" spans="1:15">
      <c r="A1074" s="40">
        <f ca="1">IFERROR(__xludf.DUMMYFUNCTION("""COMPUTED_VALUE"""),5625)</f>
        <v>5625</v>
      </c>
      <c r="O1074" s="184"/>
    </row>
    <row r="1075" spans="1:15">
      <c r="A1075" s="40">
        <f ca="1">IFERROR(__xludf.DUMMYFUNCTION("""COMPUTED_VALUE"""),4119)</f>
        <v>4119</v>
      </c>
      <c r="O1075" s="184"/>
    </row>
    <row r="1076" spans="1:15">
      <c r="A1076" s="40">
        <f ca="1">IFERROR(__xludf.DUMMYFUNCTION("""COMPUTED_VALUE"""),4962)</f>
        <v>4962</v>
      </c>
      <c r="O1076" s="184"/>
    </row>
    <row r="1077" spans="1:15">
      <c r="A1077" s="40">
        <f ca="1">IFERROR(__xludf.DUMMYFUNCTION("""COMPUTED_VALUE"""),5875)</f>
        <v>5875</v>
      </c>
      <c r="O1077" s="184"/>
    </row>
    <row r="1078" spans="1:15">
      <c r="A1078" s="40">
        <f ca="1">IFERROR(__xludf.DUMMYFUNCTION("""COMPUTED_VALUE"""),0)</f>
        <v>0</v>
      </c>
      <c r="O1078" s="184"/>
    </row>
    <row r="1079" spans="1:15">
      <c r="A1079" s="46">
        <f ca="1">IFERROR(__xludf.DUMMYFUNCTION("""COMPUTED_VALUE"""),5154)</f>
        <v>5154</v>
      </c>
      <c r="O1079" s="184"/>
    </row>
    <row r="1080" spans="1:15">
      <c r="A1080" s="46">
        <f ca="1">IFERROR(__xludf.DUMMYFUNCTION("""COMPUTED_VALUE"""),0)</f>
        <v>0</v>
      </c>
      <c r="O1080" s="184"/>
    </row>
    <row r="1081" spans="1:15">
      <c r="A1081" s="40">
        <f ca="1">IFERROR(__xludf.DUMMYFUNCTION("""COMPUTED_VALUE"""),6114)</f>
        <v>6114</v>
      </c>
      <c r="O1081" s="184"/>
    </row>
    <row r="1082" spans="1:15">
      <c r="A1082" s="40">
        <f ca="1">IFERROR(__xludf.DUMMYFUNCTION("""COMPUTED_VALUE"""),5460)</f>
        <v>5460</v>
      </c>
      <c r="O1082" s="184"/>
    </row>
    <row r="1083" spans="1:15">
      <c r="A1083" s="40">
        <f ca="1">IFERROR(__xludf.DUMMYFUNCTION("""COMPUTED_VALUE"""),5387)</f>
        <v>5387</v>
      </c>
      <c r="O1083" s="184"/>
    </row>
    <row r="1084" spans="1:15">
      <c r="A1084" s="40">
        <f ca="1">IFERROR(__xludf.DUMMYFUNCTION("""COMPUTED_VALUE"""),5366)</f>
        <v>5366</v>
      </c>
      <c r="O1084" s="184"/>
    </row>
    <row r="1085" spans="1:15">
      <c r="A1085" s="40">
        <f ca="1">IFERROR(__xludf.DUMMYFUNCTION("""COMPUTED_VALUE"""),48062)</f>
        <v>48062</v>
      </c>
      <c r="O1085" s="184"/>
    </row>
    <row r="1086" spans="1:15">
      <c r="A1086" s="46">
        <f ca="1">IFERROR(__xludf.DUMMYFUNCTION("""COMPUTED_VALUE"""),-19125.2071393933)</f>
        <v>-19125.2071393933</v>
      </c>
      <c r="O1086" s="184"/>
    </row>
    <row r="1087" spans="1:15">
      <c r="A1087" s="40"/>
      <c r="O1087" s="184"/>
    </row>
    <row r="1088" spans="1:15">
      <c r="A1088" s="40"/>
      <c r="O1088" s="184"/>
    </row>
    <row r="1089" spans="15:15">
      <c r="O1089" s="184"/>
    </row>
    <row r="1090" spans="15:15">
      <c r="O1090" s="184"/>
    </row>
    <row r="1091" spans="15:15">
      <c r="O1091" s="184"/>
    </row>
    <row r="1092" spans="15:15">
      <c r="O1092" s="184"/>
    </row>
    <row r="1093" spans="15:15">
      <c r="O1093" s="184"/>
    </row>
    <row r="1094" spans="15:15">
      <c r="O1094" s="184"/>
    </row>
    <row r="1095" spans="15:15">
      <c r="O1095" s="184"/>
    </row>
    <row r="1096" spans="15:15">
      <c r="O1096" s="184"/>
    </row>
    <row r="1097" spans="15:15">
      <c r="O1097" s="184"/>
    </row>
    <row r="1098" spans="15:15">
      <c r="O1098" s="184"/>
    </row>
    <row r="1099" spans="15:15">
      <c r="O1099" s="184"/>
    </row>
    <row r="1100" spans="15:15">
      <c r="O1100" s="184"/>
    </row>
    <row r="1101" spans="15:15">
      <c r="O1101" s="184"/>
    </row>
    <row r="1102" spans="15:15">
      <c r="O1102" s="184"/>
    </row>
    <row r="1103" spans="15:15">
      <c r="O1103" s="184"/>
    </row>
    <row r="1104" spans="15:15">
      <c r="O1104" s="184"/>
    </row>
    <row r="1105" spans="15:15">
      <c r="O1105" s="184"/>
    </row>
    <row r="1106" spans="15:15">
      <c r="O1106" s="184"/>
    </row>
    <row r="1107" spans="15:15">
      <c r="O1107" s="184"/>
    </row>
    <row r="1108" spans="15:15">
      <c r="O1108" s="184"/>
    </row>
    <row r="1109" spans="15:15">
      <c r="O1109" s="184"/>
    </row>
    <row r="1110" spans="15:15">
      <c r="O1110" s="184"/>
    </row>
    <row r="1111" spans="15:15">
      <c r="O1111" s="184"/>
    </row>
    <row r="1112" spans="15:15">
      <c r="O1112" s="184"/>
    </row>
    <row r="1113" spans="15:15">
      <c r="O1113" s="184"/>
    </row>
    <row r="1114" spans="15:15">
      <c r="O1114" s="184"/>
    </row>
    <row r="1115" spans="15:15">
      <c r="O1115" s="184"/>
    </row>
    <row r="1116" spans="15:15">
      <c r="O1116" s="184"/>
    </row>
    <row r="1117" spans="15:15">
      <c r="O1117" s="184"/>
    </row>
    <row r="1118" spans="15:15">
      <c r="O1118" s="184"/>
    </row>
    <row r="1119" spans="15:15">
      <c r="O1119" s="184"/>
    </row>
    <row r="1120" spans="15:15">
      <c r="O1120" s="184"/>
    </row>
    <row r="1121" spans="15:15">
      <c r="O1121" s="184"/>
    </row>
    <row r="1122" spans="15:15">
      <c r="O1122" s="184"/>
    </row>
    <row r="1123" spans="15:15">
      <c r="O1123" s="184"/>
    </row>
    <row r="1124" spans="15:15">
      <c r="O1124" s="184"/>
    </row>
    <row r="1125" spans="15:15">
      <c r="O1125" s="184"/>
    </row>
    <row r="1126" spans="15:15">
      <c r="O1126" s="184"/>
    </row>
    <row r="1127" spans="15:15">
      <c r="O1127" s="184"/>
    </row>
    <row r="1128" spans="15:15">
      <c r="O1128" s="184"/>
    </row>
    <row r="1129" spans="15:15">
      <c r="O1129" s="184"/>
    </row>
    <row r="1130" spans="15:15">
      <c r="O1130" s="184"/>
    </row>
    <row r="1131" spans="15:15">
      <c r="O1131" s="184"/>
    </row>
    <row r="1132" spans="15:15">
      <c r="O1132" s="184"/>
    </row>
    <row r="1133" spans="15:15">
      <c r="O1133" s="184"/>
    </row>
    <row r="1134" spans="15:15">
      <c r="O1134" s="184"/>
    </row>
    <row r="1135" spans="15:15">
      <c r="O1135" s="184"/>
    </row>
    <row r="1136" spans="15:15">
      <c r="O1136" s="184"/>
    </row>
    <row r="1137" spans="15:15">
      <c r="O1137" s="184"/>
    </row>
    <row r="1138" spans="15:15">
      <c r="O1138" s="184"/>
    </row>
    <row r="1139" spans="15:15">
      <c r="O1139" s="184"/>
    </row>
    <row r="1140" spans="15:15">
      <c r="O1140" s="184"/>
    </row>
    <row r="1141" spans="15:15">
      <c r="O1141" s="184"/>
    </row>
    <row r="1142" spans="15:15">
      <c r="O1142" s="184"/>
    </row>
    <row r="1143" spans="15:15">
      <c r="O1143" s="184"/>
    </row>
    <row r="1144" spans="15:15">
      <c r="O1144" s="184"/>
    </row>
    <row r="1145" spans="15:15">
      <c r="O1145" s="184"/>
    </row>
    <row r="1146" spans="15:15">
      <c r="O1146" s="184"/>
    </row>
    <row r="1147" spans="15:15">
      <c r="O1147" s="184"/>
    </row>
    <row r="1148" spans="15:15">
      <c r="O1148" s="184"/>
    </row>
    <row r="1149" spans="15:15">
      <c r="O1149" s="184"/>
    </row>
    <row r="1150" spans="15:15">
      <c r="O1150" s="184"/>
    </row>
    <row r="1151" spans="15:15">
      <c r="O1151" s="184"/>
    </row>
    <row r="1152" spans="15:15">
      <c r="O1152" s="184"/>
    </row>
    <row r="1153" spans="15:15">
      <c r="O1153" s="184"/>
    </row>
    <row r="1154" spans="15:15">
      <c r="O1154" s="184"/>
    </row>
    <row r="1155" spans="15:15">
      <c r="O1155" s="184"/>
    </row>
    <row r="1156" spans="15:15">
      <c r="O1156" s="184"/>
    </row>
    <row r="1157" spans="15:15">
      <c r="O1157" s="184"/>
    </row>
    <row r="1158" spans="15:15">
      <c r="O1158" s="184"/>
    </row>
    <row r="1159" spans="15:15">
      <c r="O1159" s="184"/>
    </row>
    <row r="1160" spans="15:15">
      <c r="O1160" s="184"/>
    </row>
    <row r="1161" spans="15:15">
      <c r="O1161" s="184"/>
    </row>
    <row r="1162" spans="15:15">
      <c r="O1162" s="184"/>
    </row>
    <row r="1163" spans="15:15">
      <c r="O1163" s="184"/>
    </row>
    <row r="1164" spans="15:15">
      <c r="O1164" s="184"/>
    </row>
    <row r="1165" spans="15:15">
      <c r="O1165" s="184"/>
    </row>
    <row r="1166" spans="15:15">
      <c r="O1166" s="184"/>
    </row>
    <row r="1167" spans="15:15">
      <c r="O1167" s="184"/>
    </row>
    <row r="1168" spans="15:15">
      <c r="O1168" s="184"/>
    </row>
    <row r="1169" spans="15:15">
      <c r="O1169" s="184"/>
    </row>
    <row r="1170" spans="15:15">
      <c r="O1170" s="184"/>
    </row>
    <row r="1171" spans="15:15">
      <c r="O1171" s="184"/>
    </row>
    <row r="1172" spans="15:15">
      <c r="O1172" s="184"/>
    </row>
    <row r="1173" spans="15:15">
      <c r="O1173" s="184"/>
    </row>
    <row r="1174" spans="15:15">
      <c r="O1174" s="184"/>
    </row>
    <row r="1175" spans="15:15">
      <c r="O1175" s="184"/>
    </row>
    <row r="1176" spans="15:15">
      <c r="O1176" s="184"/>
    </row>
    <row r="1177" spans="15:15">
      <c r="O1177" s="184"/>
    </row>
    <row r="1178" spans="15:15">
      <c r="O1178" s="184"/>
    </row>
    <row r="1179" spans="15:15">
      <c r="O1179" s="184"/>
    </row>
    <row r="1180" spans="15:15">
      <c r="O1180" s="184"/>
    </row>
    <row r="1181" spans="15:15">
      <c r="O1181" s="184"/>
    </row>
    <row r="1182" spans="15:15">
      <c r="O1182" s="184"/>
    </row>
    <row r="1183" spans="15:15">
      <c r="O1183" s="184"/>
    </row>
    <row r="1184" spans="15:15">
      <c r="O1184" s="184"/>
    </row>
    <row r="1185" spans="15:15">
      <c r="O1185" s="184"/>
    </row>
    <row r="1186" spans="15:15">
      <c r="O1186" s="184"/>
    </row>
    <row r="1187" spans="15:15">
      <c r="O1187" s="184"/>
    </row>
    <row r="1188" spans="15:15">
      <c r="O1188" s="184"/>
    </row>
    <row r="1189" spans="15:15">
      <c r="O1189" s="184"/>
    </row>
    <row r="1190" spans="15:15">
      <c r="O1190" s="184"/>
    </row>
    <row r="1191" spans="15:15">
      <c r="O1191" s="184"/>
    </row>
    <row r="1192" spans="15:15">
      <c r="O1192" s="184"/>
    </row>
    <row r="1193" spans="15:15">
      <c r="O1193" s="184"/>
    </row>
    <row r="1194" spans="15:15">
      <c r="O1194" s="184"/>
    </row>
    <row r="1195" spans="15:15">
      <c r="O1195" s="184"/>
    </row>
    <row r="1196" spans="15:15">
      <c r="O1196" s="184"/>
    </row>
    <row r="1197" spans="15:15">
      <c r="O1197" s="184"/>
    </row>
    <row r="1198" spans="15:15">
      <c r="O1198" s="184"/>
    </row>
    <row r="1199" spans="15:15">
      <c r="O1199" s="184"/>
    </row>
    <row r="1200" spans="15:15">
      <c r="O1200" s="184"/>
    </row>
    <row r="1201" spans="15:15">
      <c r="O1201" s="184"/>
    </row>
    <row r="1202" spans="15:15">
      <c r="O1202" s="184"/>
    </row>
    <row r="1203" spans="15:15">
      <c r="O1203" s="184"/>
    </row>
    <row r="1204" spans="15:15">
      <c r="O1204" s="184"/>
    </row>
    <row r="1205" spans="15:15">
      <c r="O1205" s="184"/>
    </row>
    <row r="1206" spans="15:15">
      <c r="O1206" s="184"/>
    </row>
    <row r="1207" spans="15:15">
      <c r="O1207" s="184"/>
    </row>
    <row r="1208" spans="15:15">
      <c r="O1208" s="184"/>
    </row>
    <row r="1209" spans="15:15">
      <c r="O1209" s="184"/>
    </row>
    <row r="1210" spans="15:15">
      <c r="O1210" s="184"/>
    </row>
    <row r="1211" spans="15:15">
      <c r="O1211" s="184"/>
    </row>
    <row r="1212" spans="15:15">
      <c r="O1212" s="184"/>
    </row>
    <row r="1213" spans="15:15">
      <c r="O1213" s="184"/>
    </row>
    <row r="1214" spans="15:15">
      <c r="O1214" s="184"/>
    </row>
    <row r="1215" spans="15:15">
      <c r="O1215" s="184"/>
    </row>
    <row r="1216" spans="15:15">
      <c r="O1216" s="184"/>
    </row>
    <row r="1217" spans="15:15">
      <c r="O1217" s="184"/>
    </row>
    <row r="1218" spans="15:15">
      <c r="O1218" s="184"/>
    </row>
    <row r="1219" spans="15:15">
      <c r="O1219" s="184"/>
    </row>
    <row r="1220" spans="15:15">
      <c r="O1220" s="184"/>
    </row>
    <row r="1221" spans="15:15">
      <c r="O1221" s="184"/>
    </row>
    <row r="1222" spans="15:15">
      <c r="O1222" s="184"/>
    </row>
    <row r="1223" spans="15:15">
      <c r="O1223" s="184"/>
    </row>
    <row r="1224" spans="15:15">
      <c r="O1224" s="184"/>
    </row>
    <row r="1225" spans="15:15">
      <c r="O1225" s="184"/>
    </row>
    <row r="1226" spans="15:15">
      <c r="O1226" s="184"/>
    </row>
    <row r="1227" spans="15:15">
      <c r="O1227" s="184"/>
    </row>
    <row r="1228" spans="15:15">
      <c r="O1228" s="184"/>
    </row>
    <row r="1229" spans="15:15">
      <c r="O1229" s="184"/>
    </row>
    <row r="1230" spans="15:15">
      <c r="O1230" s="184"/>
    </row>
    <row r="1231" spans="15:15">
      <c r="O1231" s="184"/>
    </row>
    <row r="1232" spans="15:15">
      <c r="O1232" s="184"/>
    </row>
    <row r="1233" spans="15:15">
      <c r="O1233" s="184"/>
    </row>
    <row r="1234" spans="15:15">
      <c r="O1234" s="184"/>
    </row>
    <row r="1235" spans="15:15">
      <c r="O1235" s="184"/>
    </row>
    <row r="1236" spans="15:15">
      <c r="O1236" s="184"/>
    </row>
    <row r="1237" spans="15:15">
      <c r="O1237" s="184"/>
    </row>
    <row r="1238" spans="15:15">
      <c r="O1238" s="184"/>
    </row>
    <row r="1239" spans="15:15">
      <c r="O1239" s="184"/>
    </row>
    <row r="1240" spans="15:15">
      <c r="O1240" s="184"/>
    </row>
    <row r="1241" spans="15:15">
      <c r="O1241" s="184"/>
    </row>
    <row r="1242" spans="15:15">
      <c r="O1242" s="184"/>
    </row>
    <row r="1243" spans="15:15">
      <c r="O1243" s="184"/>
    </row>
    <row r="1244" spans="15:15">
      <c r="O1244" s="184"/>
    </row>
    <row r="1245" spans="15:15">
      <c r="O1245" s="184"/>
    </row>
    <row r="1246" spans="15:15">
      <c r="O1246" s="184"/>
    </row>
    <row r="1247" spans="15:15">
      <c r="O1247" s="184"/>
    </row>
    <row r="1248" spans="15:15">
      <c r="O1248" s="184"/>
    </row>
    <row r="1249" spans="15:15">
      <c r="O1249" s="184"/>
    </row>
    <row r="1250" spans="15:15">
      <c r="O1250" s="184"/>
    </row>
    <row r="1251" spans="15:15">
      <c r="O1251" s="184"/>
    </row>
    <row r="1252" spans="15:15">
      <c r="O1252" s="184"/>
    </row>
    <row r="1253" spans="15:15">
      <c r="O1253" s="184"/>
    </row>
    <row r="1254" spans="15:15">
      <c r="O1254" s="184"/>
    </row>
    <row r="1255" spans="15:15">
      <c r="O1255" s="184"/>
    </row>
    <row r="1256" spans="15:15">
      <c r="O1256" s="184"/>
    </row>
    <row r="1257" spans="15:15">
      <c r="O1257" s="184"/>
    </row>
    <row r="1258" spans="15:15">
      <c r="O1258" s="184"/>
    </row>
    <row r="1259" spans="15:15">
      <c r="O1259" s="184"/>
    </row>
    <row r="1260" spans="15:15">
      <c r="O1260" s="184"/>
    </row>
    <row r="1261" spans="15:15">
      <c r="O1261" s="184"/>
    </row>
    <row r="1262" spans="15:15">
      <c r="O1262" s="184"/>
    </row>
    <row r="1263" spans="15:15">
      <c r="O1263" s="184"/>
    </row>
    <row r="1264" spans="15:15">
      <c r="O1264" s="184"/>
    </row>
    <row r="1265" spans="15:15">
      <c r="O1265" s="184"/>
    </row>
    <row r="1266" spans="15:15">
      <c r="O1266" s="184"/>
    </row>
    <row r="1267" spans="15:15">
      <c r="O1267" s="184"/>
    </row>
    <row r="1268" spans="15:15">
      <c r="O1268" s="184"/>
    </row>
    <row r="1269" spans="15:15">
      <c r="O1269" s="184"/>
    </row>
    <row r="1270" spans="15:15">
      <c r="O1270" s="184"/>
    </row>
    <row r="1271" spans="15:15">
      <c r="O1271" s="184"/>
    </row>
    <row r="1272" spans="15:15">
      <c r="O1272" s="184"/>
    </row>
    <row r="1273" spans="15:15">
      <c r="O1273" s="184"/>
    </row>
    <row r="1274" spans="15:15">
      <c r="O1274" s="184"/>
    </row>
    <row r="1275" spans="15:15">
      <c r="O1275" s="184"/>
    </row>
    <row r="1276" spans="15:15">
      <c r="O1276" s="184"/>
    </row>
    <row r="1277" spans="15:15">
      <c r="O1277" s="184"/>
    </row>
    <row r="1278" spans="15:15">
      <c r="O1278" s="184"/>
    </row>
    <row r="1279" spans="15:15">
      <c r="O1279" s="184"/>
    </row>
    <row r="1280" spans="15:15">
      <c r="O1280" s="184"/>
    </row>
    <row r="1281" spans="15:15">
      <c r="O1281" s="184"/>
    </row>
    <row r="1282" spans="15:15">
      <c r="O1282" s="184"/>
    </row>
    <row r="1283" spans="15:15">
      <c r="O1283" s="184"/>
    </row>
    <row r="1284" spans="15:15">
      <c r="O1284" s="184"/>
    </row>
    <row r="1285" spans="15:15">
      <c r="O1285" s="184"/>
    </row>
    <row r="1286" spans="15:15">
      <c r="O1286" s="184"/>
    </row>
    <row r="1287" spans="15:15">
      <c r="O1287" s="184"/>
    </row>
    <row r="1288" spans="15:15">
      <c r="O1288" s="184"/>
    </row>
    <row r="1289" spans="15:15">
      <c r="O1289" s="184"/>
    </row>
    <row r="1290" spans="15:15">
      <c r="O1290" s="184"/>
    </row>
    <row r="1291" spans="15:15">
      <c r="O1291" s="184"/>
    </row>
    <row r="1292" spans="15:15">
      <c r="O1292" s="184"/>
    </row>
    <row r="1293" spans="15:15">
      <c r="O1293" s="184"/>
    </row>
    <row r="1294" spans="15:15">
      <c r="O1294" s="184"/>
    </row>
    <row r="1295" spans="15:15">
      <c r="O1295" s="184"/>
    </row>
    <row r="1296" spans="15:15">
      <c r="O1296" s="184"/>
    </row>
    <row r="1297" spans="15:15">
      <c r="O1297" s="184"/>
    </row>
    <row r="1298" spans="15:15">
      <c r="O1298" s="184"/>
    </row>
    <row r="1299" spans="15:15">
      <c r="O1299" s="184"/>
    </row>
    <row r="1300" spans="15:15">
      <c r="O1300" s="184"/>
    </row>
    <row r="1301" spans="15:15">
      <c r="O1301" s="184"/>
    </row>
    <row r="1302" spans="15:15">
      <c r="O1302" s="184"/>
    </row>
    <row r="1303" spans="15:15">
      <c r="O1303" s="184"/>
    </row>
    <row r="1304" spans="15:15">
      <c r="O1304" s="184"/>
    </row>
    <row r="1305" spans="15:15">
      <c r="O1305" s="184"/>
    </row>
    <row r="1306" spans="15:15">
      <c r="O1306" s="184"/>
    </row>
    <row r="1307" spans="15:15">
      <c r="O1307" s="184"/>
    </row>
    <row r="1308" spans="15:15">
      <c r="O1308" s="184"/>
    </row>
    <row r="1309" spans="15:15">
      <c r="O1309" s="184"/>
    </row>
    <row r="1310" spans="15:15">
      <c r="O1310" s="184"/>
    </row>
    <row r="1311" spans="15:15">
      <c r="O1311" s="184"/>
    </row>
    <row r="1312" spans="15:15">
      <c r="O1312" s="184"/>
    </row>
    <row r="1313" spans="15:15">
      <c r="O1313" s="184"/>
    </row>
    <row r="1314" spans="15:15">
      <c r="O1314" s="184"/>
    </row>
    <row r="1315" spans="15:15">
      <c r="O1315" s="184"/>
    </row>
    <row r="1316" spans="15:15">
      <c r="O1316" s="184"/>
    </row>
    <row r="1317" spans="15:15">
      <c r="O1317" s="184"/>
    </row>
    <row r="1318" spans="15:15">
      <c r="O1318" s="184"/>
    </row>
    <row r="1319" spans="15:15">
      <c r="O1319" s="184"/>
    </row>
    <row r="1320" spans="15:15">
      <c r="O1320" s="184"/>
    </row>
    <row r="1321" spans="15:15">
      <c r="O1321" s="184"/>
    </row>
    <row r="1322" spans="15:15">
      <c r="O1322" s="184"/>
    </row>
    <row r="1323" spans="15:15">
      <c r="O1323" s="184"/>
    </row>
    <row r="1324" spans="15:15">
      <c r="O1324" s="184"/>
    </row>
    <row r="1325" spans="15:15">
      <c r="O1325" s="184"/>
    </row>
    <row r="1326" spans="15:15">
      <c r="O1326" s="184"/>
    </row>
    <row r="1327" spans="15:15">
      <c r="O1327" s="184"/>
    </row>
    <row r="1328" spans="15:15">
      <c r="O1328" s="184"/>
    </row>
    <row r="1329" spans="15:15">
      <c r="O1329" s="184"/>
    </row>
    <row r="1330" spans="15:15">
      <c r="O1330" s="184"/>
    </row>
    <row r="1331" spans="15:15">
      <c r="O1331" s="184"/>
    </row>
    <row r="1332" spans="15:15">
      <c r="O1332" s="184"/>
    </row>
    <row r="1333" spans="15:15">
      <c r="O1333" s="184"/>
    </row>
    <row r="1334" spans="15:15">
      <c r="O1334" s="184"/>
    </row>
    <row r="1335" spans="15:15">
      <c r="O1335" s="184"/>
    </row>
    <row r="1336" spans="15:15">
      <c r="O1336" s="184"/>
    </row>
    <row r="1337" spans="15:15">
      <c r="O1337" s="184"/>
    </row>
    <row r="1338" spans="15:15">
      <c r="O1338" s="184"/>
    </row>
    <row r="1339" spans="15:15">
      <c r="O1339" s="184"/>
    </row>
    <row r="1340" spans="15:15">
      <c r="O1340" s="184"/>
    </row>
    <row r="1341" spans="15:15">
      <c r="O1341" s="184"/>
    </row>
    <row r="1342" spans="15:15">
      <c r="O1342" s="184"/>
    </row>
    <row r="1343" spans="15:15">
      <c r="O1343" s="184"/>
    </row>
    <row r="1344" spans="15:15">
      <c r="O1344" s="184"/>
    </row>
    <row r="1345" spans="15:15">
      <c r="O1345" s="184"/>
    </row>
    <row r="1346" spans="15:15">
      <c r="O1346" s="184"/>
    </row>
    <row r="1347" spans="15:15">
      <c r="O1347" s="184"/>
    </row>
    <row r="1348" spans="15:15">
      <c r="O1348" s="184"/>
    </row>
    <row r="1349" spans="15:15">
      <c r="O1349" s="184"/>
    </row>
    <row r="1350" spans="15:15">
      <c r="O1350" s="184"/>
    </row>
    <row r="1351" spans="15:15">
      <c r="O1351" s="184"/>
    </row>
    <row r="1352" spans="15:15">
      <c r="O1352" s="184"/>
    </row>
    <row r="1353" spans="15:15">
      <c r="O1353" s="184"/>
    </row>
    <row r="1354" spans="15:15">
      <c r="O1354" s="184"/>
    </row>
    <row r="1355" spans="15:15">
      <c r="O1355" s="184"/>
    </row>
    <row r="1356" spans="15:15">
      <c r="O1356" s="184"/>
    </row>
    <row r="1357" spans="15:15">
      <c r="O1357" s="184"/>
    </row>
    <row r="1358" spans="15:15">
      <c r="O1358" s="184"/>
    </row>
    <row r="1359" spans="15:15">
      <c r="O1359" s="184"/>
    </row>
    <row r="1360" spans="15:15">
      <c r="O1360" s="184"/>
    </row>
    <row r="1361" spans="15:15">
      <c r="O1361" s="184"/>
    </row>
    <row r="1362" spans="15:15">
      <c r="O1362" s="184"/>
    </row>
    <row r="1363" spans="15:15">
      <c r="O1363" s="184"/>
    </row>
    <row r="1364" spans="15:15">
      <c r="O1364" s="184"/>
    </row>
    <row r="1365" spans="15:15">
      <c r="O1365" s="184"/>
    </row>
    <row r="1366" spans="15:15">
      <c r="O1366" s="184"/>
    </row>
    <row r="1367" spans="15:15">
      <c r="O1367" s="184"/>
    </row>
    <row r="1368" spans="15:15">
      <c r="O1368" s="184"/>
    </row>
    <row r="1369" spans="15:15">
      <c r="O1369" s="184"/>
    </row>
    <row r="1370" spans="15:15">
      <c r="O1370" s="184"/>
    </row>
    <row r="1371" spans="15:15">
      <c r="O1371" s="184"/>
    </row>
    <row r="1372" spans="15:15">
      <c r="O1372" s="184"/>
    </row>
    <row r="1373" spans="15:15">
      <c r="O1373" s="184"/>
    </row>
    <row r="1374" spans="15:15">
      <c r="O1374" s="184"/>
    </row>
    <row r="1375" spans="15:15">
      <c r="O1375" s="184"/>
    </row>
    <row r="1376" spans="15:15">
      <c r="O1376" s="184"/>
    </row>
    <row r="1377" spans="15:15">
      <c r="O1377" s="184"/>
    </row>
    <row r="1378" spans="15:15">
      <c r="O1378" s="184"/>
    </row>
    <row r="1379" spans="15:15">
      <c r="O1379" s="184"/>
    </row>
    <row r="1380" spans="15:15">
      <c r="O1380" s="184"/>
    </row>
    <row r="1381" spans="15:15">
      <c r="O1381" s="184"/>
    </row>
    <row r="1382" spans="15:15">
      <c r="O1382" s="184"/>
    </row>
    <row r="1383" spans="15:15">
      <c r="O1383" s="184"/>
    </row>
    <row r="1384" spans="15:15">
      <c r="O1384" s="184"/>
    </row>
    <row r="1385" spans="15:15">
      <c r="O1385" s="184"/>
    </row>
    <row r="1386" spans="15:15">
      <c r="O1386" s="184"/>
    </row>
    <row r="1387" spans="15:15">
      <c r="O1387" s="184"/>
    </row>
    <row r="1388" spans="15:15">
      <c r="O1388" s="184"/>
    </row>
    <row r="1389" spans="15:15">
      <c r="O1389" s="184"/>
    </row>
    <row r="1390" spans="15:15">
      <c r="O1390" s="184"/>
    </row>
    <row r="1391" spans="15:15">
      <c r="O1391" s="184"/>
    </row>
    <row r="1392" spans="15:15">
      <c r="O1392" s="184"/>
    </row>
    <row r="1393" spans="15:15">
      <c r="O1393" s="184"/>
    </row>
    <row r="1394" spans="15:15">
      <c r="O1394" s="184"/>
    </row>
    <row r="1395" spans="15:15">
      <c r="O1395" s="184"/>
    </row>
    <row r="1396" spans="15:15">
      <c r="O1396" s="184"/>
    </row>
    <row r="1397" spans="15:15">
      <c r="O1397" s="184"/>
    </row>
    <row r="1398" spans="15:15">
      <c r="O1398" s="184"/>
    </row>
    <row r="1399" spans="15:15">
      <c r="O1399" s="184"/>
    </row>
    <row r="1400" spans="15:15">
      <c r="O1400" s="184"/>
    </row>
    <row r="1401" spans="15:15">
      <c r="O1401" s="184"/>
    </row>
    <row r="1402" spans="15:15">
      <c r="O1402" s="184"/>
    </row>
    <row r="1403" spans="15:15">
      <c r="O1403" s="184"/>
    </row>
    <row r="1404" spans="15:15">
      <c r="O1404" s="184"/>
    </row>
    <row r="1405" spans="15:15">
      <c r="O1405" s="184"/>
    </row>
    <row r="1406" spans="15:15">
      <c r="O1406" s="184"/>
    </row>
    <row r="1407" spans="15:15">
      <c r="O1407" s="184"/>
    </row>
    <row r="1408" spans="15:15">
      <c r="O1408" s="184"/>
    </row>
    <row r="1409" spans="15:15">
      <c r="O1409" s="184"/>
    </row>
    <row r="1410" spans="15:15">
      <c r="O1410" s="184"/>
    </row>
    <row r="1411" spans="15:15">
      <c r="O1411" s="184"/>
    </row>
    <row r="1412" spans="15:15">
      <c r="O1412" s="184"/>
    </row>
    <row r="1413" spans="15:15">
      <c r="O1413" s="184"/>
    </row>
    <row r="1414" spans="15:15">
      <c r="O1414" s="184"/>
    </row>
    <row r="1415" spans="15:15">
      <c r="O1415" s="184"/>
    </row>
    <row r="1416" spans="15:15">
      <c r="O1416" s="184"/>
    </row>
    <row r="1417" spans="15:15">
      <c r="O1417" s="184"/>
    </row>
    <row r="1418" spans="15:15">
      <c r="O1418" s="184"/>
    </row>
    <row r="1419" spans="15:15">
      <c r="O1419" s="184"/>
    </row>
    <row r="1420" spans="15:15">
      <c r="O1420" s="184"/>
    </row>
    <row r="1421" spans="15:15">
      <c r="O1421" s="184"/>
    </row>
    <row r="1422" spans="15:15">
      <c r="O1422" s="184"/>
    </row>
    <row r="1423" spans="15:15">
      <c r="O1423" s="184"/>
    </row>
    <row r="1424" spans="15:15">
      <c r="O1424" s="184"/>
    </row>
    <row r="1425" spans="15:15">
      <c r="O1425" s="184"/>
    </row>
    <row r="1426" spans="15:15">
      <c r="O1426" s="184"/>
    </row>
    <row r="1427" spans="15:15">
      <c r="O1427" s="184"/>
    </row>
    <row r="1428" spans="15:15">
      <c r="O1428" s="184"/>
    </row>
    <row r="1429" spans="15:15">
      <c r="O1429" s="184"/>
    </row>
    <row r="1430" spans="15:15">
      <c r="O1430" s="184"/>
    </row>
    <row r="1431" spans="15:15">
      <c r="O1431" s="184"/>
    </row>
    <row r="1432" spans="15:15">
      <c r="O1432" s="184"/>
    </row>
    <row r="1433" spans="15:15">
      <c r="O1433" s="184"/>
    </row>
    <row r="1434" spans="15:15">
      <c r="O1434" s="184"/>
    </row>
    <row r="1435" spans="15:15">
      <c r="O1435" s="184"/>
    </row>
    <row r="1436" spans="15:15">
      <c r="O1436" s="184"/>
    </row>
    <row r="1437" spans="15:15">
      <c r="O1437" s="184"/>
    </row>
    <row r="1438" spans="15:15">
      <c r="O1438" s="184"/>
    </row>
    <row r="1439" spans="15:15">
      <c r="O1439" s="184"/>
    </row>
    <row r="1440" spans="15:15">
      <c r="O1440" s="184"/>
    </row>
    <row r="1441" spans="15:15">
      <c r="O1441" s="184"/>
    </row>
    <row r="1442" spans="15:15">
      <c r="O1442" s="184"/>
    </row>
    <row r="1443" spans="15:15">
      <c r="O1443" s="184"/>
    </row>
    <row r="1444" spans="15:15">
      <c r="O1444" s="184"/>
    </row>
    <row r="1445" spans="15:15">
      <c r="O1445" s="184"/>
    </row>
    <row r="1446" spans="15:15">
      <c r="O1446" s="184"/>
    </row>
    <row r="1447" spans="15:15">
      <c r="O1447" s="184"/>
    </row>
    <row r="1448" spans="15:15">
      <c r="O1448" s="184"/>
    </row>
    <row r="1449" spans="15:15">
      <c r="O1449" s="184"/>
    </row>
    <row r="1450" spans="15:15">
      <c r="O1450" s="184"/>
    </row>
    <row r="1451" spans="15:15">
      <c r="O1451" s="184"/>
    </row>
    <row r="1452" spans="15:15">
      <c r="O1452" s="184"/>
    </row>
    <row r="1453" spans="15:15">
      <c r="O1453" s="184"/>
    </row>
    <row r="1454" spans="15:15">
      <c r="O1454" s="184"/>
    </row>
    <row r="1455" spans="15:15">
      <c r="O1455" s="184"/>
    </row>
    <row r="1456" spans="15:15">
      <c r="O1456" s="184"/>
    </row>
    <row r="1457" spans="15:15">
      <c r="O1457" s="184"/>
    </row>
    <row r="1458" spans="15:15">
      <c r="O1458" s="184"/>
    </row>
    <row r="1459" spans="15:15">
      <c r="O1459" s="184"/>
    </row>
    <row r="1460" spans="15:15">
      <c r="O1460" s="184"/>
    </row>
    <row r="1461" spans="15:15">
      <c r="O1461" s="184"/>
    </row>
    <row r="1462" spans="15:15">
      <c r="O1462" s="184"/>
    </row>
    <row r="1463" spans="15:15">
      <c r="O1463" s="184"/>
    </row>
    <row r="1464" spans="15:15">
      <c r="O1464" s="184"/>
    </row>
    <row r="1465" spans="15:15">
      <c r="O1465" s="184"/>
    </row>
    <row r="1466" spans="15:15">
      <c r="O1466" s="184"/>
    </row>
    <row r="1467" spans="15:15">
      <c r="O1467" s="184"/>
    </row>
    <row r="1468" spans="15:15">
      <c r="O1468" s="184"/>
    </row>
    <row r="1469" spans="15:15">
      <c r="O1469" s="184"/>
    </row>
    <row r="1470" spans="15:15">
      <c r="O1470" s="184"/>
    </row>
    <row r="1471" spans="15:15">
      <c r="O1471" s="184"/>
    </row>
    <row r="1472" spans="15:15">
      <c r="O1472" s="184"/>
    </row>
    <row r="1473" spans="15:15">
      <c r="O1473" s="184"/>
    </row>
    <row r="1474" spans="15:15">
      <c r="O1474" s="184"/>
    </row>
    <row r="1475" spans="15:15">
      <c r="O1475" s="184"/>
    </row>
    <row r="1476" spans="15:15">
      <c r="O1476" s="184"/>
    </row>
    <row r="1477" spans="15:15">
      <c r="O1477" s="184"/>
    </row>
    <row r="1478" spans="15:15">
      <c r="O1478" s="184"/>
    </row>
    <row r="1479" spans="15:15">
      <c r="O1479" s="184"/>
    </row>
    <row r="1480" spans="15:15">
      <c r="O1480" s="184"/>
    </row>
    <row r="1481" spans="15:15">
      <c r="O1481" s="184"/>
    </row>
    <row r="1482" spans="15:15">
      <c r="O1482" s="184"/>
    </row>
    <row r="1483" spans="15:15">
      <c r="O1483" s="184"/>
    </row>
    <row r="1484" spans="15:15">
      <c r="O1484" s="184"/>
    </row>
    <row r="1485" spans="15:15">
      <c r="O1485" s="184"/>
    </row>
    <row r="1486" spans="15:15">
      <c r="O1486" s="184"/>
    </row>
    <row r="1487" spans="15:15">
      <c r="O1487" s="184"/>
    </row>
    <row r="1488" spans="15:15">
      <c r="O1488" s="184"/>
    </row>
    <row r="1489" spans="15:15">
      <c r="O1489" s="184"/>
    </row>
    <row r="1490" spans="15:15">
      <c r="O1490" s="184"/>
    </row>
    <row r="1491" spans="15:15">
      <c r="O1491" s="184"/>
    </row>
    <row r="1492" spans="15:15">
      <c r="O1492" s="184"/>
    </row>
    <row r="1493" spans="15:15">
      <c r="O1493" s="184"/>
    </row>
    <row r="1494" spans="15:15">
      <c r="O1494" s="184"/>
    </row>
    <row r="1495" spans="15:15">
      <c r="O1495" s="184"/>
    </row>
    <row r="1496" spans="15:15">
      <c r="O1496" s="184"/>
    </row>
    <row r="1497" spans="15:15">
      <c r="O1497" s="184"/>
    </row>
    <row r="1498" spans="15:15">
      <c r="O1498" s="184"/>
    </row>
    <row r="1499" spans="15:15">
      <c r="O1499" s="184"/>
    </row>
    <row r="1500" spans="15:15">
      <c r="O1500" s="184"/>
    </row>
    <row r="1501" spans="15:15">
      <c r="O1501" s="184"/>
    </row>
    <row r="1502" spans="15:15">
      <c r="O1502" s="184"/>
    </row>
    <row r="1503" spans="15:15">
      <c r="O1503" s="184"/>
    </row>
    <row r="1504" spans="15:15">
      <c r="O1504" s="184"/>
    </row>
    <row r="1505" spans="15:15">
      <c r="O1505" s="184"/>
    </row>
    <row r="1506" spans="15:15">
      <c r="O1506" s="184"/>
    </row>
    <row r="1507" spans="15:15">
      <c r="O1507" s="184"/>
    </row>
    <row r="1508" spans="15:15">
      <c r="O1508" s="184"/>
    </row>
    <row r="1509" spans="15:15">
      <c r="O1509" s="184"/>
    </row>
    <row r="1510" spans="15:15">
      <c r="O1510" s="184"/>
    </row>
    <row r="1511" spans="15:15">
      <c r="O1511" s="184"/>
    </row>
    <row r="1512" spans="15:15">
      <c r="O1512" s="184"/>
    </row>
    <row r="1513" spans="15:15">
      <c r="O1513" s="184"/>
    </row>
    <row r="1514" spans="15:15">
      <c r="O1514" s="184"/>
    </row>
    <row r="1515" spans="15:15">
      <c r="O1515" s="184"/>
    </row>
    <row r="1516" spans="15:15">
      <c r="O1516" s="184"/>
    </row>
    <row r="1517" spans="15:15">
      <c r="O1517" s="184"/>
    </row>
    <row r="1518" spans="15:15">
      <c r="O1518" s="184"/>
    </row>
    <row r="1519" spans="15:15">
      <c r="O1519" s="184"/>
    </row>
    <row r="1520" spans="15:15">
      <c r="O1520" s="184"/>
    </row>
    <row r="1521" spans="15:15">
      <c r="O1521" s="184"/>
    </row>
    <row r="1522" spans="15:15">
      <c r="O1522" s="184"/>
    </row>
    <row r="1523" spans="15:15">
      <c r="O1523" s="184"/>
    </row>
    <row r="1524" spans="15:15">
      <c r="O1524" s="184"/>
    </row>
    <row r="1525" spans="15:15">
      <c r="O1525" s="184"/>
    </row>
    <row r="1526" spans="15:15">
      <c r="O1526" s="184"/>
    </row>
    <row r="1527" spans="15:15">
      <c r="O1527" s="184"/>
    </row>
    <row r="1528" spans="15:15">
      <c r="O1528" s="184"/>
    </row>
    <row r="1529" spans="15:15">
      <c r="O1529" s="184"/>
    </row>
    <row r="1530" spans="15:15">
      <c r="O1530" s="184"/>
    </row>
    <row r="1531" spans="15:15">
      <c r="O1531" s="184"/>
    </row>
    <row r="1532" spans="15:15">
      <c r="O1532" s="184"/>
    </row>
    <row r="1533" spans="15:15">
      <c r="O1533" s="184"/>
    </row>
    <row r="1534" spans="15:15">
      <c r="O1534" s="184"/>
    </row>
    <row r="1535" spans="15:15">
      <c r="O1535" s="184"/>
    </row>
    <row r="1536" spans="15:15">
      <c r="O1536" s="184"/>
    </row>
    <row r="1537" spans="15:15">
      <c r="O1537" s="184"/>
    </row>
    <row r="1538" spans="15:15">
      <c r="O1538" s="184"/>
    </row>
    <row r="1539" spans="15:15">
      <c r="O1539" s="184"/>
    </row>
    <row r="1540" spans="15:15">
      <c r="O1540" s="184"/>
    </row>
    <row r="1541" spans="15:15">
      <c r="O1541" s="184"/>
    </row>
    <row r="1542" spans="15:15">
      <c r="O1542" s="184"/>
    </row>
    <row r="1543" spans="15:15">
      <c r="O1543" s="184"/>
    </row>
    <row r="1544" spans="15:15">
      <c r="O1544" s="184"/>
    </row>
    <row r="1545" spans="15:15">
      <c r="O1545" s="184"/>
    </row>
    <row r="1546" spans="15:15">
      <c r="O1546" s="184"/>
    </row>
    <row r="1547" spans="15:15">
      <c r="O1547" s="184"/>
    </row>
    <row r="1548" spans="15:15">
      <c r="O1548" s="184"/>
    </row>
    <row r="1549" spans="15:15">
      <c r="O1549" s="184"/>
    </row>
    <row r="1550" spans="15:15">
      <c r="O1550" s="184"/>
    </row>
    <row r="1551" spans="15:15">
      <c r="O1551" s="184"/>
    </row>
    <row r="1552" spans="15:15">
      <c r="O1552" s="184"/>
    </row>
    <row r="1553" spans="15:15">
      <c r="O1553" s="184"/>
    </row>
    <row r="1554" spans="15:15">
      <c r="O1554" s="184"/>
    </row>
    <row r="1555" spans="15:15">
      <c r="O1555" s="184"/>
    </row>
    <row r="1556" spans="15:15">
      <c r="O1556" s="184"/>
    </row>
    <row r="1557" spans="15:15">
      <c r="O1557" s="184"/>
    </row>
    <row r="1558" spans="15:15">
      <c r="O1558" s="184"/>
    </row>
    <row r="1559" spans="15:15">
      <c r="O1559" s="184"/>
    </row>
    <row r="1560" spans="15:15">
      <c r="O1560" s="184"/>
    </row>
    <row r="1561" spans="15:15">
      <c r="O1561" s="184"/>
    </row>
    <row r="1562" spans="15:15">
      <c r="O1562" s="184"/>
    </row>
    <row r="1563" spans="15:15">
      <c r="O1563" s="184"/>
    </row>
    <row r="1564" spans="15:15">
      <c r="O1564" s="184"/>
    </row>
    <row r="1565" spans="15:15">
      <c r="O1565" s="184"/>
    </row>
    <row r="1566" spans="15:15">
      <c r="O1566" s="184"/>
    </row>
    <row r="1567" spans="15:15">
      <c r="O1567" s="184"/>
    </row>
    <row r="1568" spans="15:15">
      <c r="O1568" s="184"/>
    </row>
    <row r="1569" spans="15:15">
      <c r="O1569" s="184"/>
    </row>
    <row r="1570" spans="15:15">
      <c r="O1570" s="184"/>
    </row>
    <row r="1571" spans="15:15">
      <c r="O1571" s="184"/>
    </row>
    <row r="1572" spans="15:15">
      <c r="O1572" s="184"/>
    </row>
    <row r="1573" spans="15:15">
      <c r="O1573" s="184"/>
    </row>
    <row r="1574" spans="15:15">
      <c r="O1574" s="184"/>
    </row>
    <row r="1575" spans="15:15">
      <c r="O1575" s="184"/>
    </row>
    <row r="1576" spans="15:15">
      <c r="O1576" s="184"/>
    </row>
    <row r="1577" spans="15:15">
      <c r="O1577" s="184"/>
    </row>
    <row r="1578" spans="15:15">
      <c r="O1578" s="184"/>
    </row>
    <row r="1579" spans="15:15">
      <c r="O1579" s="184"/>
    </row>
    <row r="1580" spans="15:15">
      <c r="O1580" s="184"/>
    </row>
    <row r="1581" spans="15:15">
      <c r="O1581" s="184"/>
    </row>
    <row r="1582" spans="15:15">
      <c r="O1582" s="184"/>
    </row>
    <row r="1583" spans="15:15">
      <c r="O1583" s="184"/>
    </row>
    <row r="1584" spans="15:15">
      <c r="O1584" s="184"/>
    </row>
    <row r="1585" spans="15:15">
      <c r="O1585" s="184"/>
    </row>
    <row r="1586" spans="15:15">
      <c r="O1586" s="184"/>
    </row>
  </sheetData>
  <conditionalFormatting sqref="P1:P6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D2"/>
  <sheetViews>
    <sheetView workbookViewId="0"/>
  </sheetViews>
  <sheetFormatPr baseColWidth="10" defaultColWidth="14.5" defaultRowHeight="15" customHeight="1"/>
  <sheetData>
    <row r="1" spans="1:30" ht="15.75" customHeight="1">
      <c r="A1" s="185" t="s">
        <v>359</v>
      </c>
      <c r="B1" s="186" t="s">
        <v>360</v>
      </c>
      <c r="C1" s="187"/>
      <c r="D1" s="188">
        <v>0</v>
      </c>
      <c r="E1" s="189"/>
      <c r="F1" s="190">
        <f>D1-E1</f>
        <v>0</v>
      </c>
      <c r="G1" s="191"/>
      <c r="H1" s="192"/>
      <c r="I1" s="191">
        <f>G1-H1</f>
        <v>0</v>
      </c>
      <c r="J1" s="190">
        <v>1725</v>
      </c>
      <c r="K1" s="189" t="e">
        <f>#REF!+#REF!</f>
        <v>#REF!</v>
      </c>
      <c r="L1" s="190" t="e">
        <f>J1-K1</f>
        <v>#REF!</v>
      </c>
      <c r="M1" s="191">
        <v>500</v>
      </c>
      <c r="N1" s="193"/>
      <c r="O1" s="191">
        <f>M1-N1</f>
        <v>500</v>
      </c>
      <c r="P1" s="190"/>
      <c r="Q1" s="189" t="e">
        <f>#REF!+#REF!</f>
        <v>#REF!</v>
      </c>
      <c r="R1" s="190" t="e">
        <f>P1-Q1</f>
        <v>#REF!</v>
      </c>
      <c r="S1" s="191"/>
      <c r="T1" s="192" t="e">
        <f>#REF!+#REF!</f>
        <v>#REF!</v>
      </c>
      <c r="U1" s="191" t="e">
        <f>S1-T1</f>
        <v>#REF!</v>
      </c>
      <c r="V1" s="194"/>
      <c r="W1" s="194"/>
      <c r="X1" s="194"/>
      <c r="Y1" s="194"/>
      <c r="Z1" s="194"/>
      <c r="AA1" s="194"/>
      <c r="AB1" s="194"/>
      <c r="AC1" s="194"/>
      <c r="AD1" s="195"/>
    </row>
    <row r="2" spans="1:30" ht="15.75" customHeight="1">
      <c r="A2" s="195" t="s">
        <v>359</v>
      </c>
      <c r="B2" s="195" t="s">
        <v>361</v>
      </c>
      <c r="C2" s="187"/>
      <c r="D2" s="194"/>
      <c r="E2" s="194"/>
      <c r="F2" s="194"/>
      <c r="G2" s="194"/>
      <c r="H2" s="194"/>
      <c r="I2" s="194"/>
      <c r="J2" s="194"/>
      <c r="K2" s="194"/>
      <c r="L2" s="194"/>
      <c r="M2" s="191">
        <v>500</v>
      </c>
      <c r="N2" s="193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5"/>
    </row>
  </sheetData>
  <conditionalFormatting sqref="F1 L1 O1 R1 U1 I1:I2">
    <cfRule type="cellIs" dxfId="2" priority="1" operator="lessThan">
      <formula>0</formula>
    </cfRule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W9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2.33203125" customWidth="1"/>
    <col min="2" max="2" width="41.5" customWidth="1"/>
    <col min="3" max="3" width="27.5" customWidth="1"/>
    <col min="4" max="5" width="24" customWidth="1"/>
    <col min="6" max="6" width="32.33203125" customWidth="1"/>
    <col min="7" max="7" width="26.83203125" customWidth="1"/>
    <col min="8" max="23" width="16.83203125" customWidth="1"/>
  </cols>
  <sheetData>
    <row r="1" spans="1:23" ht="18.75" customHeight="1">
      <c r="A1" s="196" t="s">
        <v>329</v>
      </c>
      <c r="B1" s="196" t="s">
        <v>331</v>
      </c>
      <c r="C1" s="197" t="s">
        <v>362</v>
      </c>
      <c r="D1" s="197" t="s">
        <v>308</v>
      </c>
      <c r="E1" s="197" t="s">
        <v>363</v>
      </c>
      <c r="F1" s="197" t="s">
        <v>364</v>
      </c>
      <c r="G1" s="197" t="s">
        <v>365</v>
      </c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23" ht="18" customHeight="1">
      <c r="A2" s="199" t="s">
        <v>366</v>
      </c>
      <c r="B2" s="200" t="s">
        <v>367</v>
      </c>
      <c r="C2" s="201">
        <f>'INCOME-EXPENSE-CYCLES'!BA3</f>
        <v>54342</v>
      </c>
      <c r="D2" s="201">
        <f>'INCOME-EXPENSE-CYCLES'!BB3</f>
        <v>63784.70623740711</v>
      </c>
      <c r="E2" s="201">
        <f>'INCOME-EXPENSE-CYCLES'!BC3</f>
        <v>0</v>
      </c>
      <c r="F2" s="201">
        <f t="shared" ref="F2:F65" si="0">C2-(D2+E2)</f>
        <v>-9442.7062374071102</v>
      </c>
      <c r="G2" s="201">
        <f t="shared" ref="G2:G65" si="1">IF(F2&lt;0,(F2*-1),0)</f>
        <v>9442.7062374071102</v>
      </c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 spans="1:23" ht="18" customHeight="1">
      <c r="A3" s="199" t="s">
        <v>368</v>
      </c>
      <c r="B3" s="200" t="s">
        <v>369</v>
      </c>
      <c r="C3" s="201">
        <f>'INCOME-EXPENSE-CYCLES'!BA4</f>
        <v>103041</v>
      </c>
      <c r="D3" s="201">
        <f>'INCOME-EXPENSE-CYCLES'!BB4</f>
        <v>74429.482029729232</v>
      </c>
      <c r="E3" s="201">
        <f>'INCOME-EXPENSE-CYCLES'!BC4</f>
        <v>1000</v>
      </c>
      <c r="F3" s="201">
        <f t="shared" si="0"/>
        <v>27611.517970270768</v>
      </c>
      <c r="G3" s="201">
        <f t="shared" si="1"/>
        <v>0</v>
      </c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4" spans="1:23" ht="18" customHeight="1">
      <c r="A4" s="199" t="s">
        <v>370</v>
      </c>
      <c r="B4" s="203" t="s">
        <v>30</v>
      </c>
      <c r="C4" s="201">
        <f>'INCOME-EXPENSE-CYCLES'!BA5</f>
        <v>78317</v>
      </c>
      <c r="D4" s="201">
        <f>'INCOME-EXPENSE-CYCLES'!BB5</f>
        <v>84954.258821015508</v>
      </c>
      <c r="E4" s="201">
        <f>'INCOME-EXPENSE-CYCLES'!BC5</f>
        <v>0</v>
      </c>
      <c r="F4" s="201">
        <f t="shared" si="0"/>
        <v>-6637.2588210155081</v>
      </c>
      <c r="G4" s="201">
        <f t="shared" si="1"/>
        <v>6637.2588210155081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</row>
    <row r="5" spans="1:23" ht="18" customHeight="1">
      <c r="A5" s="199" t="s">
        <v>371</v>
      </c>
      <c r="B5" s="203" t="s">
        <v>33</v>
      </c>
      <c r="C5" s="201">
        <f>'INCOME-EXPENSE-CYCLES'!BA6</f>
        <v>60060</v>
      </c>
      <c r="D5" s="201">
        <f>'INCOME-EXPENSE-CYCLES'!BB6</f>
        <v>65695.221881906327</v>
      </c>
      <c r="E5" s="201">
        <f>'INCOME-EXPENSE-CYCLES'!BC6</f>
        <v>0</v>
      </c>
      <c r="F5" s="201">
        <f t="shared" si="0"/>
        <v>-5635.2218819063273</v>
      </c>
      <c r="G5" s="201">
        <f t="shared" si="1"/>
        <v>5635.2218819063273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</row>
    <row r="6" spans="1:23" ht="18" customHeight="1">
      <c r="A6" s="199" t="s">
        <v>372</v>
      </c>
      <c r="B6" s="203" t="s">
        <v>373</v>
      </c>
      <c r="C6" s="201">
        <f>'INCOME-EXPENSE-CYCLES'!BA7</f>
        <v>68971.399999999994</v>
      </c>
      <c r="D6" s="201">
        <f>'INCOME-EXPENSE-CYCLES'!BB7</f>
        <v>64883.854157709284</v>
      </c>
      <c r="E6" s="201">
        <f>'INCOME-EXPENSE-CYCLES'!BC7</f>
        <v>0</v>
      </c>
      <c r="F6" s="201">
        <f t="shared" si="0"/>
        <v>4087.5458422907104</v>
      </c>
      <c r="G6" s="201">
        <f t="shared" si="1"/>
        <v>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</row>
    <row r="7" spans="1:23" ht="18" customHeight="1">
      <c r="A7" s="199" t="s">
        <v>374</v>
      </c>
      <c r="B7" s="200" t="s">
        <v>375</v>
      </c>
      <c r="C7" s="201">
        <f>'INCOME-EXPENSE-CYCLES'!BA8</f>
        <v>54539.81</v>
      </c>
      <c r="D7" s="201">
        <f>'INCOME-EXPENSE-CYCLES'!BB8</f>
        <v>65133.82674371262</v>
      </c>
      <c r="E7" s="201">
        <f>'INCOME-EXPENSE-CYCLES'!BC8</f>
        <v>0</v>
      </c>
      <c r="F7" s="201">
        <f t="shared" si="0"/>
        <v>-10594.016743712622</v>
      </c>
      <c r="G7" s="201">
        <f t="shared" si="1"/>
        <v>10594.016743712622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</row>
    <row r="8" spans="1:23" ht="18" customHeight="1">
      <c r="A8" s="199" t="s">
        <v>376</v>
      </c>
      <c r="B8" s="200" t="s">
        <v>41</v>
      </c>
      <c r="C8" s="201">
        <f>'INCOME-EXPENSE-CYCLES'!BA9</f>
        <v>62407.619999999995</v>
      </c>
      <c r="D8" s="201">
        <f>'INCOME-EXPENSE-CYCLES'!BB9</f>
        <v>69581.375093586932</v>
      </c>
      <c r="E8" s="201">
        <f>'INCOME-EXPENSE-CYCLES'!BC9</f>
        <v>0</v>
      </c>
      <c r="F8" s="201">
        <f t="shared" si="0"/>
        <v>-7173.7550935869367</v>
      </c>
      <c r="G8" s="201">
        <f t="shared" si="1"/>
        <v>7173.7550935869367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</row>
    <row r="9" spans="1:23" ht="18" customHeight="1">
      <c r="A9" s="199" t="s">
        <v>377</v>
      </c>
      <c r="B9" s="203" t="s">
        <v>378</v>
      </c>
      <c r="C9" s="201">
        <f>'INCOME-EXPENSE-CYCLES'!BA10</f>
        <v>66089</v>
      </c>
      <c r="D9" s="201">
        <f>'INCOME-EXPENSE-CYCLES'!BB10</f>
        <v>68054.499287100247</v>
      </c>
      <c r="E9" s="201">
        <f>'INCOME-EXPENSE-CYCLES'!BC10</f>
        <v>0</v>
      </c>
      <c r="F9" s="201">
        <f t="shared" si="0"/>
        <v>-1965.4992871002469</v>
      </c>
      <c r="G9" s="201">
        <f t="shared" si="1"/>
        <v>1965.4992871002469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</row>
    <row r="10" spans="1:23" ht="18" customHeight="1">
      <c r="A10" s="199" t="s">
        <v>379</v>
      </c>
      <c r="B10" s="203" t="s">
        <v>380</v>
      </c>
      <c r="C10" s="201">
        <f>'INCOME-EXPENSE-CYCLES'!BA11</f>
        <v>63304</v>
      </c>
      <c r="D10" s="201">
        <f>'INCOME-EXPENSE-CYCLES'!BB11</f>
        <v>63901.257592624424</v>
      </c>
      <c r="E10" s="201">
        <f>'INCOME-EXPENSE-CYCLES'!BC11</f>
        <v>0</v>
      </c>
      <c r="F10" s="201">
        <f t="shared" si="0"/>
        <v>-597.25759262442443</v>
      </c>
      <c r="G10" s="201">
        <f t="shared" si="1"/>
        <v>597.25759262442443</v>
      </c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</row>
    <row r="11" spans="1:23" ht="18" customHeight="1">
      <c r="A11" s="199" t="s">
        <v>49</v>
      </c>
      <c r="B11" s="203" t="s">
        <v>50</v>
      </c>
      <c r="C11" s="201">
        <f>'INCOME-EXPENSE-CYCLES'!BA12</f>
        <v>38275</v>
      </c>
      <c r="D11" s="201">
        <f>'INCOME-EXPENSE-CYCLES'!BB12</f>
        <v>66097.52559480886</v>
      </c>
      <c r="E11" s="201">
        <f>'INCOME-EXPENSE-CYCLES'!BC12</f>
        <v>0</v>
      </c>
      <c r="F11" s="201">
        <f t="shared" si="0"/>
        <v>-27822.52559480886</v>
      </c>
      <c r="G11" s="201">
        <f t="shared" si="1"/>
        <v>27822.52559480886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18" customHeight="1">
      <c r="A12" s="204" t="s">
        <v>52</v>
      </c>
      <c r="B12" s="203" t="s">
        <v>381</v>
      </c>
      <c r="C12" s="201">
        <f>'INCOME-EXPENSE-CYCLES'!BA13</f>
        <v>61003</v>
      </c>
      <c r="D12" s="201">
        <f>'INCOME-EXPENSE-CYCLES'!BB13</f>
        <v>61562.967459958476</v>
      </c>
      <c r="E12" s="201">
        <f>'INCOME-EXPENSE-CYCLES'!BC13</f>
        <v>0</v>
      </c>
      <c r="F12" s="201">
        <f t="shared" si="0"/>
        <v>-559.96745995847596</v>
      </c>
      <c r="G12" s="201">
        <f t="shared" si="1"/>
        <v>559.96745995847596</v>
      </c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 spans="1:23" ht="18" customHeight="1">
      <c r="A13" s="204" t="s">
        <v>55</v>
      </c>
      <c r="B13" s="203" t="s">
        <v>382</v>
      </c>
      <c r="C13" s="201">
        <f>'INCOME-EXPENSE-CYCLES'!BA14</f>
        <v>61076</v>
      </c>
      <c r="D13" s="201">
        <f>'INCOME-EXPENSE-CYCLES'!BB14</f>
        <v>62432.39177292661</v>
      </c>
      <c r="E13" s="201">
        <f>'INCOME-EXPENSE-CYCLES'!BC14</f>
        <v>0</v>
      </c>
      <c r="F13" s="201">
        <f t="shared" si="0"/>
        <v>-1356.3917729266104</v>
      </c>
      <c r="G13" s="201">
        <f t="shared" si="1"/>
        <v>1356.3917729266104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</row>
    <row r="14" spans="1:23" ht="18" customHeight="1">
      <c r="A14" s="204" t="s">
        <v>58</v>
      </c>
      <c r="B14" s="203" t="s">
        <v>383</v>
      </c>
      <c r="C14" s="201">
        <f>'INCOME-EXPENSE-CYCLES'!BA15</f>
        <v>68011.569999999992</v>
      </c>
      <c r="D14" s="201">
        <f>'INCOME-EXPENSE-CYCLES'!BB15</f>
        <v>68357.850857142446</v>
      </c>
      <c r="E14" s="201">
        <f>'INCOME-EXPENSE-CYCLES'!BC15</f>
        <v>500</v>
      </c>
      <c r="F14" s="201">
        <f t="shared" si="0"/>
        <v>-846.2808571424539</v>
      </c>
      <c r="G14" s="201">
        <f t="shared" si="1"/>
        <v>846.2808571424539</v>
      </c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</row>
    <row r="15" spans="1:23" ht="18" customHeight="1">
      <c r="A15" s="204" t="s">
        <v>61</v>
      </c>
      <c r="B15" s="203" t="s">
        <v>62</v>
      </c>
      <c r="C15" s="201">
        <f>'INCOME-EXPENSE-CYCLES'!BA16</f>
        <v>55157</v>
      </c>
      <c r="D15" s="201">
        <f>'INCOME-EXPENSE-CYCLES'!BB16</f>
        <v>68031.258470356348</v>
      </c>
      <c r="E15" s="201">
        <f>'INCOME-EXPENSE-CYCLES'!BC16</f>
        <v>0</v>
      </c>
      <c r="F15" s="201">
        <f t="shared" si="0"/>
        <v>-12874.258470356348</v>
      </c>
      <c r="G15" s="201">
        <f t="shared" si="1"/>
        <v>12874.258470356348</v>
      </c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</row>
    <row r="16" spans="1:23" ht="18" customHeight="1">
      <c r="A16" s="204" t="s">
        <v>63</v>
      </c>
      <c r="B16" s="203" t="s">
        <v>384</v>
      </c>
      <c r="C16" s="201">
        <f>'INCOME-EXPENSE-CYCLES'!BA17</f>
        <v>74308.429999999993</v>
      </c>
      <c r="D16" s="201">
        <f>'INCOME-EXPENSE-CYCLES'!BB17</f>
        <v>74730.830992312985</v>
      </c>
      <c r="E16" s="201">
        <f>'INCOME-EXPENSE-CYCLES'!BC17</f>
        <v>0</v>
      </c>
      <c r="F16" s="201">
        <f t="shared" si="0"/>
        <v>-422.40099231299246</v>
      </c>
      <c r="G16" s="201">
        <f t="shared" si="1"/>
        <v>422.40099231299246</v>
      </c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18" customHeight="1">
      <c r="A17" s="204" t="s">
        <v>65</v>
      </c>
      <c r="B17" s="203" t="s">
        <v>66</v>
      </c>
      <c r="C17" s="201">
        <f>'INCOME-EXPENSE-CYCLES'!BA18</f>
        <v>20561.03</v>
      </c>
      <c r="D17" s="201">
        <f>'INCOME-EXPENSE-CYCLES'!BB18</f>
        <v>76666.807670755545</v>
      </c>
      <c r="E17" s="201">
        <f>'INCOME-EXPENSE-CYCLES'!BC18</f>
        <v>0</v>
      </c>
      <c r="F17" s="201">
        <f t="shared" si="0"/>
        <v>-56105.777670755546</v>
      </c>
      <c r="G17" s="201">
        <f t="shared" si="1"/>
        <v>56105.777670755546</v>
      </c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18" customHeight="1">
      <c r="A18" s="199" t="s">
        <v>385</v>
      </c>
      <c r="B18" s="203" t="s">
        <v>68</v>
      </c>
      <c r="C18" s="201">
        <f>'INCOME-EXPENSE-CYCLES'!BA19</f>
        <v>71076</v>
      </c>
      <c r="D18" s="201">
        <f>'INCOME-EXPENSE-CYCLES'!BB19</f>
        <v>72849.226288807185</v>
      </c>
      <c r="E18" s="201">
        <f>'INCOME-EXPENSE-CYCLES'!BC19</f>
        <v>0</v>
      </c>
      <c r="F18" s="201">
        <f t="shared" si="0"/>
        <v>-1773.2262888071855</v>
      </c>
      <c r="G18" s="201">
        <f t="shared" si="1"/>
        <v>1773.2262888071855</v>
      </c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18" customHeight="1">
      <c r="A19" s="199" t="s">
        <v>386</v>
      </c>
      <c r="B19" s="203" t="s">
        <v>387</v>
      </c>
      <c r="C19" s="201">
        <f>'INCOME-EXPENSE-CYCLES'!BA20</f>
        <v>76652.72</v>
      </c>
      <c r="D19" s="201">
        <f>'INCOME-EXPENSE-CYCLES'!BB20</f>
        <v>76664.437401342017</v>
      </c>
      <c r="E19" s="201">
        <f>'INCOME-EXPENSE-CYCLES'!BC20</f>
        <v>0</v>
      </c>
      <c r="F19" s="201">
        <f t="shared" si="0"/>
        <v>-11.717401342015364</v>
      </c>
      <c r="G19" s="201">
        <f t="shared" si="1"/>
        <v>11.717401342015364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</row>
    <row r="20" spans="1:23" ht="18" customHeight="1">
      <c r="A20" s="199" t="s">
        <v>388</v>
      </c>
      <c r="B20" s="203" t="s">
        <v>72</v>
      </c>
      <c r="C20" s="201">
        <f>'INCOME-EXPENSE-CYCLES'!BA21</f>
        <v>72078</v>
      </c>
      <c r="D20" s="201">
        <f>'INCOME-EXPENSE-CYCLES'!BB21</f>
        <v>73917.442077071188</v>
      </c>
      <c r="E20" s="201">
        <f>'INCOME-EXPENSE-CYCLES'!BC21</f>
        <v>0</v>
      </c>
      <c r="F20" s="201">
        <f t="shared" si="0"/>
        <v>-1839.4420770711877</v>
      </c>
      <c r="G20" s="201">
        <f t="shared" si="1"/>
        <v>1839.4420770711877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</row>
    <row r="21" spans="1:23" ht="18" customHeight="1">
      <c r="A21" s="199" t="s">
        <v>389</v>
      </c>
      <c r="B21" s="203" t="s">
        <v>74</v>
      </c>
      <c r="C21" s="201">
        <f>'INCOME-EXPENSE-CYCLES'!BA22</f>
        <v>68489</v>
      </c>
      <c r="D21" s="201">
        <f>'INCOME-EXPENSE-CYCLES'!BB22</f>
        <v>77997.192030593142</v>
      </c>
      <c r="E21" s="201">
        <f>'INCOME-EXPENSE-CYCLES'!BC22</f>
        <v>0</v>
      </c>
      <c r="F21" s="201">
        <f t="shared" si="0"/>
        <v>-9508.1920305931417</v>
      </c>
      <c r="G21" s="201">
        <f t="shared" si="1"/>
        <v>9508.1920305931417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spans="1:23" ht="18" customHeight="1">
      <c r="A22" s="199" t="s">
        <v>390</v>
      </c>
      <c r="B22" s="200" t="s">
        <v>391</v>
      </c>
      <c r="C22" s="201">
        <f>'INCOME-EXPENSE-CYCLES'!BA23</f>
        <v>56216.41</v>
      </c>
      <c r="D22" s="201">
        <f>'INCOME-EXPENSE-CYCLES'!BB23</f>
        <v>66852.284814900238</v>
      </c>
      <c r="E22" s="201">
        <f>'INCOME-EXPENSE-CYCLES'!BC23</f>
        <v>0</v>
      </c>
      <c r="F22" s="201">
        <f t="shared" si="0"/>
        <v>-10635.874814900235</v>
      </c>
      <c r="G22" s="201">
        <f t="shared" si="1"/>
        <v>10635.874814900235</v>
      </c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</row>
    <row r="23" spans="1:23" ht="18" customHeight="1">
      <c r="A23" s="199" t="s">
        <v>392</v>
      </c>
      <c r="B23" s="203" t="s">
        <v>393</v>
      </c>
      <c r="C23" s="201">
        <f>'INCOME-EXPENSE-CYCLES'!BA24</f>
        <v>139606</v>
      </c>
      <c r="D23" s="201">
        <f>'INCOME-EXPENSE-CYCLES'!BB24</f>
        <v>68566.92834925538</v>
      </c>
      <c r="E23" s="201">
        <f>'INCOME-EXPENSE-CYCLES'!BC24</f>
        <v>500</v>
      </c>
      <c r="F23" s="201">
        <f t="shared" si="0"/>
        <v>70539.07165074462</v>
      </c>
      <c r="G23" s="201">
        <f t="shared" si="1"/>
        <v>0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</row>
    <row r="24" spans="1:23" ht="18" customHeight="1">
      <c r="A24" s="199" t="s">
        <v>394</v>
      </c>
      <c r="B24" s="203" t="s">
        <v>80</v>
      </c>
      <c r="C24" s="201">
        <f>'INCOME-EXPENSE-CYCLES'!BA25</f>
        <v>48700</v>
      </c>
      <c r="D24" s="201">
        <f>'INCOME-EXPENSE-CYCLES'!BB25</f>
        <v>64956.707172954615</v>
      </c>
      <c r="E24" s="201">
        <f>'INCOME-EXPENSE-CYCLES'!BC25</f>
        <v>0</v>
      </c>
      <c r="F24" s="201">
        <f t="shared" si="0"/>
        <v>-16256.707172954615</v>
      </c>
      <c r="G24" s="201">
        <f t="shared" si="1"/>
        <v>16256.707172954615</v>
      </c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</row>
    <row r="25" spans="1:23" ht="18" customHeight="1">
      <c r="A25" s="199" t="s">
        <v>395</v>
      </c>
      <c r="B25" s="200" t="s">
        <v>396</v>
      </c>
      <c r="C25" s="201">
        <f>'INCOME-EXPENSE-CYCLES'!BA26</f>
        <v>69781</v>
      </c>
      <c r="D25" s="201">
        <f>'INCOME-EXPENSE-CYCLES'!BB26</f>
        <v>69599.831665323261</v>
      </c>
      <c r="E25" s="201">
        <f>'INCOME-EXPENSE-CYCLES'!BC26</f>
        <v>0</v>
      </c>
      <c r="F25" s="201">
        <f t="shared" si="0"/>
        <v>181.1683346767386</v>
      </c>
      <c r="G25" s="201">
        <f t="shared" si="1"/>
        <v>0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spans="1:23" ht="18" customHeight="1">
      <c r="A26" s="199" t="s">
        <v>397</v>
      </c>
      <c r="B26" s="203" t="s">
        <v>191</v>
      </c>
      <c r="C26" s="201">
        <f>'INCOME-EXPENSE-CYCLES'!BA27</f>
        <v>68429</v>
      </c>
      <c r="D26" s="201">
        <f>'INCOME-EXPENSE-CYCLES'!BB27</f>
        <v>69641.098747103606</v>
      </c>
      <c r="E26" s="201">
        <f>'INCOME-EXPENSE-CYCLES'!BC27</f>
        <v>0</v>
      </c>
      <c r="F26" s="201">
        <f t="shared" si="0"/>
        <v>-1212.098747103606</v>
      </c>
      <c r="G26" s="201">
        <f t="shared" si="1"/>
        <v>1212.098747103606</v>
      </c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</row>
    <row r="27" spans="1:23" ht="18" customHeight="1">
      <c r="A27" s="204" t="s">
        <v>85</v>
      </c>
      <c r="B27" s="200" t="s">
        <v>398</v>
      </c>
      <c r="C27" s="201">
        <f>'INCOME-EXPENSE-CYCLES'!BA28</f>
        <v>68420.27</v>
      </c>
      <c r="D27" s="201">
        <f>'INCOME-EXPENSE-CYCLES'!BB28</f>
        <v>67966.208776108862</v>
      </c>
      <c r="E27" s="201">
        <f>'INCOME-EXPENSE-CYCLES'!BC28</f>
        <v>0</v>
      </c>
      <c r="F27" s="201">
        <f t="shared" si="0"/>
        <v>454.06122389114171</v>
      </c>
      <c r="G27" s="201">
        <f t="shared" si="1"/>
        <v>0</v>
      </c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</row>
    <row r="28" spans="1:23" ht="18" customHeight="1">
      <c r="A28" s="204" t="s">
        <v>87</v>
      </c>
      <c r="B28" s="203" t="s">
        <v>399</v>
      </c>
      <c r="C28" s="201">
        <f>'INCOME-EXPENSE-CYCLES'!BA29</f>
        <v>41031</v>
      </c>
      <c r="D28" s="201">
        <f>'INCOME-EXPENSE-CYCLES'!BB29</f>
        <v>62607.000027028662</v>
      </c>
      <c r="E28" s="201">
        <f>'INCOME-EXPENSE-CYCLES'!BC29</f>
        <v>0</v>
      </c>
      <c r="F28" s="201">
        <f t="shared" si="0"/>
        <v>-21576.000027028662</v>
      </c>
      <c r="G28" s="201">
        <f t="shared" si="1"/>
        <v>21576.000027028662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</row>
    <row r="29" spans="1:23" ht="18" customHeight="1">
      <c r="A29" s="204" t="s">
        <v>89</v>
      </c>
      <c r="B29" s="203" t="s">
        <v>90</v>
      </c>
      <c r="C29" s="201">
        <f>'INCOME-EXPENSE-CYCLES'!BA30</f>
        <v>65779</v>
      </c>
      <c r="D29" s="201">
        <f>'INCOME-EXPENSE-CYCLES'!BB30</f>
        <v>70265.303641314225</v>
      </c>
      <c r="E29" s="201">
        <f>'INCOME-EXPENSE-CYCLES'!BC30</f>
        <v>0</v>
      </c>
      <c r="F29" s="201">
        <f t="shared" si="0"/>
        <v>-4486.3036413142254</v>
      </c>
      <c r="G29" s="201">
        <f t="shared" si="1"/>
        <v>4486.3036413142254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</row>
    <row r="30" spans="1:23" ht="18" customHeight="1">
      <c r="A30" s="204" t="s">
        <v>91</v>
      </c>
      <c r="B30" s="203" t="s">
        <v>92</v>
      </c>
      <c r="C30" s="201">
        <f>'INCOME-EXPENSE-CYCLES'!BA31</f>
        <v>53926</v>
      </c>
      <c r="D30" s="201">
        <f>'INCOME-EXPENSE-CYCLES'!BB31</f>
        <v>69039.118622663489</v>
      </c>
      <c r="E30" s="201">
        <f>'INCOME-EXPENSE-CYCLES'!BC31</f>
        <v>500</v>
      </c>
      <c r="F30" s="201">
        <f t="shared" si="0"/>
        <v>-15613.118622663489</v>
      </c>
      <c r="G30" s="201">
        <f t="shared" si="1"/>
        <v>15613.118622663489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</row>
    <row r="31" spans="1:23" ht="18" customHeight="1">
      <c r="A31" s="204" t="s">
        <v>93</v>
      </c>
      <c r="B31" s="203" t="s">
        <v>94</v>
      </c>
      <c r="C31" s="201">
        <f>'INCOME-EXPENSE-CYCLES'!BA32</f>
        <v>68488.97</v>
      </c>
      <c r="D31" s="201">
        <f>'INCOME-EXPENSE-CYCLES'!BB32</f>
        <v>70896.599406269495</v>
      </c>
      <c r="E31" s="201">
        <f>'INCOME-EXPENSE-CYCLES'!BC32</f>
        <v>0</v>
      </c>
      <c r="F31" s="201">
        <f t="shared" si="0"/>
        <v>-2407.6294062694942</v>
      </c>
      <c r="G31" s="201">
        <f t="shared" si="1"/>
        <v>2407.6294062694942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</row>
    <row r="32" spans="1:23" ht="18" customHeight="1">
      <c r="A32" s="204" t="s">
        <v>95</v>
      </c>
      <c r="B32" s="200" t="s">
        <v>400</v>
      </c>
      <c r="C32" s="201">
        <f>'INCOME-EXPENSE-CYCLES'!BA33</f>
        <v>46463.17</v>
      </c>
      <c r="D32" s="201">
        <f>'INCOME-EXPENSE-CYCLES'!BB33</f>
        <v>65746.69619322104</v>
      </c>
      <c r="E32" s="201">
        <f>'INCOME-EXPENSE-CYCLES'!BC33</f>
        <v>0</v>
      </c>
      <c r="F32" s="201">
        <f t="shared" si="0"/>
        <v>-19283.526193221041</v>
      </c>
      <c r="G32" s="201">
        <f t="shared" si="1"/>
        <v>19283.526193221041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</row>
    <row r="33" spans="1:23" ht="18" customHeight="1">
      <c r="A33" s="204" t="s">
        <v>97</v>
      </c>
      <c r="B33" s="203" t="s">
        <v>401</v>
      </c>
      <c r="C33" s="201">
        <f>'INCOME-EXPENSE-CYCLES'!BA34</f>
        <v>69743.09</v>
      </c>
      <c r="D33" s="201">
        <f>'INCOME-EXPENSE-CYCLES'!BB34</f>
        <v>64279.665483421508</v>
      </c>
      <c r="E33" s="201">
        <f>'INCOME-EXPENSE-CYCLES'!BC34</f>
        <v>500</v>
      </c>
      <c r="F33" s="201">
        <f t="shared" si="0"/>
        <v>4963.4245165784887</v>
      </c>
      <c r="G33" s="201">
        <f t="shared" si="1"/>
        <v>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</row>
    <row r="34" spans="1:23" ht="18" customHeight="1">
      <c r="A34" s="199" t="s">
        <v>402</v>
      </c>
      <c r="B34" s="203" t="s">
        <v>100</v>
      </c>
      <c r="C34" s="201">
        <f>'INCOME-EXPENSE-CYCLES'!BA35</f>
        <v>61873.909999999996</v>
      </c>
      <c r="D34" s="201">
        <f>'INCOME-EXPENSE-CYCLES'!BB35</f>
        <v>62358.885570159611</v>
      </c>
      <c r="E34" s="201">
        <f>'INCOME-EXPENSE-CYCLES'!BC35</f>
        <v>500</v>
      </c>
      <c r="F34" s="201">
        <f t="shared" si="0"/>
        <v>-984.97557015961502</v>
      </c>
      <c r="G34" s="201">
        <f t="shared" si="1"/>
        <v>984.97557015961502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</row>
    <row r="35" spans="1:23" ht="18" customHeight="1">
      <c r="A35" s="199" t="s">
        <v>403</v>
      </c>
      <c r="B35" s="200" t="s">
        <v>340</v>
      </c>
      <c r="C35" s="201">
        <f>'INCOME-EXPENSE-CYCLES'!BA36</f>
        <v>131911.25</v>
      </c>
      <c r="D35" s="201">
        <f>'INCOME-EXPENSE-CYCLES'!BB36</f>
        <v>90046.162287789382</v>
      </c>
      <c r="E35" s="201">
        <f>'INCOME-EXPENSE-CYCLES'!BC36</f>
        <v>1000</v>
      </c>
      <c r="F35" s="201">
        <f t="shared" si="0"/>
        <v>40865.087712210618</v>
      </c>
      <c r="G35" s="201">
        <f t="shared" si="1"/>
        <v>0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</row>
    <row r="36" spans="1:23" ht="18" customHeight="1">
      <c r="A36" s="199" t="s">
        <v>404</v>
      </c>
      <c r="B36" s="200" t="s">
        <v>405</v>
      </c>
      <c r="C36" s="201">
        <f>'INCOME-EXPENSE-CYCLES'!BA37</f>
        <v>98867.540000000008</v>
      </c>
      <c r="D36" s="201">
        <f>'INCOME-EXPENSE-CYCLES'!BB37</f>
        <v>64232.030262290893</v>
      </c>
      <c r="E36" s="201">
        <f>'INCOME-EXPENSE-CYCLES'!BC37</f>
        <v>0</v>
      </c>
      <c r="F36" s="201">
        <f t="shared" si="0"/>
        <v>34635.509737709115</v>
      </c>
      <c r="G36" s="201">
        <f t="shared" si="1"/>
        <v>0</v>
      </c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</row>
    <row r="37" spans="1:23" ht="18" customHeight="1">
      <c r="A37" s="199" t="s">
        <v>406</v>
      </c>
      <c r="B37" s="200" t="s">
        <v>407</v>
      </c>
      <c r="C37" s="201">
        <f>'INCOME-EXPENSE-CYCLES'!BA38</f>
        <v>48726</v>
      </c>
      <c r="D37" s="201">
        <f>'INCOME-EXPENSE-CYCLES'!BB38</f>
        <v>72321.748161596755</v>
      </c>
      <c r="E37" s="201">
        <f>'INCOME-EXPENSE-CYCLES'!BC38</f>
        <v>0</v>
      </c>
      <c r="F37" s="201">
        <f t="shared" si="0"/>
        <v>-23595.748161596755</v>
      </c>
      <c r="G37" s="201">
        <f t="shared" si="1"/>
        <v>23595.748161596755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3" ht="18" customHeight="1">
      <c r="A38" s="199" t="s">
        <v>408</v>
      </c>
      <c r="B38" s="200" t="s">
        <v>108</v>
      </c>
      <c r="C38" s="201">
        <f>'INCOME-EXPENSE-CYCLES'!BA39</f>
        <v>31874</v>
      </c>
      <c r="D38" s="201">
        <f>'INCOME-EXPENSE-CYCLES'!BB39</f>
        <v>65934.529189590728</v>
      </c>
      <c r="E38" s="201">
        <f>'INCOME-EXPENSE-CYCLES'!BC39</f>
        <v>0</v>
      </c>
      <c r="F38" s="201">
        <f t="shared" si="0"/>
        <v>-34060.529189590728</v>
      </c>
      <c r="G38" s="201">
        <f t="shared" si="1"/>
        <v>34060.529189590728</v>
      </c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</row>
    <row r="39" spans="1:23" ht="18" customHeight="1">
      <c r="A39" s="199" t="s">
        <v>409</v>
      </c>
      <c r="B39" s="203" t="s">
        <v>410</v>
      </c>
      <c r="C39" s="201">
        <f>'INCOME-EXPENSE-CYCLES'!BA40</f>
        <v>20320</v>
      </c>
      <c r="D39" s="201">
        <f>'INCOME-EXPENSE-CYCLES'!BB40</f>
        <v>61102.055087147586</v>
      </c>
      <c r="E39" s="201">
        <f>'INCOME-EXPENSE-CYCLES'!BC40</f>
        <v>0</v>
      </c>
      <c r="F39" s="201">
        <f t="shared" si="0"/>
        <v>-40782.055087147586</v>
      </c>
      <c r="G39" s="201">
        <f t="shared" si="1"/>
        <v>40782.055087147586</v>
      </c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</row>
    <row r="40" spans="1:23" ht="18" customHeight="1">
      <c r="A40" s="199" t="s">
        <v>411</v>
      </c>
      <c r="B40" s="203" t="s">
        <v>112</v>
      </c>
      <c r="C40" s="201">
        <f>'INCOME-EXPENSE-CYCLES'!BA41</f>
        <v>61201.13</v>
      </c>
      <c r="D40" s="201">
        <f>'INCOME-EXPENSE-CYCLES'!BB41</f>
        <v>61854.503421701971</v>
      </c>
      <c r="E40" s="201">
        <f>'INCOME-EXPENSE-CYCLES'!BC41</f>
        <v>0</v>
      </c>
      <c r="F40" s="201">
        <f t="shared" si="0"/>
        <v>-653.37342170197371</v>
      </c>
      <c r="G40" s="201">
        <f t="shared" si="1"/>
        <v>653.37342170197371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</row>
    <row r="41" spans="1:23" ht="18" customHeight="1">
      <c r="A41" s="199" t="s">
        <v>412</v>
      </c>
      <c r="B41" s="203" t="s">
        <v>114</v>
      </c>
      <c r="C41" s="201">
        <f>'INCOME-EXPENSE-CYCLES'!BA42</f>
        <v>73355.03</v>
      </c>
      <c r="D41" s="201">
        <f>'INCOME-EXPENSE-CYCLES'!BB42</f>
        <v>76383.704437740802</v>
      </c>
      <c r="E41" s="201">
        <f>'INCOME-EXPENSE-CYCLES'!BC42</f>
        <v>0</v>
      </c>
      <c r="F41" s="201">
        <f t="shared" si="0"/>
        <v>-3028.6744377408031</v>
      </c>
      <c r="G41" s="201">
        <f t="shared" si="1"/>
        <v>3028.6744377408031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</row>
    <row r="42" spans="1:23" ht="18" customHeight="1">
      <c r="A42" s="199" t="s">
        <v>413</v>
      </c>
      <c r="B42" s="203" t="s">
        <v>116</v>
      </c>
      <c r="C42" s="201">
        <f>'INCOME-EXPENSE-CYCLES'!BA43</f>
        <v>74604</v>
      </c>
      <c r="D42" s="201">
        <f>'INCOME-EXPENSE-CYCLES'!BB43</f>
        <v>68691.785176655743</v>
      </c>
      <c r="E42" s="201">
        <f>'INCOME-EXPENSE-CYCLES'!BC43</f>
        <v>0</v>
      </c>
      <c r="F42" s="201">
        <f t="shared" si="0"/>
        <v>5912.2148233442567</v>
      </c>
      <c r="G42" s="201">
        <f t="shared" si="1"/>
        <v>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</row>
    <row r="43" spans="1:23" ht="18" customHeight="1">
      <c r="A43" s="204" t="s">
        <v>117</v>
      </c>
      <c r="B43" s="200" t="s">
        <v>414</v>
      </c>
      <c r="C43" s="201">
        <f>'INCOME-EXPENSE-CYCLES'!BA44</f>
        <v>0</v>
      </c>
      <c r="D43" s="201">
        <f>'INCOME-EXPENSE-CYCLES'!BB44</f>
        <v>60862.504287912656</v>
      </c>
      <c r="E43" s="201">
        <f>'INCOME-EXPENSE-CYCLES'!BC44</f>
        <v>1000</v>
      </c>
      <c r="F43" s="201">
        <f t="shared" si="0"/>
        <v>-61862.504287912656</v>
      </c>
      <c r="G43" s="201">
        <f t="shared" si="1"/>
        <v>61862.504287912656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</row>
    <row r="44" spans="1:23" ht="18" customHeight="1">
      <c r="A44" s="204" t="s">
        <v>119</v>
      </c>
      <c r="B44" s="200" t="s">
        <v>415</v>
      </c>
      <c r="C44" s="201">
        <f>'INCOME-EXPENSE-CYCLES'!BA45</f>
        <v>96075</v>
      </c>
      <c r="D44" s="201">
        <f>'INCOME-EXPENSE-CYCLES'!BB45</f>
        <v>66637.21962318552</v>
      </c>
      <c r="E44" s="201">
        <f>'INCOME-EXPENSE-CYCLES'!BC45</f>
        <v>500</v>
      </c>
      <c r="F44" s="201">
        <f t="shared" si="0"/>
        <v>28937.78037681448</v>
      </c>
      <c r="G44" s="201">
        <f t="shared" si="1"/>
        <v>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</row>
    <row r="45" spans="1:23" ht="18" customHeight="1">
      <c r="A45" s="204" t="s">
        <v>121</v>
      </c>
      <c r="B45" s="203" t="s">
        <v>122</v>
      </c>
      <c r="C45" s="201">
        <f>'INCOME-EXPENSE-CYCLES'!BA46</f>
        <v>57395.09</v>
      </c>
      <c r="D45" s="201">
        <f>'INCOME-EXPENSE-CYCLES'!BB46</f>
        <v>68696.648049287745</v>
      </c>
      <c r="E45" s="201">
        <f>'INCOME-EXPENSE-CYCLES'!BC46</f>
        <v>0</v>
      </c>
      <c r="F45" s="201">
        <f t="shared" si="0"/>
        <v>-11301.558049287749</v>
      </c>
      <c r="G45" s="201">
        <f t="shared" si="1"/>
        <v>11301.558049287749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</row>
    <row r="46" spans="1:23" ht="18" customHeight="1">
      <c r="A46" s="204" t="s">
        <v>123</v>
      </c>
      <c r="B46" s="203" t="s">
        <v>416</v>
      </c>
      <c r="C46" s="201">
        <f>'INCOME-EXPENSE-CYCLES'!BA47</f>
        <v>63944.049999999996</v>
      </c>
      <c r="D46" s="201">
        <f>'INCOME-EXPENSE-CYCLES'!BB47</f>
        <v>64159.53359795369</v>
      </c>
      <c r="E46" s="201">
        <f>'INCOME-EXPENSE-CYCLES'!BC47</f>
        <v>500</v>
      </c>
      <c r="F46" s="201">
        <f t="shared" si="0"/>
        <v>-715.4835979536947</v>
      </c>
      <c r="G46" s="201">
        <f t="shared" si="1"/>
        <v>715.4835979536947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</row>
    <row r="47" spans="1:23" ht="18" customHeight="1">
      <c r="A47" s="204" t="s">
        <v>125</v>
      </c>
      <c r="B47" s="203" t="s">
        <v>417</v>
      </c>
      <c r="C47" s="201">
        <f>'INCOME-EXPENSE-CYCLES'!BA48</f>
        <v>62998</v>
      </c>
      <c r="D47" s="201">
        <f>'INCOME-EXPENSE-CYCLES'!BB48</f>
        <v>64898.486315241797</v>
      </c>
      <c r="E47" s="201">
        <f>'INCOME-EXPENSE-CYCLES'!BC48</f>
        <v>1000</v>
      </c>
      <c r="F47" s="201">
        <f t="shared" si="0"/>
        <v>-2900.4863152417965</v>
      </c>
      <c r="G47" s="201">
        <f t="shared" si="1"/>
        <v>2900.4863152417965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</row>
    <row r="48" spans="1:23" ht="18" customHeight="1">
      <c r="A48" s="204" t="s">
        <v>127</v>
      </c>
      <c r="B48" s="203" t="s">
        <v>128</v>
      </c>
      <c r="C48" s="201">
        <f>'INCOME-EXPENSE-CYCLES'!BA49</f>
        <v>54776</v>
      </c>
      <c r="D48" s="201">
        <f>'INCOME-EXPENSE-CYCLES'!BB49</f>
        <v>77014.054557790572</v>
      </c>
      <c r="E48" s="201">
        <f>'INCOME-EXPENSE-CYCLES'!BC49</f>
        <v>500</v>
      </c>
      <c r="F48" s="201">
        <f t="shared" si="0"/>
        <v>-22738.054557790572</v>
      </c>
      <c r="G48" s="201">
        <f t="shared" si="1"/>
        <v>22738.054557790572</v>
      </c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3" ht="18" customHeight="1">
      <c r="A49" s="204" t="s">
        <v>129</v>
      </c>
      <c r="B49" s="203" t="s">
        <v>418</v>
      </c>
      <c r="C49" s="201">
        <f>'INCOME-EXPENSE-CYCLES'!BA50</f>
        <v>70074</v>
      </c>
      <c r="D49" s="201">
        <f>'INCOME-EXPENSE-CYCLES'!BB50</f>
        <v>64891.219328514839</v>
      </c>
      <c r="E49" s="201">
        <f>'INCOME-EXPENSE-CYCLES'!BC50</f>
        <v>0</v>
      </c>
      <c r="F49" s="201">
        <f t="shared" si="0"/>
        <v>5182.7806714851613</v>
      </c>
      <c r="G49" s="201">
        <f t="shared" si="1"/>
        <v>0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</row>
    <row r="50" spans="1:23" ht="18" customHeight="1">
      <c r="A50" s="199" t="s">
        <v>419</v>
      </c>
      <c r="B50" s="203" t="s">
        <v>132</v>
      </c>
      <c r="C50" s="201">
        <f>'INCOME-EXPENSE-CYCLES'!BA51</f>
        <v>74670</v>
      </c>
      <c r="D50" s="201">
        <f>'INCOME-EXPENSE-CYCLES'!BB51</f>
        <v>76604.277729935653</v>
      </c>
      <c r="E50" s="201">
        <f>'INCOME-EXPENSE-CYCLES'!BC51</f>
        <v>0</v>
      </c>
      <c r="F50" s="201">
        <f t="shared" si="0"/>
        <v>-1934.277729935653</v>
      </c>
      <c r="G50" s="201">
        <f t="shared" si="1"/>
        <v>1934.277729935653</v>
      </c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</row>
    <row r="51" spans="1:23" ht="18" customHeight="1">
      <c r="A51" s="199" t="s">
        <v>420</v>
      </c>
      <c r="B51" s="203" t="s">
        <v>421</v>
      </c>
      <c r="C51" s="201">
        <f>'INCOME-EXPENSE-CYCLES'!BA52</f>
        <v>105538</v>
      </c>
      <c r="D51" s="201">
        <f>'INCOME-EXPENSE-CYCLES'!BB52</f>
        <v>76450.777807852399</v>
      </c>
      <c r="E51" s="201">
        <f>'INCOME-EXPENSE-CYCLES'!BC52</f>
        <v>1000</v>
      </c>
      <c r="F51" s="201">
        <f t="shared" si="0"/>
        <v>28087.222192147601</v>
      </c>
      <c r="G51" s="201">
        <f t="shared" si="1"/>
        <v>0</v>
      </c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</row>
    <row r="52" spans="1:23" ht="18" customHeight="1">
      <c r="A52" s="199" t="s">
        <v>422</v>
      </c>
      <c r="B52" s="203" t="s">
        <v>136</v>
      </c>
      <c r="C52" s="201">
        <f>'INCOME-EXPENSE-CYCLES'!BA53</f>
        <v>73836.570000000007</v>
      </c>
      <c r="D52" s="201">
        <f>'INCOME-EXPENSE-CYCLES'!BB53</f>
        <v>69274.685829139475</v>
      </c>
      <c r="E52" s="201">
        <f>'INCOME-EXPENSE-CYCLES'!BC53</f>
        <v>500</v>
      </c>
      <c r="F52" s="201">
        <f t="shared" si="0"/>
        <v>4061.8841708605323</v>
      </c>
      <c r="G52" s="201">
        <f t="shared" si="1"/>
        <v>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</row>
    <row r="53" spans="1:23" ht="18" customHeight="1">
      <c r="A53" s="199" t="s">
        <v>423</v>
      </c>
      <c r="B53" s="203" t="s">
        <v>424</v>
      </c>
      <c r="C53" s="201">
        <f>'INCOME-EXPENSE-CYCLES'!BA54</f>
        <v>33046</v>
      </c>
      <c r="D53" s="201">
        <f>'INCOME-EXPENSE-CYCLES'!BB54</f>
        <v>69097.195877806924</v>
      </c>
      <c r="E53" s="201">
        <f>'INCOME-EXPENSE-CYCLES'!BC54</f>
        <v>0</v>
      </c>
      <c r="F53" s="201">
        <f t="shared" si="0"/>
        <v>-36051.195877806924</v>
      </c>
      <c r="G53" s="201">
        <f t="shared" si="1"/>
        <v>36051.195877806924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</row>
    <row r="54" spans="1:23" ht="18" customHeight="1">
      <c r="A54" s="199" t="s">
        <v>425</v>
      </c>
      <c r="B54" s="205" t="s">
        <v>426</v>
      </c>
      <c r="C54" s="201">
        <f>'INCOME-EXPENSE-CYCLES'!BA55</f>
        <v>36531</v>
      </c>
      <c r="D54" s="201">
        <f>'INCOME-EXPENSE-CYCLES'!BB55</f>
        <v>62857.006199165728</v>
      </c>
      <c r="E54" s="201">
        <f>'INCOME-EXPENSE-CYCLES'!BC55</f>
        <v>0</v>
      </c>
      <c r="F54" s="201">
        <f t="shared" si="0"/>
        <v>-26326.006199165728</v>
      </c>
      <c r="G54" s="201">
        <f t="shared" si="1"/>
        <v>26326.006199165728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</row>
    <row r="55" spans="1:23" ht="18" customHeight="1">
      <c r="A55" s="199" t="s">
        <v>427</v>
      </c>
      <c r="B55" s="203" t="s">
        <v>142</v>
      </c>
      <c r="C55" s="201">
        <f>'INCOME-EXPENSE-CYCLES'!BA56</f>
        <v>54678.61</v>
      </c>
      <c r="D55" s="201">
        <f>'INCOME-EXPENSE-CYCLES'!BB56</f>
        <v>74677.983550838864</v>
      </c>
      <c r="E55" s="201">
        <f>'INCOME-EXPENSE-CYCLES'!BC56</f>
        <v>0</v>
      </c>
      <c r="F55" s="201">
        <f t="shared" si="0"/>
        <v>-19999.373550838864</v>
      </c>
      <c r="G55" s="201">
        <f t="shared" si="1"/>
        <v>19999.373550838864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</row>
    <row r="56" spans="1:23" ht="18" customHeight="1">
      <c r="A56" s="199" t="s">
        <v>428</v>
      </c>
      <c r="B56" s="203" t="s">
        <v>429</v>
      </c>
      <c r="C56" s="201">
        <f>'INCOME-EXPENSE-CYCLES'!BA57</f>
        <v>43509.33</v>
      </c>
      <c r="D56" s="201">
        <f>'INCOME-EXPENSE-CYCLES'!BB57</f>
        <v>61996.37322233546</v>
      </c>
      <c r="E56" s="201">
        <f>'INCOME-EXPENSE-CYCLES'!BC57</f>
        <v>0</v>
      </c>
      <c r="F56" s="201">
        <f t="shared" si="0"/>
        <v>-18487.043222335458</v>
      </c>
      <c r="G56" s="201">
        <f t="shared" si="1"/>
        <v>18487.043222335458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</row>
    <row r="57" spans="1:23" ht="18" customHeight="1">
      <c r="A57" s="199" t="s">
        <v>430</v>
      </c>
      <c r="B57" s="203" t="s">
        <v>146</v>
      </c>
      <c r="C57" s="201">
        <f>'INCOME-EXPENSE-CYCLES'!BA58</f>
        <v>56958.42</v>
      </c>
      <c r="D57" s="201">
        <f>'INCOME-EXPENSE-CYCLES'!BB58</f>
        <v>63695.151685420511</v>
      </c>
      <c r="E57" s="201">
        <f>'INCOME-EXPENSE-CYCLES'!BC58</f>
        <v>0</v>
      </c>
      <c r="F57" s="201">
        <f t="shared" si="0"/>
        <v>-6736.7316854205128</v>
      </c>
      <c r="G57" s="201">
        <f t="shared" si="1"/>
        <v>6736.7316854205128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</row>
    <row r="58" spans="1:23" ht="18" customHeight="1">
      <c r="A58" s="199" t="s">
        <v>431</v>
      </c>
      <c r="B58" s="203" t="s">
        <v>432</v>
      </c>
      <c r="C58" s="201">
        <f>'INCOME-EXPENSE-CYCLES'!BA59</f>
        <v>67851.69</v>
      </c>
      <c r="D58" s="201">
        <f>'INCOME-EXPENSE-CYCLES'!BB59</f>
        <v>68134.074709862442</v>
      </c>
      <c r="E58" s="201">
        <f>'INCOME-EXPENSE-CYCLES'!BC59</f>
        <v>0</v>
      </c>
      <c r="F58" s="201">
        <f t="shared" si="0"/>
        <v>-282.38470986243919</v>
      </c>
      <c r="G58" s="201">
        <f t="shared" si="1"/>
        <v>282.38470986243919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</row>
    <row r="59" spans="1:23" ht="18" customHeight="1">
      <c r="A59" s="204" t="s">
        <v>149</v>
      </c>
      <c r="B59" s="203" t="s">
        <v>433</v>
      </c>
      <c r="C59" s="201">
        <f>'INCOME-EXPENSE-CYCLES'!BA60</f>
        <v>69794</v>
      </c>
      <c r="D59" s="201">
        <f>'INCOME-EXPENSE-CYCLES'!BB60</f>
        <v>73489.226587681231</v>
      </c>
      <c r="E59" s="201">
        <f>'INCOME-EXPENSE-CYCLES'!BC60</f>
        <v>0</v>
      </c>
      <c r="F59" s="201">
        <f t="shared" si="0"/>
        <v>-3695.2265876812307</v>
      </c>
      <c r="G59" s="201">
        <f t="shared" si="1"/>
        <v>3695.2265876812307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</row>
    <row r="60" spans="1:23" ht="18" customHeight="1">
      <c r="A60" s="204" t="s">
        <v>150</v>
      </c>
      <c r="B60" s="206" t="s">
        <v>434</v>
      </c>
      <c r="C60" s="201">
        <f>'INCOME-EXPENSE-CYCLES'!BA61</f>
        <v>53620.119999999995</v>
      </c>
      <c r="D60" s="201">
        <f>'INCOME-EXPENSE-CYCLES'!BB61</f>
        <v>64407.984466679591</v>
      </c>
      <c r="E60" s="201">
        <f>'INCOME-EXPENSE-CYCLES'!BC61</f>
        <v>500</v>
      </c>
      <c r="F60" s="201">
        <f t="shared" si="0"/>
        <v>-11287.864466679595</v>
      </c>
      <c r="G60" s="201">
        <f t="shared" si="1"/>
        <v>11287.864466679595</v>
      </c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</row>
    <row r="61" spans="1:23" ht="18" customHeight="1">
      <c r="A61" s="204" t="s">
        <v>152</v>
      </c>
      <c r="B61" s="200" t="s">
        <v>435</v>
      </c>
      <c r="C61" s="201">
        <f>'INCOME-EXPENSE-CYCLES'!BA62</f>
        <v>62774.880000000005</v>
      </c>
      <c r="D61" s="201">
        <f>'INCOME-EXPENSE-CYCLES'!BB62</f>
        <v>62365.551059176098</v>
      </c>
      <c r="E61" s="201">
        <f>'INCOME-EXPENSE-CYCLES'!BC62</f>
        <v>500</v>
      </c>
      <c r="F61" s="201">
        <f t="shared" si="0"/>
        <v>-90.671059176092967</v>
      </c>
      <c r="G61" s="201">
        <f t="shared" si="1"/>
        <v>90.671059176092967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</row>
    <row r="62" spans="1:23" ht="18" customHeight="1">
      <c r="A62" s="204" t="s">
        <v>154</v>
      </c>
      <c r="B62" s="200" t="s">
        <v>436</v>
      </c>
      <c r="C62" s="201">
        <f>'INCOME-EXPENSE-CYCLES'!BA63</f>
        <v>84000</v>
      </c>
      <c r="D62" s="201">
        <f>'INCOME-EXPENSE-CYCLES'!BB63</f>
        <v>66641.940884983895</v>
      </c>
      <c r="E62" s="201">
        <f>'INCOME-EXPENSE-CYCLES'!BC63</f>
        <v>500</v>
      </c>
      <c r="F62" s="201">
        <f t="shared" si="0"/>
        <v>16858.059115016105</v>
      </c>
      <c r="G62" s="201">
        <f t="shared" si="1"/>
        <v>0</v>
      </c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</row>
    <row r="63" spans="1:23" ht="18" customHeight="1">
      <c r="A63" s="204" t="s">
        <v>156</v>
      </c>
      <c r="B63" s="203" t="s">
        <v>437</v>
      </c>
      <c r="C63" s="201">
        <f>'INCOME-EXPENSE-CYCLES'!BA64</f>
        <v>62614</v>
      </c>
      <c r="D63" s="201">
        <f>'INCOME-EXPENSE-CYCLES'!BB64</f>
        <v>67090.901860822443</v>
      </c>
      <c r="E63" s="201">
        <f>'INCOME-EXPENSE-CYCLES'!BC64</f>
        <v>0</v>
      </c>
      <c r="F63" s="201">
        <f t="shared" si="0"/>
        <v>-4476.9018608224433</v>
      </c>
      <c r="G63" s="201">
        <f t="shared" si="1"/>
        <v>4476.9018608224433</v>
      </c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</row>
    <row r="64" spans="1:23" ht="18" customHeight="1">
      <c r="A64" s="204" t="s">
        <v>158</v>
      </c>
      <c r="B64" s="203" t="s">
        <v>159</v>
      </c>
      <c r="C64" s="201">
        <f>'INCOME-EXPENSE-CYCLES'!BA65</f>
        <v>46274</v>
      </c>
      <c r="D64" s="201">
        <f>'INCOME-EXPENSE-CYCLES'!BB65</f>
        <v>78592.826286914787</v>
      </c>
      <c r="E64" s="201">
        <f>'INCOME-EXPENSE-CYCLES'!BC65</f>
        <v>0</v>
      </c>
      <c r="F64" s="201">
        <f t="shared" si="0"/>
        <v>-32318.826286914787</v>
      </c>
      <c r="G64" s="201">
        <f t="shared" si="1"/>
        <v>32318.826286914787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</row>
    <row r="65" spans="1:23" ht="18" customHeight="1">
      <c r="A65" s="204" t="s">
        <v>160</v>
      </c>
      <c r="B65" s="203" t="s">
        <v>161</v>
      </c>
      <c r="C65" s="201">
        <f>'INCOME-EXPENSE-CYCLES'!BA66</f>
        <v>57837</v>
      </c>
      <c r="D65" s="201">
        <f>'INCOME-EXPENSE-CYCLES'!BB66</f>
        <v>67187.2071393933</v>
      </c>
      <c r="E65" s="201">
        <f>'INCOME-EXPENSE-CYCLES'!BC66</f>
        <v>0</v>
      </c>
      <c r="F65" s="201">
        <f t="shared" si="0"/>
        <v>-9350.2071393933002</v>
      </c>
      <c r="G65" s="201">
        <f t="shared" si="1"/>
        <v>9350.2071393933002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</row>
    <row r="66" spans="1:23" ht="18" customHeight="1">
      <c r="A66" s="204"/>
      <c r="B66" s="201" t="s">
        <v>162</v>
      </c>
      <c r="C66" s="201">
        <f t="shared" ref="C66:D66" si="2">SUM(C2:C65)</f>
        <v>4065872.1099999989</v>
      </c>
      <c r="D66" s="201">
        <f t="shared" si="2"/>
        <v>4402792.089612999</v>
      </c>
      <c r="E66" s="201"/>
      <c r="F66" s="201">
        <f t="shared" ref="F66:G66" si="3">SUBTOTAL(9,F2:F65)</f>
        <v>-347919.97961299983</v>
      </c>
      <c r="G66" s="201">
        <f t="shared" si="3"/>
        <v>620297.30795104022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</row>
    <row r="67" spans="1:23" ht="26.25" customHeight="1">
      <c r="A67" s="198"/>
      <c r="B67" s="198"/>
      <c r="C67" s="207"/>
      <c r="D67" s="207"/>
      <c r="E67" s="207"/>
      <c r="F67" s="207"/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</row>
    <row r="68" spans="1:23" ht="26.25" customHeight="1">
      <c r="A68" s="198"/>
      <c r="B68" s="198"/>
      <c r="C68" s="207"/>
      <c r="D68" s="207"/>
      <c r="E68" s="207"/>
      <c r="F68" s="207"/>
      <c r="G68" s="207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</row>
    <row r="69" spans="1:23" ht="26.25" customHeight="1">
      <c r="A69" s="198"/>
      <c r="B69" s="198"/>
      <c r="C69" s="207"/>
      <c r="D69" s="207"/>
      <c r="E69" s="207"/>
      <c r="F69" s="207"/>
      <c r="G69" s="207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</row>
    <row r="70" spans="1:23" ht="26.25" customHeight="1">
      <c r="A70" s="198"/>
      <c r="B70" s="198"/>
      <c r="C70" s="207"/>
      <c r="D70" s="207"/>
      <c r="E70" s="207"/>
      <c r="F70" s="207"/>
      <c r="G70" s="207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</row>
    <row r="71" spans="1:23" ht="26.25" customHeight="1">
      <c r="A71" s="198"/>
      <c r="B71" s="198"/>
      <c r="C71" s="207"/>
      <c r="D71" s="207"/>
      <c r="E71" s="207"/>
      <c r="F71" s="207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</row>
    <row r="72" spans="1:23" ht="26.25" customHeight="1">
      <c r="A72" s="198"/>
      <c r="B72" s="198"/>
      <c r="C72" s="207"/>
      <c r="D72" s="207"/>
      <c r="E72" s="207"/>
      <c r="F72" s="207"/>
      <c r="G72" s="207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</row>
    <row r="73" spans="1:23" ht="26.25" customHeight="1">
      <c r="A73" s="198"/>
      <c r="B73" s="198"/>
      <c r="C73" s="207"/>
      <c r="D73" s="207"/>
      <c r="E73" s="207"/>
      <c r="F73" s="207"/>
      <c r="G73" s="207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</row>
    <row r="74" spans="1:23" ht="26.25" customHeight="1">
      <c r="A74" s="198"/>
      <c r="B74" s="198"/>
      <c r="C74" s="207"/>
      <c r="D74" s="207"/>
      <c r="E74" s="207"/>
      <c r="F74" s="207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</row>
    <row r="75" spans="1:23" ht="26.25" customHeight="1">
      <c r="A75" s="198"/>
      <c r="B75" s="198"/>
      <c r="C75" s="207"/>
      <c r="D75" s="207"/>
      <c r="E75" s="207"/>
      <c r="F75" s="207"/>
      <c r="G75" s="207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</row>
    <row r="76" spans="1:23" ht="26.25" customHeight="1">
      <c r="A76" s="198"/>
      <c r="B76" s="198"/>
      <c r="C76" s="207"/>
      <c r="D76" s="207"/>
      <c r="E76" s="207"/>
      <c r="F76" s="207"/>
      <c r="G76" s="207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</row>
    <row r="77" spans="1:23" ht="26.25" customHeight="1">
      <c r="A77" s="198"/>
      <c r="B77" s="198"/>
      <c r="C77" s="207"/>
      <c r="D77" s="207"/>
      <c r="E77" s="207"/>
      <c r="F77" s="207"/>
      <c r="G77" s="207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</row>
    <row r="78" spans="1:23" ht="26.25" customHeight="1">
      <c r="A78" s="198"/>
      <c r="B78" s="198"/>
      <c r="C78" s="207"/>
      <c r="D78" s="207"/>
      <c r="E78" s="207"/>
      <c r="F78" s="207"/>
      <c r="G78" s="207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</row>
    <row r="79" spans="1:23" ht="26.25" customHeight="1">
      <c r="A79" s="198"/>
      <c r="B79" s="198"/>
      <c r="C79" s="207"/>
      <c r="D79" s="207"/>
      <c r="E79" s="207"/>
      <c r="F79" s="207"/>
      <c r="G79" s="207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</row>
    <row r="80" spans="1:23" ht="26.25" customHeight="1">
      <c r="A80" s="198"/>
      <c r="B80" s="198"/>
      <c r="C80" s="207"/>
      <c r="D80" s="207"/>
      <c r="E80" s="207"/>
      <c r="F80" s="207"/>
      <c r="G80" s="207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</row>
    <row r="81" spans="1:23" ht="26.25" customHeight="1">
      <c r="A81" s="198"/>
      <c r="B81" s="198"/>
      <c r="C81" s="207"/>
      <c r="D81" s="207"/>
      <c r="E81" s="207"/>
      <c r="F81" s="207"/>
      <c r="G81" s="207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</row>
    <row r="82" spans="1:23" ht="26.25" customHeight="1">
      <c r="A82" s="198"/>
      <c r="B82" s="198"/>
      <c r="C82" s="207"/>
      <c r="D82" s="207"/>
      <c r="E82" s="207"/>
      <c r="F82" s="207"/>
      <c r="G82" s="207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</row>
    <row r="83" spans="1:23" ht="26.25" customHeight="1">
      <c r="A83" s="198"/>
      <c r="B83" s="198"/>
      <c r="C83" s="207"/>
      <c r="D83" s="207"/>
      <c r="E83" s="207"/>
      <c r="F83" s="207"/>
      <c r="G83" s="207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</row>
    <row r="84" spans="1:23" ht="26.25" customHeight="1">
      <c r="A84" s="198"/>
      <c r="B84" s="198"/>
      <c r="C84" s="207"/>
      <c r="D84" s="207"/>
      <c r="E84" s="207"/>
      <c r="F84" s="207"/>
      <c r="G84" s="207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</row>
    <row r="85" spans="1:23" ht="26.25" customHeight="1">
      <c r="A85" s="198"/>
      <c r="B85" s="198"/>
      <c r="C85" s="207"/>
      <c r="D85" s="207"/>
      <c r="E85" s="207"/>
      <c r="F85" s="207"/>
      <c r="G85" s="207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</row>
    <row r="86" spans="1:23" ht="26.25" customHeight="1">
      <c r="A86" s="198"/>
      <c r="B86" s="198"/>
      <c r="C86" s="207"/>
      <c r="D86" s="207"/>
      <c r="E86" s="207"/>
      <c r="F86" s="207"/>
      <c r="G86" s="207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</row>
    <row r="87" spans="1:23" ht="26.25" customHeight="1">
      <c r="A87" s="198"/>
      <c r="B87" s="198"/>
      <c r="C87" s="207"/>
      <c r="D87" s="207"/>
      <c r="E87" s="207"/>
      <c r="F87" s="207"/>
      <c r="G87" s="207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</row>
    <row r="88" spans="1:23" ht="26.25" customHeight="1">
      <c r="A88" s="198"/>
      <c r="B88" s="198"/>
      <c r="C88" s="207"/>
      <c r="D88" s="207"/>
      <c r="E88" s="207"/>
      <c r="F88" s="207"/>
      <c r="G88" s="207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</row>
    <row r="89" spans="1:23" ht="26.25" customHeight="1">
      <c r="A89" s="198"/>
      <c r="B89" s="198"/>
      <c r="C89" s="207"/>
      <c r="D89" s="207"/>
      <c r="E89" s="207"/>
      <c r="F89" s="207"/>
      <c r="G89" s="207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</row>
    <row r="90" spans="1:23" ht="26.25" customHeight="1">
      <c r="A90" s="198"/>
      <c r="B90" s="198"/>
      <c r="C90" s="207"/>
      <c r="D90" s="207"/>
      <c r="E90" s="207"/>
      <c r="F90" s="207"/>
      <c r="G90" s="207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</row>
    <row r="91" spans="1:23" ht="26.25" customHeight="1">
      <c r="A91" s="198"/>
      <c r="B91" s="198"/>
      <c r="C91" s="207"/>
      <c r="D91" s="207"/>
      <c r="E91" s="207"/>
      <c r="F91" s="207"/>
      <c r="G91" s="207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</row>
    <row r="92" spans="1:23" ht="26.25" customHeight="1">
      <c r="A92" s="198"/>
      <c r="B92" s="198"/>
      <c r="C92" s="207"/>
      <c r="D92" s="207"/>
      <c r="E92" s="207"/>
      <c r="F92" s="207"/>
      <c r="G92" s="207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</row>
    <row r="93" spans="1:23" ht="26.25" customHeight="1">
      <c r="A93" s="198"/>
      <c r="B93" s="198"/>
      <c r="C93" s="207"/>
      <c r="D93" s="207"/>
      <c r="E93" s="207"/>
      <c r="F93" s="207"/>
      <c r="G93" s="207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</row>
    <row r="94" spans="1:23" ht="26.25" customHeight="1">
      <c r="A94" s="198"/>
      <c r="B94" s="198"/>
      <c r="C94" s="207"/>
      <c r="D94" s="207"/>
      <c r="E94" s="207"/>
      <c r="F94" s="207"/>
      <c r="G94" s="207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</row>
    <row r="95" spans="1:23" ht="26.25" customHeight="1">
      <c r="A95" s="198"/>
      <c r="B95" s="198"/>
      <c r="C95" s="207"/>
      <c r="D95" s="207"/>
      <c r="E95" s="207"/>
      <c r="F95" s="207"/>
      <c r="G95" s="207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</row>
    <row r="96" spans="1:23" ht="26.25" customHeight="1">
      <c r="A96" s="198"/>
      <c r="B96" s="198"/>
      <c r="C96" s="207"/>
      <c r="D96" s="207"/>
      <c r="E96" s="207"/>
      <c r="F96" s="207"/>
      <c r="G96" s="207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</row>
    <row r="97" spans="1:23" ht="26.25" customHeight="1">
      <c r="A97" s="198"/>
      <c r="B97" s="198"/>
      <c r="C97" s="207"/>
      <c r="D97" s="207"/>
      <c r="E97" s="207"/>
      <c r="F97" s="207"/>
      <c r="G97" s="207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</row>
    <row r="98" spans="1:23" ht="26.25" customHeight="1">
      <c r="A98" s="198"/>
      <c r="B98" s="198"/>
      <c r="C98" s="207"/>
      <c r="D98" s="207"/>
      <c r="E98" s="207"/>
      <c r="F98" s="207"/>
      <c r="G98" s="207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</row>
    <row r="99" spans="1:23" ht="26.25" customHeight="1">
      <c r="A99" s="198"/>
      <c r="B99" s="198"/>
      <c r="C99" s="207"/>
      <c r="D99" s="207"/>
      <c r="E99" s="207"/>
      <c r="F99" s="207"/>
      <c r="G99" s="207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</row>
    <row r="100" spans="1:23" ht="26.25" customHeight="1">
      <c r="A100" s="198"/>
      <c r="B100" s="198"/>
      <c r="C100" s="207"/>
      <c r="D100" s="207"/>
      <c r="E100" s="207"/>
      <c r="F100" s="207"/>
      <c r="G100" s="207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</row>
    <row r="101" spans="1:23" ht="26.25" customHeight="1">
      <c r="A101" s="198"/>
      <c r="B101" s="198"/>
      <c r="C101" s="207"/>
      <c r="D101" s="207"/>
      <c r="E101" s="207"/>
      <c r="F101" s="207"/>
      <c r="G101" s="207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</row>
    <row r="102" spans="1:23" ht="26.25" customHeight="1">
      <c r="A102" s="198"/>
      <c r="B102" s="198"/>
      <c r="C102" s="207"/>
      <c r="D102" s="207"/>
      <c r="E102" s="207"/>
      <c r="F102" s="207"/>
      <c r="G102" s="207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</row>
    <row r="103" spans="1:23" ht="26.25" customHeight="1">
      <c r="A103" s="198"/>
      <c r="B103" s="198"/>
      <c r="C103" s="207"/>
      <c r="D103" s="207"/>
      <c r="E103" s="207"/>
      <c r="F103" s="207"/>
      <c r="G103" s="207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</row>
    <row r="104" spans="1:23" ht="26.25" customHeight="1">
      <c r="A104" s="198"/>
      <c r="B104" s="198"/>
      <c r="C104" s="207"/>
      <c r="D104" s="207"/>
      <c r="E104" s="207"/>
      <c r="F104" s="207"/>
      <c r="G104" s="207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</row>
    <row r="105" spans="1:23" ht="26.25" customHeight="1">
      <c r="A105" s="198"/>
      <c r="B105" s="198"/>
      <c r="C105" s="207"/>
      <c r="D105" s="207"/>
      <c r="E105" s="207"/>
      <c r="F105" s="207"/>
      <c r="G105" s="207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</row>
    <row r="106" spans="1:23" ht="26.25" customHeight="1">
      <c r="A106" s="198"/>
      <c r="B106" s="198"/>
      <c r="C106" s="207"/>
      <c r="D106" s="207"/>
      <c r="E106" s="207"/>
      <c r="F106" s="207"/>
      <c r="G106" s="207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</row>
    <row r="107" spans="1:23" ht="26.25" customHeight="1">
      <c r="A107" s="198"/>
      <c r="B107" s="198"/>
      <c r="C107" s="207"/>
      <c r="D107" s="207"/>
      <c r="E107" s="207"/>
      <c r="F107" s="207"/>
      <c r="G107" s="207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</row>
    <row r="108" spans="1:23" ht="26.25" customHeight="1">
      <c r="A108" s="198"/>
      <c r="B108" s="198"/>
      <c r="C108" s="207"/>
      <c r="D108" s="207"/>
      <c r="E108" s="207"/>
      <c r="F108" s="207"/>
      <c r="G108" s="207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</row>
    <row r="109" spans="1:23" ht="26.25" customHeight="1">
      <c r="A109" s="198"/>
      <c r="B109" s="198"/>
      <c r="C109" s="207"/>
      <c r="D109" s="207"/>
      <c r="E109" s="207"/>
      <c r="F109" s="207"/>
      <c r="G109" s="207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</row>
    <row r="110" spans="1:23" ht="26.25" customHeight="1">
      <c r="A110" s="198"/>
      <c r="B110" s="198"/>
      <c r="C110" s="207"/>
      <c r="D110" s="207"/>
      <c r="E110" s="207"/>
      <c r="F110" s="207"/>
      <c r="G110" s="207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</row>
    <row r="111" spans="1:23" ht="26.25" customHeight="1">
      <c r="A111" s="198"/>
      <c r="B111" s="198"/>
      <c r="C111" s="207"/>
      <c r="D111" s="207"/>
      <c r="E111" s="207"/>
      <c r="F111" s="207"/>
      <c r="G111" s="207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</row>
    <row r="112" spans="1:23" ht="26.25" customHeight="1">
      <c r="A112" s="198"/>
      <c r="B112" s="198"/>
      <c r="C112" s="207"/>
      <c r="D112" s="207"/>
      <c r="E112" s="207"/>
      <c r="F112" s="207"/>
      <c r="G112" s="207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</row>
    <row r="113" spans="1:23" ht="26.25" customHeight="1">
      <c r="A113" s="198"/>
      <c r="B113" s="198"/>
      <c r="C113" s="207"/>
      <c r="D113" s="207"/>
      <c r="E113" s="207"/>
      <c r="F113" s="207"/>
      <c r="G113" s="207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</row>
    <row r="114" spans="1:23" ht="26.25" customHeight="1">
      <c r="A114" s="198"/>
      <c r="B114" s="198"/>
      <c r="C114" s="207"/>
      <c r="D114" s="207"/>
      <c r="E114" s="207"/>
      <c r="F114" s="207"/>
      <c r="G114" s="207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</row>
    <row r="115" spans="1:23" ht="26.25" customHeight="1">
      <c r="A115" s="198"/>
      <c r="B115" s="198"/>
      <c r="C115" s="207"/>
      <c r="D115" s="207"/>
      <c r="E115" s="207"/>
      <c r="F115" s="207"/>
      <c r="G115" s="207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</row>
    <row r="116" spans="1:23" ht="26.25" customHeight="1">
      <c r="A116" s="198"/>
      <c r="B116" s="198"/>
      <c r="C116" s="207"/>
      <c r="D116" s="207"/>
      <c r="E116" s="207"/>
      <c r="F116" s="207"/>
      <c r="G116" s="207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</row>
    <row r="117" spans="1:23" ht="26.25" customHeight="1">
      <c r="A117" s="198"/>
      <c r="B117" s="198"/>
      <c r="C117" s="207"/>
      <c r="D117" s="207"/>
      <c r="E117" s="207"/>
      <c r="F117" s="207"/>
      <c r="G117" s="207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</row>
    <row r="118" spans="1:23" ht="26.25" customHeight="1">
      <c r="A118" s="198"/>
      <c r="B118" s="198"/>
      <c r="C118" s="207"/>
      <c r="D118" s="207"/>
      <c r="E118" s="207"/>
      <c r="F118" s="207"/>
      <c r="G118" s="207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</row>
    <row r="119" spans="1:23" ht="26.25" customHeight="1">
      <c r="A119" s="198"/>
      <c r="B119" s="198"/>
      <c r="C119" s="207"/>
      <c r="D119" s="207"/>
      <c r="E119" s="207"/>
      <c r="F119" s="207"/>
      <c r="G119" s="207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</row>
    <row r="120" spans="1:23" ht="26.25" customHeight="1">
      <c r="A120" s="198"/>
      <c r="B120" s="198"/>
      <c r="C120" s="207"/>
      <c r="D120" s="207"/>
      <c r="E120" s="207"/>
      <c r="F120" s="207"/>
      <c r="G120" s="207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</row>
    <row r="121" spans="1:23" ht="26.25" customHeight="1">
      <c r="A121" s="198"/>
      <c r="B121" s="198"/>
      <c r="C121" s="207"/>
      <c r="D121" s="207"/>
      <c r="E121" s="207"/>
      <c r="F121" s="207"/>
      <c r="G121" s="207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</row>
    <row r="122" spans="1:23" ht="26.25" customHeight="1">
      <c r="A122" s="198"/>
      <c r="B122" s="198"/>
      <c r="C122" s="207"/>
      <c r="D122" s="207"/>
      <c r="E122" s="207"/>
      <c r="F122" s="207"/>
      <c r="G122" s="207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</row>
    <row r="123" spans="1:23" ht="26.25" customHeight="1">
      <c r="A123" s="198"/>
      <c r="B123" s="198"/>
      <c r="C123" s="207"/>
      <c r="D123" s="207"/>
      <c r="E123" s="207"/>
      <c r="F123" s="207"/>
      <c r="G123" s="207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</row>
    <row r="124" spans="1:23" ht="26.25" customHeight="1">
      <c r="A124" s="198"/>
      <c r="B124" s="198"/>
      <c r="C124" s="207"/>
      <c r="D124" s="207"/>
      <c r="E124" s="207"/>
      <c r="F124" s="207"/>
      <c r="G124" s="207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</row>
    <row r="125" spans="1:23" ht="26.25" customHeight="1">
      <c r="A125" s="198"/>
      <c r="B125" s="198"/>
      <c r="C125" s="207"/>
      <c r="D125" s="207"/>
      <c r="E125" s="207"/>
      <c r="F125" s="207"/>
      <c r="G125" s="207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</row>
    <row r="126" spans="1:23" ht="26.25" customHeight="1">
      <c r="A126" s="198"/>
      <c r="B126" s="198"/>
      <c r="C126" s="207"/>
      <c r="D126" s="207"/>
      <c r="E126" s="207"/>
      <c r="F126" s="207"/>
      <c r="G126" s="207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</row>
    <row r="127" spans="1:23" ht="26.25" customHeight="1">
      <c r="A127" s="198"/>
      <c r="B127" s="198"/>
      <c r="C127" s="207"/>
      <c r="D127" s="207"/>
      <c r="E127" s="207"/>
      <c r="F127" s="207"/>
      <c r="G127" s="207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</row>
    <row r="128" spans="1:23" ht="26.25" customHeight="1">
      <c r="A128" s="198"/>
      <c r="B128" s="198"/>
      <c r="C128" s="207"/>
      <c r="D128" s="207"/>
      <c r="E128" s="207"/>
      <c r="F128" s="207"/>
      <c r="G128" s="207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</row>
    <row r="129" spans="1:23" ht="26.25" customHeight="1">
      <c r="A129" s="198"/>
      <c r="B129" s="198"/>
      <c r="C129" s="207"/>
      <c r="D129" s="207"/>
      <c r="E129" s="207"/>
      <c r="F129" s="207"/>
      <c r="G129" s="207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</row>
    <row r="130" spans="1:23" ht="26.25" customHeight="1">
      <c r="A130" s="198"/>
      <c r="B130" s="198"/>
      <c r="C130" s="207"/>
      <c r="D130" s="207"/>
      <c r="E130" s="207"/>
      <c r="F130" s="207"/>
      <c r="G130" s="207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</row>
    <row r="131" spans="1:23" ht="26.25" customHeight="1">
      <c r="A131" s="198"/>
      <c r="B131" s="198"/>
      <c r="C131" s="207"/>
      <c r="D131" s="207"/>
      <c r="E131" s="207"/>
      <c r="F131" s="207"/>
      <c r="G131" s="207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</row>
    <row r="132" spans="1:23" ht="26.25" customHeight="1">
      <c r="A132" s="198"/>
      <c r="B132" s="198"/>
      <c r="C132" s="207"/>
      <c r="D132" s="207"/>
      <c r="E132" s="207"/>
      <c r="F132" s="207"/>
      <c r="G132" s="207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</row>
    <row r="133" spans="1:23" ht="26.25" customHeight="1">
      <c r="A133" s="198"/>
      <c r="B133" s="198"/>
      <c r="C133" s="207"/>
      <c r="D133" s="207"/>
      <c r="E133" s="207"/>
      <c r="F133" s="207"/>
      <c r="G133" s="207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</row>
    <row r="134" spans="1:23" ht="26.25" customHeight="1">
      <c r="A134" s="198"/>
      <c r="B134" s="198"/>
      <c r="C134" s="207"/>
      <c r="D134" s="207"/>
      <c r="E134" s="207"/>
      <c r="F134" s="207"/>
      <c r="G134" s="207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</row>
    <row r="135" spans="1:23" ht="26.25" customHeight="1">
      <c r="A135" s="198"/>
      <c r="B135" s="198"/>
      <c r="C135" s="207"/>
      <c r="D135" s="207"/>
      <c r="E135" s="207"/>
      <c r="F135" s="207"/>
      <c r="G135" s="207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</row>
    <row r="136" spans="1:23" ht="26.25" customHeight="1">
      <c r="A136" s="198"/>
      <c r="B136" s="198"/>
      <c r="C136" s="207"/>
      <c r="D136" s="207"/>
      <c r="E136" s="207"/>
      <c r="F136" s="207"/>
      <c r="G136" s="207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</row>
    <row r="137" spans="1:23" ht="26.25" customHeight="1">
      <c r="A137" s="198"/>
      <c r="B137" s="198"/>
      <c r="C137" s="207"/>
      <c r="D137" s="207"/>
      <c r="E137" s="207"/>
      <c r="F137" s="207"/>
      <c r="G137" s="207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</row>
    <row r="138" spans="1:23" ht="26.25" customHeight="1">
      <c r="A138" s="198"/>
      <c r="B138" s="198"/>
      <c r="C138" s="207"/>
      <c r="D138" s="207"/>
      <c r="E138" s="207"/>
      <c r="F138" s="207"/>
      <c r="G138" s="207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</row>
    <row r="139" spans="1:23" ht="26.25" customHeight="1">
      <c r="A139" s="198"/>
      <c r="B139" s="198"/>
      <c r="C139" s="207"/>
      <c r="D139" s="207"/>
      <c r="E139" s="207"/>
      <c r="F139" s="207"/>
      <c r="G139" s="207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</row>
    <row r="140" spans="1:23" ht="26.25" customHeight="1">
      <c r="A140" s="198"/>
      <c r="B140" s="198"/>
      <c r="C140" s="207"/>
      <c r="D140" s="207"/>
      <c r="E140" s="207"/>
      <c r="F140" s="207"/>
      <c r="G140" s="207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</row>
    <row r="141" spans="1:23" ht="26.25" customHeight="1">
      <c r="A141" s="198"/>
      <c r="B141" s="198"/>
      <c r="C141" s="207"/>
      <c r="D141" s="207"/>
      <c r="E141" s="207"/>
      <c r="F141" s="207"/>
      <c r="G141" s="207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</row>
    <row r="142" spans="1:23" ht="26.25" customHeight="1">
      <c r="A142" s="198"/>
      <c r="B142" s="198"/>
      <c r="C142" s="207"/>
      <c r="D142" s="207"/>
      <c r="E142" s="207"/>
      <c r="F142" s="207"/>
      <c r="G142" s="207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</row>
    <row r="143" spans="1:23" ht="26.25" customHeight="1">
      <c r="A143" s="198"/>
      <c r="B143" s="198"/>
      <c r="C143" s="207"/>
      <c r="D143" s="207"/>
      <c r="E143" s="207"/>
      <c r="F143" s="207"/>
      <c r="G143" s="207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</row>
    <row r="144" spans="1:23" ht="26.25" customHeight="1">
      <c r="A144" s="198"/>
      <c r="B144" s="198"/>
      <c r="C144" s="207"/>
      <c r="D144" s="207"/>
      <c r="E144" s="207"/>
      <c r="F144" s="207"/>
      <c r="G144" s="207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</row>
    <row r="145" spans="1:23" ht="26.25" customHeight="1">
      <c r="A145" s="198"/>
      <c r="B145" s="198"/>
      <c r="C145" s="207"/>
      <c r="D145" s="207"/>
      <c r="E145" s="207"/>
      <c r="F145" s="207"/>
      <c r="G145" s="207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</row>
    <row r="146" spans="1:23" ht="26.25" customHeight="1">
      <c r="A146" s="198"/>
      <c r="B146" s="198"/>
      <c r="C146" s="207"/>
      <c r="D146" s="207"/>
      <c r="E146" s="207"/>
      <c r="F146" s="207"/>
      <c r="G146" s="207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</row>
    <row r="147" spans="1:23" ht="26.25" customHeight="1">
      <c r="A147" s="198"/>
      <c r="B147" s="198"/>
      <c r="C147" s="207"/>
      <c r="D147" s="207"/>
      <c r="E147" s="207"/>
      <c r="F147" s="207"/>
      <c r="G147" s="207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</row>
    <row r="148" spans="1:23" ht="26.25" customHeight="1">
      <c r="A148" s="198"/>
      <c r="B148" s="198"/>
      <c r="C148" s="207"/>
      <c r="D148" s="207"/>
      <c r="E148" s="207"/>
      <c r="F148" s="207"/>
      <c r="G148" s="207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</row>
    <row r="149" spans="1:23" ht="26.25" customHeight="1">
      <c r="A149" s="198"/>
      <c r="B149" s="198"/>
      <c r="C149" s="207"/>
      <c r="D149" s="207"/>
      <c r="E149" s="207"/>
      <c r="F149" s="207"/>
      <c r="G149" s="207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</row>
    <row r="150" spans="1:23" ht="26.25" customHeight="1">
      <c r="A150" s="198"/>
      <c r="B150" s="198"/>
      <c r="C150" s="207"/>
      <c r="D150" s="207"/>
      <c r="E150" s="207"/>
      <c r="F150" s="207"/>
      <c r="G150" s="207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</row>
    <row r="151" spans="1:23" ht="26.25" customHeight="1">
      <c r="A151" s="198"/>
      <c r="B151" s="198"/>
      <c r="C151" s="207"/>
      <c r="D151" s="207"/>
      <c r="E151" s="207"/>
      <c r="F151" s="207"/>
      <c r="G151" s="207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</row>
    <row r="152" spans="1:23" ht="26.25" customHeight="1">
      <c r="A152" s="198"/>
      <c r="B152" s="198"/>
      <c r="C152" s="207"/>
      <c r="D152" s="207"/>
      <c r="E152" s="207"/>
      <c r="F152" s="207"/>
      <c r="G152" s="207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</row>
    <row r="153" spans="1:23" ht="26.25" customHeight="1">
      <c r="A153" s="198"/>
      <c r="B153" s="198"/>
      <c r="C153" s="207"/>
      <c r="D153" s="207"/>
      <c r="E153" s="207"/>
      <c r="F153" s="207"/>
      <c r="G153" s="207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</row>
    <row r="154" spans="1:23" ht="26.25" customHeight="1">
      <c r="A154" s="198"/>
      <c r="B154" s="198"/>
      <c r="C154" s="207"/>
      <c r="D154" s="207"/>
      <c r="E154" s="207"/>
      <c r="F154" s="207"/>
      <c r="G154" s="207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</row>
    <row r="155" spans="1:23" ht="26.25" customHeight="1">
      <c r="A155" s="198"/>
      <c r="B155" s="198"/>
      <c r="C155" s="207"/>
      <c r="D155" s="207"/>
      <c r="E155" s="207"/>
      <c r="F155" s="207"/>
      <c r="G155" s="207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</row>
    <row r="156" spans="1:23" ht="26.25" customHeight="1">
      <c r="A156" s="198"/>
      <c r="B156" s="198"/>
      <c r="C156" s="207"/>
      <c r="D156" s="207"/>
      <c r="E156" s="207"/>
      <c r="F156" s="207"/>
      <c r="G156" s="207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</row>
    <row r="157" spans="1:23" ht="26.25" customHeight="1">
      <c r="A157" s="198"/>
      <c r="B157" s="198"/>
      <c r="C157" s="207"/>
      <c r="D157" s="207"/>
      <c r="E157" s="207"/>
      <c r="F157" s="207"/>
      <c r="G157" s="207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</row>
    <row r="158" spans="1:23" ht="26.25" customHeight="1">
      <c r="A158" s="198"/>
      <c r="B158" s="198"/>
      <c r="C158" s="207"/>
      <c r="D158" s="207"/>
      <c r="E158" s="207"/>
      <c r="F158" s="207"/>
      <c r="G158" s="207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</row>
    <row r="159" spans="1:23" ht="26.25" customHeight="1">
      <c r="A159" s="198"/>
      <c r="B159" s="198"/>
      <c r="C159" s="207"/>
      <c r="D159" s="207"/>
      <c r="E159" s="207"/>
      <c r="F159" s="207"/>
      <c r="G159" s="207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</row>
    <row r="160" spans="1:23" ht="26.25" customHeight="1">
      <c r="A160" s="198"/>
      <c r="B160" s="198"/>
      <c r="C160" s="207"/>
      <c r="D160" s="207"/>
      <c r="E160" s="207"/>
      <c r="F160" s="207"/>
      <c r="G160" s="207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</row>
    <row r="161" spans="1:23" ht="26.25" customHeight="1">
      <c r="A161" s="198"/>
      <c r="B161" s="198"/>
      <c r="C161" s="207"/>
      <c r="D161" s="207"/>
      <c r="E161" s="207"/>
      <c r="F161" s="207"/>
      <c r="G161" s="207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</row>
    <row r="162" spans="1:23" ht="26.25" customHeight="1">
      <c r="A162" s="198"/>
      <c r="B162" s="198"/>
      <c r="C162" s="207"/>
      <c r="D162" s="207"/>
      <c r="E162" s="207"/>
      <c r="F162" s="207"/>
      <c r="G162" s="207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</row>
    <row r="163" spans="1:23" ht="26.25" customHeight="1">
      <c r="A163" s="198"/>
      <c r="B163" s="198"/>
      <c r="C163" s="207"/>
      <c r="D163" s="207"/>
      <c r="E163" s="207"/>
      <c r="F163" s="207"/>
      <c r="G163" s="207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</row>
    <row r="164" spans="1:23" ht="26.25" customHeight="1">
      <c r="A164" s="198"/>
      <c r="B164" s="198"/>
      <c r="C164" s="207"/>
      <c r="D164" s="207"/>
      <c r="E164" s="207"/>
      <c r="F164" s="207"/>
      <c r="G164" s="207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</row>
    <row r="165" spans="1:23" ht="26.25" customHeight="1">
      <c r="A165" s="198"/>
      <c r="B165" s="198"/>
      <c r="C165" s="207"/>
      <c r="D165" s="207"/>
      <c r="E165" s="207"/>
      <c r="F165" s="207"/>
      <c r="G165" s="207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</row>
    <row r="166" spans="1:23" ht="26.25" customHeight="1">
      <c r="A166" s="198"/>
      <c r="B166" s="198"/>
      <c r="C166" s="207"/>
      <c r="D166" s="207"/>
      <c r="E166" s="207"/>
      <c r="F166" s="207"/>
      <c r="G166" s="207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</row>
    <row r="167" spans="1:23" ht="26.25" customHeight="1">
      <c r="A167" s="198"/>
      <c r="B167" s="198"/>
      <c r="C167" s="207"/>
      <c r="D167" s="207"/>
      <c r="E167" s="207"/>
      <c r="F167" s="207"/>
      <c r="G167" s="207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</row>
    <row r="168" spans="1:23" ht="26.25" customHeight="1">
      <c r="A168" s="198"/>
      <c r="B168" s="198"/>
      <c r="C168" s="207"/>
      <c r="D168" s="207"/>
      <c r="E168" s="207"/>
      <c r="F168" s="207"/>
      <c r="G168" s="207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</row>
    <row r="169" spans="1:23" ht="26.25" customHeight="1">
      <c r="A169" s="198"/>
      <c r="B169" s="198"/>
      <c r="C169" s="207"/>
      <c r="D169" s="207"/>
      <c r="E169" s="207"/>
      <c r="F169" s="207"/>
      <c r="G169" s="207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</row>
    <row r="170" spans="1:23" ht="26.25" customHeight="1">
      <c r="A170" s="198"/>
      <c r="B170" s="198"/>
      <c r="C170" s="207"/>
      <c r="D170" s="207"/>
      <c r="E170" s="207"/>
      <c r="F170" s="207"/>
      <c r="G170" s="207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</row>
    <row r="171" spans="1:23" ht="26.25" customHeight="1">
      <c r="A171" s="198"/>
      <c r="B171" s="198"/>
      <c r="C171" s="207"/>
      <c r="D171" s="207"/>
      <c r="E171" s="207"/>
      <c r="F171" s="207"/>
      <c r="G171" s="207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</row>
    <row r="172" spans="1:23" ht="26.25" customHeight="1">
      <c r="A172" s="198"/>
      <c r="B172" s="198"/>
      <c r="C172" s="207"/>
      <c r="D172" s="207"/>
      <c r="E172" s="207"/>
      <c r="F172" s="207"/>
      <c r="G172" s="207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</row>
    <row r="173" spans="1:23" ht="26.25" customHeight="1">
      <c r="A173" s="198"/>
      <c r="B173" s="198"/>
      <c r="C173" s="207"/>
      <c r="D173" s="207"/>
      <c r="E173" s="207"/>
      <c r="F173" s="207"/>
      <c r="G173" s="207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</row>
    <row r="174" spans="1:23" ht="26.25" customHeight="1">
      <c r="A174" s="198"/>
      <c r="B174" s="198"/>
      <c r="C174" s="207"/>
      <c r="D174" s="207"/>
      <c r="E174" s="207"/>
      <c r="F174" s="207"/>
      <c r="G174" s="207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</row>
    <row r="175" spans="1:23" ht="26.25" customHeight="1">
      <c r="A175" s="198"/>
      <c r="B175" s="198"/>
      <c r="C175" s="207"/>
      <c r="D175" s="207"/>
      <c r="E175" s="207"/>
      <c r="F175" s="207"/>
      <c r="G175" s="207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</row>
    <row r="176" spans="1:23" ht="26.25" customHeight="1">
      <c r="A176" s="198"/>
      <c r="B176" s="198"/>
      <c r="C176" s="207"/>
      <c r="D176" s="207"/>
      <c r="E176" s="207"/>
      <c r="F176" s="207"/>
      <c r="G176" s="207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</row>
    <row r="177" spans="1:23" ht="26.25" customHeight="1">
      <c r="A177" s="198"/>
      <c r="B177" s="198"/>
      <c r="C177" s="207"/>
      <c r="D177" s="207"/>
      <c r="E177" s="207"/>
      <c r="F177" s="207"/>
      <c r="G177" s="207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</row>
    <row r="178" spans="1:23" ht="26.25" customHeight="1">
      <c r="A178" s="198"/>
      <c r="B178" s="198"/>
      <c r="C178" s="207"/>
      <c r="D178" s="207"/>
      <c r="E178" s="207"/>
      <c r="F178" s="207"/>
      <c r="G178" s="207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</row>
    <row r="179" spans="1:23" ht="26.25" customHeight="1">
      <c r="A179" s="198"/>
      <c r="B179" s="198"/>
      <c r="C179" s="207"/>
      <c r="D179" s="207"/>
      <c r="E179" s="207"/>
      <c r="F179" s="207"/>
      <c r="G179" s="207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</row>
    <row r="180" spans="1:23" ht="26.25" customHeight="1">
      <c r="A180" s="198"/>
      <c r="B180" s="198"/>
      <c r="C180" s="207"/>
      <c r="D180" s="207"/>
      <c r="E180" s="207"/>
      <c r="F180" s="207"/>
      <c r="G180" s="207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</row>
    <row r="181" spans="1:23" ht="26.25" customHeight="1">
      <c r="A181" s="198"/>
      <c r="B181" s="198"/>
      <c r="C181" s="207"/>
      <c r="D181" s="207"/>
      <c r="E181" s="207"/>
      <c r="F181" s="207"/>
      <c r="G181" s="207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</row>
    <row r="182" spans="1:23" ht="26.25" customHeight="1">
      <c r="A182" s="198"/>
      <c r="B182" s="198"/>
      <c r="C182" s="207"/>
      <c r="D182" s="207"/>
      <c r="E182" s="207"/>
      <c r="F182" s="207"/>
      <c r="G182" s="207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</row>
    <row r="183" spans="1:23" ht="26.25" customHeight="1">
      <c r="A183" s="198"/>
      <c r="B183" s="198"/>
      <c r="C183" s="207"/>
      <c r="D183" s="207"/>
      <c r="E183" s="207"/>
      <c r="F183" s="207"/>
      <c r="G183" s="207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</row>
    <row r="184" spans="1:23" ht="26.25" customHeight="1">
      <c r="A184" s="198"/>
      <c r="B184" s="198"/>
      <c r="C184" s="207"/>
      <c r="D184" s="207"/>
      <c r="E184" s="207"/>
      <c r="F184" s="207"/>
      <c r="G184" s="207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</row>
    <row r="185" spans="1:23" ht="26.25" customHeight="1">
      <c r="A185" s="198"/>
      <c r="B185" s="198"/>
      <c r="C185" s="207"/>
      <c r="D185" s="207"/>
      <c r="E185" s="207"/>
      <c r="F185" s="207"/>
      <c r="G185" s="207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</row>
    <row r="186" spans="1:23" ht="26.25" customHeight="1">
      <c r="A186" s="198"/>
      <c r="B186" s="198"/>
      <c r="C186" s="207"/>
      <c r="D186" s="207"/>
      <c r="E186" s="207"/>
      <c r="F186" s="207"/>
      <c r="G186" s="207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</row>
    <row r="187" spans="1:23" ht="26.25" customHeight="1">
      <c r="A187" s="198"/>
      <c r="B187" s="198"/>
      <c r="C187" s="207"/>
      <c r="D187" s="207"/>
      <c r="E187" s="207"/>
      <c r="F187" s="207"/>
      <c r="G187" s="207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</row>
    <row r="188" spans="1:23" ht="26.25" customHeight="1">
      <c r="A188" s="198"/>
      <c r="B188" s="198"/>
      <c r="C188" s="207"/>
      <c r="D188" s="207"/>
      <c r="E188" s="207"/>
      <c r="F188" s="207"/>
      <c r="G188" s="207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</row>
    <row r="189" spans="1:23" ht="26.25" customHeight="1">
      <c r="A189" s="198"/>
      <c r="B189" s="198"/>
      <c r="C189" s="207"/>
      <c r="D189" s="207"/>
      <c r="E189" s="207"/>
      <c r="F189" s="207"/>
      <c r="G189" s="207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</row>
    <row r="190" spans="1:23" ht="26.25" customHeight="1">
      <c r="A190" s="198"/>
      <c r="B190" s="198"/>
      <c r="C190" s="207"/>
      <c r="D190" s="207"/>
      <c r="E190" s="207"/>
      <c r="F190" s="207"/>
      <c r="G190" s="207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</row>
    <row r="191" spans="1:23" ht="26.25" customHeight="1">
      <c r="A191" s="198"/>
      <c r="B191" s="198"/>
      <c r="C191" s="207"/>
      <c r="D191" s="207"/>
      <c r="E191" s="207"/>
      <c r="F191" s="207"/>
      <c r="G191" s="207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</row>
    <row r="192" spans="1:23" ht="26.25" customHeight="1">
      <c r="A192" s="198"/>
      <c r="B192" s="198"/>
      <c r="C192" s="207"/>
      <c r="D192" s="207"/>
      <c r="E192" s="207"/>
      <c r="F192" s="207"/>
      <c r="G192" s="207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</row>
    <row r="193" spans="1:23" ht="26.25" customHeight="1">
      <c r="A193" s="198"/>
      <c r="B193" s="198"/>
      <c r="C193" s="207"/>
      <c r="D193" s="207"/>
      <c r="E193" s="207"/>
      <c r="F193" s="207"/>
      <c r="G193" s="207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</row>
    <row r="194" spans="1:23" ht="26.25" customHeight="1">
      <c r="A194" s="198"/>
      <c r="B194" s="198"/>
      <c r="C194" s="207"/>
      <c r="D194" s="207"/>
      <c r="E194" s="207"/>
      <c r="F194" s="207"/>
      <c r="G194" s="207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</row>
    <row r="195" spans="1:23" ht="26.25" customHeight="1">
      <c r="A195" s="198"/>
      <c r="B195" s="198"/>
      <c r="C195" s="207"/>
      <c r="D195" s="207"/>
      <c r="E195" s="207"/>
      <c r="F195" s="207"/>
      <c r="G195" s="207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</row>
    <row r="196" spans="1:23" ht="26.25" customHeight="1">
      <c r="A196" s="198"/>
      <c r="B196" s="198"/>
      <c r="C196" s="207"/>
      <c r="D196" s="207"/>
      <c r="E196" s="207"/>
      <c r="F196" s="207"/>
      <c r="G196" s="207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</row>
    <row r="197" spans="1:23" ht="26.25" customHeight="1">
      <c r="A197" s="198"/>
      <c r="B197" s="198"/>
      <c r="C197" s="207"/>
      <c r="D197" s="207"/>
      <c r="E197" s="207"/>
      <c r="F197" s="207"/>
      <c r="G197" s="207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</row>
    <row r="198" spans="1:23" ht="26.25" customHeight="1">
      <c r="A198" s="198"/>
      <c r="B198" s="198"/>
      <c r="C198" s="207"/>
      <c r="D198" s="207"/>
      <c r="E198" s="207"/>
      <c r="F198" s="207"/>
      <c r="G198" s="207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</row>
    <row r="199" spans="1:23" ht="26.25" customHeight="1">
      <c r="A199" s="198"/>
      <c r="B199" s="198"/>
      <c r="C199" s="207"/>
      <c r="D199" s="207"/>
      <c r="E199" s="207"/>
      <c r="F199" s="207"/>
      <c r="G199" s="207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</row>
    <row r="200" spans="1:23" ht="26.25" customHeight="1">
      <c r="A200" s="198"/>
      <c r="B200" s="198"/>
      <c r="C200" s="207"/>
      <c r="D200" s="207"/>
      <c r="E200" s="207"/>
      <c r="F200" s="207"/>
      <c r="G200" s="207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</row>
    <row r="201" spans="1:23" ht="26.25" customHeight="1">
      <c r="A201" s="198"/>
      <c r="B201" s="198"/>
      <c r="C201" s="207"/>
      <c r="D201" s="207"/>
      <c r="E201" s="207"/>
      <c r="F201" s="207"/>
      <c r="G201" s="207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</row>
    <row r="202" spans="1:23" ht="26.25" customHeight="1">
      <c r="A202" s="198"/>
      <c r="B202" s="198"/>
      <c r="C202" s="207"/>
      <c r="D202" s="207"/>
      <c r="E202" s="207"/>
      <c r="F202" s="207"/>
      <c r="G202" s="207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</row>
    <row r="203" spans="1:23" ht="26.25" customHeight="1">
      <c r="A203" s="198"/>
      <c r="B203" s="198"/>
      <c r="C203" s="207"/>
      <c r="D203" s="207"/>
      <c r="E203" s="207"/>
      <c r="F203" s="207"/>
      <c r="G203" s="207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</row>
    <row r="204" spans="1:23" ht="26.25" customHeight="1">
      <c r="A204" s="198"/>
      <c r="B204" s="198"/>
      <c r="C204" s="207"/>
      <c r="D204" s="207"/>
      <c r="E204" s="207"/>
      <c r="F204" s="207"/>
      <c r="G204" s="207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</row>
    <row r="205" spans="1:23" ht="26.25" customHeight="1">
      <c r="A205" s="198"/>
      <c r="B205" s="198"/>
      <c r="C205" s="207"/>
      <c r="D205" s="207"/>
      <c r="E205" s="207"/>
      <c r="F205" s="207"/>
      <c r="G205" s="207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</row>
    <row r="206" spans="1:23" ht="26.25" customHeight="1">
      <c r="A206" s="198"/>
      <c r="B206" s="198"/>
      <c r="C206" s="207"/>
      <c r="D206" s="207"/>
      <c r="E206" s="207"/>
      <c r="F206" s="207"/>
      <c r="G206" s="207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</row>
    <row r="207" spans="1:23" ht="26.25" customHeight="1">
      <c r="A207" s="198"/>
      <c r="B207" s="198"/>
      <c r="C207" s="207"/>
      <c r="D207" s="207"/>
      <c r="E207" s="207"/>
      <c r="F207" s="207"/>
      <c r="G207" s="207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</row>
    <row r="208" spans="1:23" ht="26.25" customHeight="1">
      <c r="A208" s="198"/>
      <c r="B208" s="198"/>
      <c r="C208" s="207"/>
      <c r="D208" s="207"/>
      <c r="E208" s="207"/>
      <c r="F208" s="207"/>
      <c r="G208" s="207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</row>
    <row r="209" spans="1:23" ht="26.25" customHeight="1">
      <c r="A209" s="198"/>
      <c r="B209" s="198"/>
      <c r="C209" s="207"/>
      <c r="D209" s="207"/>
      <c r="E209" s="207"/>
      <c r="F209" s="207"/>
      <c r="G209" s="207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</row>
    <row r="210" spans="1:23" ht="26.25" customHeight="1">
      <c r="A210" s="198"/>
      <c r="B210" s="198"/>
      <c r="C210" s="207"/>
      <c r="D210" s="207"/>
      <c r="E210" s="207"/>
      <c r="F210" s="207"/>
      <c r="G210" s="207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</row>
    <row r="211" spans="1:23" ht="26.25" customHeight="1">
      <c r="A211" s="198"/>
      <c r="B211" s="198"/>
      <c r="C211" s="207"/>
      <c r="D211" s="207"/>
      <c r="E211" s="207"/>
      <c r="F211" s="207"/>
      <c r="G211" s="207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</row>
    <row r="212" spans="1:23" ht="26.25" customHeight="1">
      <c r="A212" s="198"/>
      <c r="B212" s="198"/>
      <c r="C212" s="207"/>
      <c r="D212" s="207"/>
      <c r="E212" s="207"/>
      <c r="F212" s="207"/>
      <c r="G212" s="207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</row>
    <row r="213" spans="1:23" ht="26.25" customHeight="1">
      <c r="A213" s="198"/>
      <c r="B213" s="198"/>
      <c r="C213" s="207"/>
      <c r="D213" s="207"/>
      <c r="E213" s="207"/>
      <c r="F213" s="207"/>
      <c r="G213" s="207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</row>
    <row r="214" spans="1:23" ht="26.25" customHeight="1">
      <c r="A214" s="198"/>
      <c r="B214" s="198"/>
      <c r="C214" s="207"/>
      <c r="D214" s="207"/>
      <c r="E214" s="207"/>
      <c r="F214" s="207"/>
      <c r="G214" s="207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</row>
    <row r="215" spans="1:23" ht="26.25" customHeight="1">
      <c r="A215" s="198"/>
      <c r="B215" s="198"/>
      <c r="C215" s="207"/>
      <c r="D215" s="207"/>
      <c r="E215" s="207"/>
      <c r="F215" s="207"/>
      <c r="G215" s="207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</row>
    <row r="216" spans="1:23" ht="26.25" customHeight="1">
      <c r="A216" s="198"/>
      <c r="B216" s="198"/>
      <c r="C216" s="207"/>
      <c r="D216" s="207"/>
      <c r="E216" s="207"/>
      <c r="F216" s="207"/>
      <c r="G216" s="207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</row>
    <row r="217" spans="1:23" ht="26.25" customHeight="1">
      <c r="A217" s="198"/>
      <c r="B217" s="198"/>
      <c r="C217" s="207"/>
      <c r="D217" s="207"/>
      <c r="E217" s="207"/>
      <c r="F217" s="207"/>
      <c r="G217" s="207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</row>
    <row r="218" spans="1:23" ht="26.25" customHeight="1">
      <c r="A218" s="198"/>
      <c r="B218" s="198"/>
      <c r="C218" s="207"/>
      <c r="D218" s="207"/>
      <c r="E218" s="207"/>
      <c r="F218" s="207"/>
      <c r="G218" s="207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</row>
    <row r="219" spans="1:23" ht="26.25" customHeight="1">
      <c r="A219" s="198"/>
      <c r="B219" s="198"/>
      <c r="C219" s="207"/>
      <c r="D219" s="207"/>
      <c r="E219" s="207"/>
      <c r="F219" s="207"/>
      <c r="G219" s="207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</row>
    <row r="220" spans="1:23" ht="26.25" customHeight="1">
      <c r="A220" s="198"/>
      <c r="B220" s="198"/>
      <c r="C220" s="207"/>
      <c r="D220" s="207"/>
      <c r="E220" s="207"/>
      <c r="F220" s="207"/>
      <c r="G220" s="207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</row>
    <row r="221" spans="1:23" ht="26.25" customHeight="1">
      <c r="A221" s="198"/>
      <c r="B221" s="198"/>
      <c r="C221" s="207"/>
      <c r="D221" s="207"/>
      <c r="E221" s="207"/>
      <c r="F221" s="207"/>
      <c r="G221" s="207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</row>
    <row r="222" spans="1:23" ht="26.25" customHeight="1">
      <c r="A222" s="198"/>
      <c r="B222" s="198"/>
      <c r="C222" s="207"/>
      <c r="D222" s="207"/>
      <c r="E222" s="207"/>
      <c r="F222" s="207"/>
      <c r="G222" s="207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</row>
    <row r="223" spans="1:23" ht="26.25" customHeight="1">
      <c r="A223" s="198"/>
      <c r="B223" s="198"/>
      <c r="C223" s="207"/>
      <c r="D223" s="207"/>
      <c r="E223" s="207"/>
      <c r="F223" s="207"/>
      <c r="G223" s="207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</row>
    <row r="224" spans="1:23" ht="26.25" customHeight="1">
      <c r="A224" s="198"/>
      <c r="B224" s="198"/>
      <c r="C224" s="207"/>
      <c r="D224" s="207"/>
      <c r="E224" s="207"/>
      <c r="F224" s="207"/>
      <c r="G224" s="207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</row>
    <row r="225" spans="1:23" ht="26.25" customHeight="1">
      <c r="A225" s="198"/>
      <c r="B225" s="198"/>
      <c r="C225" s="207"/>
      <c r="D225" s="207"/>
      <c r="E225" s="207"/>
      <c r="F225" s="207"/>
      <c r="G225" s="207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</row>
    <row r="226" spans="1:23" ht="26.25" customHeight="1">
      <c r="A226" s="198"/>
      <c r="B226" s="198"/>
      <c r="C226" s="207"/>
      <c r="D226" s="207"/>
      <c r="E226" s="207"/>
      <c r="F226" s="207"/>
      <c r="G226" s="207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</row>
    <row r="227" spans="1:23" ht="26.25" customHeight="1">
      <c r="A227" s="198"/>
      <c r="B227" s="198"/>
      <c r="C227" s="207"/>
      <c r="D227" s="207"/>
      <c r="E227" s="207"/>
      <c r="F227" s="207"/>
      <c r="G227" s="207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</row>
    <row r="228" spans="1:23" ht="26.25" customHeight="1">
      <c r="A228" s="198"/>
      <c r="B228" s="198"/>
      <c r="C228" s="207"/>
      <c r="D228" s="207"/>
      <c r="E228" s="207"/>
      <c r="F228" s="207"/>
      <c r="G228" s="207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</row>
    <row r="229" spans="1:23" ht="26.25" customHeight="1">
      <c r="A229" s="198"/>
      <c r="B229" s="198"/>
      <c r="C229" s="207"/>
      <c r="D229" s="207"/>
      <c r="E229" s="207"/>
      <c r="F229" s="207"/>
      <c r="G229" s="207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</row>
    <row r="230" spans="1:23" ht="26.25" customHeight="1">
      <c r="A230" s="198"/>
      <c r="B230" s="198"/>
      <c r="C230" s="207"/>
      <c r="D230" s="207"/>
      <c r="E230" s="207"/>
      <c r="F230" s="207"/>
      <c r="G230" s="207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</row>
    <row r="231" spans="1:23" ht="26.25" customHeight="1">
      <c r="A231" s="198"/>
      <c r="B231" s="198"/>
      <c r="C231" s="207"/>
      <c r="D231" s="207"/>
      <c r="E231" s="207"/>
      <c r="F231" s="207"/>
      <c r="G231" s="207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</row>
    <row r="232" spans="1:23" ht="26.25" customHeight="1">
      <c r="A232" s="198"/>
      <c r="B232" s="198"/>
      <c r="C232" s="207"/>
      <c r="D232" s="207"/>
      <c r="E232" s="207"/>
      <c r="F232" s="207"/>
      <c r="G232" s="207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</row>
    <row r="233" spans="1:23" ht="26.25" customHeight="1">
      <c r="A233" s="198"/>
      <c r="B233" s="198"/>
      <c r="C233" s="207"/>
      <c r="D233" s="207"/>
      <c r="E233" s="207"/>
      <c r="F233" s="207"/>
      <c r="G233" s="207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</row>
    <row r="234" spans="1:23" ht="26.25" customHeight="1">
      <c r="A234" s="198"/>
      <c r="B234" s="198"/>
      <c r="C234" s="207"/>
      <c r="D234" s="207"/>
      <c r="E234" s="207"/>
      <c r="F234" s="207"/>
      <c r="G234" s="207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</row>
    <row r="235" spans="1:23" ht="26.25" customHeight="1">
      <c r="A235" s="198"/>
      <c r="B235" s="198"/>
      <c r="C235" s="207"/>
      <c r="D235" s="207"/>
      <c r="E235" s="207"/>
      <c r="F235" s="207"/>
      <c r="G235" s="207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</row>
    <row r="236" spans="1:23" ht="26.25" customHeight="1">
      <c r="A236" s="198"/>
      <c r="B236" s="198"/>
      <c r="C236" s="207"/>
      <c r="D236" s="207"/>
      <c r="E236" s="207"/>
      <c r="F236" s="207"/>
      <c r="G236" s="207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</row>
    <row r="237" spans="1:23" ht="26.25" customHeight="1">
      <c r="A237" s="198"/>
      <c r="B237" s="198"/>
      <c r="C237" s="207"/>
      <c r="D237" s="207"/>
      <c r="E237" s="207"/>
      <c r="F237" s="207"/>
      <c r="G237" s="207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</row>
    <row r="238" spans="1:23" ht="26.25" customHeight="1">
      <c r="A238" s="198"/>
      <c r="B238" s="198"/>
      <c r="C238" s="207"/>
      <c r="D238" s="207"/>
      <c r="E238" s="207"/>
      <c r="F238" s="207"/>
      <c r="G238" s="207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</row>
    <row r="239" spans="1:23" ht="26.25" customHeight="1">
      <c r="A239" s="198"/>
      <c r="B239" s="198"/>
      <c r="C239" s="207"/>
      <c r="D239" s="207"/>
      <c r="E239" s="207"/>
      <c r="F239" s="207"/>
      <c r="G239" s="207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</row>
    <row r="240" spans="1:23" ht="26.25" customHeight="1">
      <c r="A240" s="198"/>
      <c r="B240" s="198"/>
      <c r="C240" s="207"/>
      <c r="D240" s="207"/>
      <c r="E240" s="207"/>
      <c r="F240" s="207"/>
      <c r="G240" s="207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</row>
    <row r="241" spans="1:23" ht="26.25" customHeight="1">
      <c r="A241" s="198"/>
      <c r="B241" s="198"/>
      <c r="C241" s="207"/>
      <c r="D241" s="207"/>
      <c r="E241" s="207"/>
      <c r="F241" s="207"/>
      <c r="G241" s="207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</row>
    <row r="242" spans="1:23" ht="26.25" customHeight="1">
      <c r="A242" s="198"/>
      <c r="B242" s="198"/>
      <c r="C242" s="207"/>
      <c r="D242" s="207"/>
      <c r="E242" s="207"/>
      <c r="F242" s="207"/>
      <c r="G242" s="207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</row>
    <row r="243" spans="1:23" ht="26.25" customHeight="1">
      <c r="A243" s="208"/>
      <c r="B243" s="208"/>
      <c r="C243" s="207"/>
      <c r="D243" s="207"/>
      <c r="E243" s="207"/>
      <c r="F243" s="207"/>
      <c r="G243" s="207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</row>
    <row r="244" spans="1:23" ht="26.25" customHeight="1">
      <c r="A244" s="208"/>
      <c r="B244" s="208"/>
      <c r="C244" s="207"/>
      <c r="D244" s="207"/>
      <c r="E244" s="207"/>
      <c r="F244" s="207"/>
      <c r="G244" s="207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</row>
    <row r="245" spans="1:23" ht="26.25" customHeight="1">
      <c r="A245" s="208"/>
      <c r="B245" s="208"/>
      <c r="C245" s="207"/>
      <c r="D245" s="207"/>
      <c r="E245" s="207"/>
      <c r="F245" s="207"/>
      <c r="G245" s="207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</row>
    <row r="246" spans="1:23" ht="26.25" customHeight="1">
      <c r="A246" s="208"/>
      <c r="B246" s="208"/>
      <c r="C246" s="207"/>
      <c r="D246" s="207"/>
      <c r="E246" s="207"/>
      <c r="F246" s="207"/>
      <c r="G246" s="207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</row>
    <row r="247" spans="1:23" ht="26.25" customHeight="1">
      <c r="A247" s="208"/>
      <c r="B247" s="208"/>
      <c r="C247" s="207"/>
      <c r="D247" s="207"/>
      <c r="E247" s="207"/>
      <c r="F247" s="207"/>
      <c r="G247" s="207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</row>
    <row r="248" spans="1:23" ht="26.25" customHeight="1">
      <c r="A248" s="208"/>
      <c r="B248" s="208"/>
      <c r="C248" s="207"/>
      <c r="D248" s="207"/>
      <c r="E248" s="207"/>
      <c r="F248" s="207"/>
      <c r="G248" s="207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</row>
    <row r="249" spans="1:23" ht="26.25" customHeight="1">
      <c r="A249" s="208"/>
      <c r="B249" s="208"/>
      <c r="C249" s="207"/>
      <c r="D249" s="207"/>
      <c r="E249" s="207"/>
      <c r="F249" s="207"/>
      <c r="G249" s="207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</row>
    <row r="250" spans="1:23" ht="26.25" customHeight="1">
      <c r="A250" s="208"/>
      <c r="B250" s="208"/>
      <c r="C250" s="207"/>
      <c r="D250" s="207"/>
      <c r="E250" s="207"/>
      <c r="F250" s="207"/>
      <c r="G250" s="207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</row>
    <row r="251" spans="1:23" ht="26.25" customHeight="1">
      <c r="A251" s="208"/>
      <c r="B251" s="208"/>
      <c r="C251" s="207"/>
      <c r="D251" s="207"/>
      <c r="E251" s="207"/>
      <c r="F251" s="207"/>
      <c r="G251" s="207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</row>
    <row r="252" spans="1:23" ht="26.25" customHeight="1">
      <c r="A252" s="208"/>
      <c r="B252" s="208"/>
      <c r="C252" s="207"/>
      <c r="D252" s="207"/>
      <c r="E252" s="207"/>
      <c r="F252" s="207"/>
      <c r="G252" s="207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</row>
    <row r="253" spans="1:23" ht="26.25" customHeight="1">
      <c r="A253" s="208"/>
      <c r="B253" s="208"/>
      <c r="C253" s="207"/>
      <c r="D253" s="207"/>
      <c r="E253" s="207"/>
      <c r="F253" s="207"/>
      <c r="G253" s="207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</row>
    <row r="254" spans="1:23" ht="26.25" customHeight="1">
      <c r="A254" s="208"/>
      <c r="B254" s="208"/>
      <c r="C254" s="207"/>
      <c r="D254" s="207"/>
      <c r="E254" s="207"/>
      <c r="F254" s="207"/>
      <c r="G254" s="207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</row>
    <row r="255" spans="1:23" ht="26.25" customHeight="1">
      <c r="A255" s="208"/>
      <c r="B255" s="208"/>
      <c r="C255" s="207"/>
      <c r="D255" s="207"/>
      <c r="E255" s="207"/>
      <c r="F255" s="207"/>
      <c r="G255" s="207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</row>
    <row r="256" spans="1:23" ht="26.25" customHeight="1">
      <c r="A256" s="208"/>
      <c r="B256" s="208"/>
      <c r="C256" s="207"/>
      <c r="D256" s="207"/>
      <c r="E256" s="207"/>
      <c r="F256" s="207"/>
      <c r="G256" s="207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</row>
    <row r="257" spans="1:23" ht="26.25" customHeight="1">
      <c r="A257" s="208"/>
      <c r="B257" s="208"/>
      <c r="C257" s="207"/>
      <c r="D257" s="207"/>
      <c r="E257" s="207"/>
      <c r="F257" s="207"/>
      <c r="G257" s="207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</row>
    <row r="258" spans="1:23" ht="26.25" customHeight="1">
      <c r="A258" s="208"/>
      <c r="B258" s="208"/>
      <c r="C258" s="207"/>
      <c r="D258" s="207"/>
      <c r="E258" s="207"/>
      <c r="F258" s="207"/>
      <c r="G258" s="207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</row>
    <row r="259" spans="1:23" ht="26.25" customHeight="1">
      <c r="A259" s="208"/>
      <c r="B259" s="208"/>
      <c r="C259" s="207"/>
      <c r="D259" s="207"/>
      <c r="E259" s="207"/>
      <c r="F259" s="207"/>
      <c r="G259" s="207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</row>
    <row r="260" spans="1:23" ht="26.25" customHeight="1">
      <c r="A260" s="208"/>
      <c r="B260" s="208"/>
      <c r="C260" s="207"/>
      <c r="D260" s="207"/>
      <c r="E260" s="207"/>
      <c r="F260" s="207"/>
      <c r="G260" s="207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</row>
    <row r="261" spans="1:23" ht="26.25" customHeight="1">
      <c r="A261" s="208"/>
      <c r="B261" s="208"/>
      <c r="C261" s="207"/>
      <c r="D261" s="207"/>
      <c r="E261" s="207"/>
      <c r="F261" s="207"/>
      <c r="G261" s="207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</row>
    <row r="262" spans="1:23" ht="26.25" customHeight="1">
      <c r="A262" s="208"/>
      <c r="B262" s="208"/>
      <c r="C262" s="207"/>
      <c r="D262" s="207"/>
      <c r="E262" s="207"/>
      <c r="F262" s="207"/>
      <c r="G262" s="207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</row>
    <row r="263" spans="1:23" ht="26.25" customHeight="1">
      <c r="A263" s="208"/>
      <c r="B263" s="208"/>
      <c r="C263" s="207"/>
      <c r="D263" s="207"/>
      <c r="E263" s="207"/>
      <c r="F263" s="207"/>
      <c r="G263" s="207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</row>
    <row r="264" spans="1:23" ht="26.25" customHeight="1">
      <c r="A264" s="208"/>
      <c r="B264" s="208"/>
      <c r="C264" s="207"/>
      <c r="D264" s="207"/>
      <c r="E264" s="207"/>
      <c r="F264" s="207"/>
      <c r="G264" s="207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</row>
    <row r="265" spans="1:23" ht="26.25" customHeight="1">
      <c r="A265" s="208"/>
      <c r="B265" s="208"/>
      <c r="C265" s="207"/>
      <c r="D265" s="207"/>
      <c r="E265" s="207"/>
      <c r="F265" s="207"/>
      <c r="G265" s="207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</row>
    <row r="266" spans="1:23" ht="26.25" customHeight="1">
      <c r="A266" s="208"/>
      <c r="B266" s="208"/>
      <c r="C266" s="207"/>
      <c r="D266" s="207"/>
      <c r="E266" s="207"/>
      <c r="F266" s="207"/>
      <c r="G266" s="207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</row>
    <row r="267" spans="1:23" ht="26.25" customHeight="1">
      <c r="A267" s="208"/>
      <c r="B267" s="208"/>
      <c r="C267" s="207"/>
      <c r="D267" s="207"/>
      <c r="E267" s="207"/>
      <c r="F267" s="207"/>
      <c r="G267" s="207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</row>
    <row r="268" spans="1:23" ht="26.25" customHeight="1">
      <c r="A268" s="208"/>
      <c r="B268" s="208"/>
      <c r="C268" s="207"/>
      <c r="D268" s="207"/>
      <c r="E268" s="207"/>
      <c r="F268" s="207"/>
      <c r="G268" s="207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</row>
    <row r="269" spans="1:23" ht="26.25" customHeight="1">
      <c r="A269" s="208"/>
      <c r="B269" s="208"/>
      <c r="C269" s="207"/>
      <c r="D269" s="207"/>
      <c r="E269" s="207"/>
      <c r="F269" s="207"/>
      <c r="G269" s="207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</row>
    <row r="270" spans="1:23" ht="26.25" customHeight="1">
      <c r="A270" s="208"/>
      <c r="B270" s="208"/>
      <c r="C270" s="207"/>
      <c r="D270" s="207"/>
      <c r="E270" s="207"/>
      <c r="F270" s="207"/>
      <c r="G270" s="207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</row>
    <row r="271" spans="1:23" ht="26.25" customHeight="1">
      <c r="A271" s="208"/>
      <c r="B271" s="208"/>
      <c r="C271" s="207"/>
      <c r="D271" s="207"/>
      <c r="E271" s="207"/>
      <c r="F271" s="207"/>
      <c r="G271" s="207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</row>
    <row r="272" spans="1:23" ht="26.25" customHeight="1">
      <c r="A272" s="208"/>
      <c r="B272" s="208"/>
      <c r="C272" s="207"/>
      <c r="D272" s="207"/>
      <c r="E272" s="207"/>
      <c r="F272" s="207"/>
      <c r="G272" s="207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</row>
    <row r="273" spans="1:23" ht="26.25" customHeight="1">
      <c r="A273" s="208"/>
      <c r="B273" s="208"/>
      <c r="C273" s="207"/>
      <c r="D273" s="207"/>
      <c r="E273" s="207"/>
      <c r="F273" s="207"/>
      <c r="G273" s="207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</row>
    <row r="274" spans="1:23" ht="26.25" customHeight="1">
      <c r="A274" s="208"/>
      <c r="B274" s="208"/>
      <c r="C274" s="207"/>
      <c r="D274" s="207"/>
      <c r="E274" s="207"/>
      <c r="F274" s="207"/>
      <c r="G274" s="207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</row>
    <row r="275" spans="1:23" ht="26.25" customHeight="1">
      <c r="A275" s="208"/>
      <c r="B275" s="208"/>
      <c r="C275" s="207"/>
      <c r="D275" s="207"/>
      <c r="E275" s="207"/>
      <c r="F275" s="207"/>
      <c r="G275" s="207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</row>
    <row r="276" spans="1:23" ht="26.25" customHeight="1">
      <c r="A276" s="208"/>
      <c r="B276" s="208"/>
      <c r="C276" s="207"/>
      <c r="D276" s="207"/>
      <c r="E276" s="207"/>
      <c r="F276" s="207"/>
      <c r="G276" s="207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</row>
    <row r="277" spans="1:23" ht="26.25" customHeight="1">
      <c r="A277" s="208"/>
      <c r="B277" s="208"/>
      <c r="C277" s="207"/>
      <c r="D277" s="207"/>
      <c r="E277" s="207"/>
      <c r="F277" s="207"/>
      <c r="G277" s="207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</row>
    <row r="278" spans="1:23" ht="26.25" customHeight="1">
      <c r="A278" s="208"/>
      <c r="B278" s="208"/>
      <c r="C278" s="207"/>
      <c r="D278" s="207"/>
      <c r="E278" s="207"/>
      <c r="F278" s="207"/>
      <c r="G278" s="207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</row>
    <row r="279" spans="1:23" ht="26.25" customHeight="1">
      <c r="A279" s="208"/>
      <c r="B279" s="208"/>
      <c r="C279" s="207"/>
      <c r="D279" s="207"/>
      <c r="E279" s="207"/>
      <c r="F279" s="207"/>
      <c r="G279" s="207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</row>
    <row r="280" spans="1:23" ht="26.25" customHeight="1">
      <c r="A280" s="208"/>
      <c r="B280" s="208"/>
      <c r="C280" s="207"/>
      <c r="D280" s="207"/>
      <c r="E280" s="207"/>
      <c r="F280" s="207"/>
      <c r="G280" s="207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</row>
    <row r="281" spans="1:23" ht="26.25" customHeight="1">
      <c r="A281" s="208"/>
      <c r="B281" s="208"/>
      <c r="C281" s="207"/>
      <c r="D281" s="207"/>
      <c r="E281" s="207"/>
      <c r="F281" s="207"/>
      <c r="G281" s="207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</row>
    <row r="282" spans="1:23" ht="26.25" customHeight="1">
      <c r="A282" s="208"/>
      <c r="B282" s="208"/>
      <c r="C282" s="207"/>
      <c r="D282" s="207"/>
      <c r="E282" s="207"/>
      <c r="F282" s="207"/>
      <c r="G282" s="207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</row>
    <row r="283" spans="1:23" ht="26.25" customHeight="1">
      <c r="A283" s="208"/>
      <c r="B283" s="208"/>
      <c r="C283" s="207"/>
      <c r="D283" s="207"/>
      <c r="E283" s="207"/>
      <c r="F283" s="207"/>
      <c r="G283" s="207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</row>
    <row r="284" spans="1:23" ht="26.25" customHeight="1">
      <c r="A284" s="208"/>
      <c r="B284" s="208"/>
      <c r="C284" s="207"/>
      <c r="D284" s="207"/>
      <c r="E284" s="207"/>
      <c r="F284" s="207"/>
      <c r="G284" s="207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</row>
    <row r="285" spans="1:23" ht="26.25" customHeight="1">
      <c r="A285" s="208"/>
      <c r="B285" s="208"/>
      <c r="C285" s="207"/>
      <c r="D285" s="207"/>
      <c r="E285" s="207"/>
      <c r="F285" s="207"/>
      <c r="G285" s="207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</row>
    <row r="286" spans="1:23" ht="26.25" customHeight="1">
      <c r="A286" s="208"/>
      <c r="B286" s="208"/>
      <c r="C286" s="207"/>
      <c r="D286" s="207"/>
      <c r="E286" s="207"/>
      <c r="F286" s="207"/>
      <c r="G286" s="207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</row>
    <row r="287" spans="1:23" ht="26.25" customHeight="1">
      <c r="A287" s="208"/>
      <c r="B287" s="208"/>
      <c r="C287" s="207"/>
      <c r="D287" s="207"/>
      <c r="E287" s="207"/>
      <c r="F287" s="207"/>
      <c r="G287" s="207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</row>
    <row r="288" spans="1:23" ht="26.25" customHeight="1">
      <c r="A288" s="208"/>
      <c r="B288" s="208"/>
      <c r="C288" s="207"/>
      <c r="D288" s="207"/>
      <c r="E288" s="207"/>
      <c r="F288" s="207"/>
      <c r="G288" s="207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</row>
    <row r="289" spans="1:23" ht="26.25" customHeight="1">
      <c r="A289" s="208"/>
      <c r="B289" s="208"/>
      <c r="C289" s="207"/>
      <c r="D289" s="207"/>
      <c r="E289" s="207"/>
      <c r="F289" s="207"/>
      <c r="G289" s="207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</row>
    <row r="290" spans="1:23" ht="26.25" customHeight="1">
      <c r="A290" s="208"/>
      <c r="B290" s="208"/>
      <c r="C290" s="207"/>
      <c r="D290" s="207"/>
      <c r="E290" s="207"/>
      <c r="F290" s="207"/>
      <c r="G290" s="207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</row>
    <row r="291" spans="1:23" ht="26.25" customHeight="1">
      <c r="A291" s="208"/>
      <c r="B291" s="208"/>
      <c r="C291" s="207"/>
      <c r="D291" s="207"/>
      <c r="E291" s="207"/>
      <c r="F291" s="207"/>
      <c r="G291" s="207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</row>
    <row r="292" spans="1:23" ht="26.25" customHeight="1">
      <c r="A292" s="208"/>
      <c r="B292" s="208"/>
      <c r="C292" s="207"/>
      <c r="D292" s="207"/>
      <c r="E292" s="207"/>
      <c r="F292" s="207"/>
      <c r="G292" s="207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</row>
    <row r="293" spans="1:23" ht="26.25" customHeight="1">
      <c r="A293" s="208"/>
      <c r="B293" s="208"/>
      <c r="C293" s="207"/>
      <c r="D293" s="207"/>
      <c r="E293" s="207"/>
      <c r="F293" s="207"/>
      <c r="G293" s="207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</row>
    <row r="294" spans="1:23" ht="26.25" customHeight="1">
      <c r="A294" s="208"/>
      <c r="B294" s="208"/>
      <c r="C294" s="207"/>
      <c r="D294" s="207"/>
      <c r="E294" s="207"/>
      <c r="F294" s="207"/>
      <c r="G294" s="207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</row>
    <row r="295" spans="1:23" ht="26.25" customHeight="1">
      <c r="A295" s="208"/>
      <c r="B295" s="208"/>
      <c r="C295" s="207"/>
      <c r="D295" s="207"/>
      <c r="E295" s="207"/>
      <c r="F295" s="207"/>
      <c r="G295" s="207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</row>
    <row r="296" spans="1:23" ht="26.25" customHeight="1">
      <c r="A296" s="208"/>
      <c r="B296" s="208"/>
      <c r="C296" s="207"/>
      <c r="D296" s="207"/>
      <c r="E296" s="207"/>
      <c r="F296" s="207"/>
      <c r="G296" s="207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</row>
    <row r="297" spans="1:23" ht="26.25" customHeight="1">
      <c r="A297" s="208"/>
      <c r="B297" s="208"/>
      <c r="C297" s="207"/>
      <c r="D297" s="207"/>
      <c r="E297" s="207"/>
      <c r="F297" s="207"/>
      <c r="G297" s="207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</row>
    <row r="298" spans="1:23" ht="26.25" customHeight="1">
      <c r="A298" s="208"/>
      <c r="B298" s="208"/>
      <c r="C298" s="207"/>
      <c r="D298" s="207"/>
      <c r="E298" s="207"/>
      <c r="F298" s="207"/>
      <c r="G298" s="207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</row>
    <row r="299" spans="1:23" ht="26.25" customHeight="1">
      <c r="A299" s="208"/>
      <c r="B299" s="208"/>
      <c r="C299" s="207"/>
      <c r="D299" s="207"/>
      <c r="E299" s="207"/>
      <c r="F299" s="207"/>
      <c r="G299" s="207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</row>
    <row r="300" spans="1:23" ht="26.25" customHeight="1">
      <c r="A300" s="208"/>
      <c r="B300" s="208"/>
      <c r="C300" s="207"/>
      <c r="D300" s="207"/>
      <c r="E300" s="207"/>
      <c r="F300" s="207"/>
      <c r="G300" s="207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</row>
    <row r="301" spans="1:23" ht="26.25" customHeight="1">
      <c r="A301" s="208"/>
      <c r="B301" s="208"/>
      <c r="C301" s="207"/>
      <c r="D301" s="207"/>
      <c r="E301" s="207"/>
      <c r="F301" s="207"/>
      <c r="G301" s="207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</row>
    <row r="302" spans="1:23" ht="26.25" customHeight="1">
      <c r="A302" s="208"/>
      <c r="B302" s="208"/>
      <c r="C302" s="207"/>
      <c r="D302" s="207"/>
      <c r="E302" s="207"/>
      <c r="F302" s="207"/>
      <c r="G302" s="207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</row>
    <row r="303" spans="1:23" ht="26.25" customHeight="1">
      <c r="A303" s="208"/>
      <c r="B303" s="208"/>
      <c r="C303" s="207"/>
      <c r="D303" s="207"/>
      <c r="E303" s="207"/>
      <c r="F303" s="207"/>
      <c r="G303" s="207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</row>
    <row r="304" spans="1:23" ht="26.25" customHeight="1">
      <c r="A304" s="208"/>
      <c r="B304" s="208"/>
      <c r="C304" s="207"/>
      <c r="D304" s="207"/>
      <c r="E304" s="207"/>
      <c r="F304" s="207"/>
      <c r="G304" s="207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</row>
    <row r="305" spans="1:23" ht="26.25" customHeight="1">
      <c r="A305" s="208"/>
      <c r="B305" s="208"/>
      <c r="C305" s="207"/>
      <c r="D305" s="207"/>
      <c r="E305" s="207"/>
      <c r="F305" s="207"/>
      <c r="G305" s="207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</row>
    <row r="306" spans="1:23" ht="26.25" customHeight="1">
      <c r="A306" s="208"/>
      <c r="B306" s="208"/>
      <c r="C306" s="207"/>
      <c r="D306" s="207"/>
      <c r="E306" s="207"/>
      <c r="F306" s="207"/>
      <c r="G306" s="207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</row>
    <row r="307" spans="1:23" ht="26.25" customHeight="1">
      <c r="A307" s="208"/>
      <c r="B307" s="208"/>
      <c r="C307" s="207"/>
      <c r="D307" s="207"/>
      <c r="E307" s="207"/>
      <c r="F307" s="207"/>
      <c r="G307" s="207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</row>
    <row r="308" spans="1:23" ht="26.25" customHeight="1">
      <c r="A308" s="208"/>
      <c r="B308" s="208"/>
      <c r="C308" s="207"/>
      <c r="D308" s="207"/>
      <c r="E308" s="207"/>
      <c r="F308" s="207"/>
      <c r="G308" s="207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</row>
    <row r="309" spans="1:23" ht="26.25" customHeight="1">
      <c r="A309" s="208"/>
      <c r="B309" s="208"/>
      <c r="C309" s="207"/>
      <c r="D309" s="207"/>
      <c r="E309" s="207"/>
      <c r="F309" s="207"/>
      <c r="G309" s="207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</row>
    <row r="310" spans="1:23" ht="26.25" customHeight="1">
      <c r="A310" s="208"/>
      <c r="B310" s="208"/>
      <c r="C310" s="207"/>
      <c r="D310" s="207"/>
      <c r="E310" s="207"/>
      <c r="F310" s="207"/>
      <c r="G310" s="207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</row>
    <row r="311" spans="1:23" ht="26.25" customHeight="1">
      <c r="A311" s="208"/>
      <c r="B311" s="208"/>
      <c r="C311" s="207"/>
      <c r="D311" s="207"/>
      <c r="E311" s="207"/>
      <c r="F311" s="207"/>
      <c r="G311" s="207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</row>
    <row r="312" spans="1:23" ht="26.25" customHeight="1">
      <c r="A312" s="208"/>
      <c r="B312" s="208"/>
      <c r="C312" s="207"/>
      <c r="D312" s="207"/>
      <c r="E312" s="207"/>
      <c r="F312" s="207"/>
      <c r="G312" s="207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</row>
    <row r="313" spans="1:23" ht="26.25" customHeight="1">
      <c r="A313" s="208"/>
      <c r="B313" s="208"/>
      <c r="C313" s="207"/>
      <c r="D313" s="207"/>
      <c r="E313" s="207"/>
      <c r="F313" s="207"/>
      <c r="G313" s="207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</row>
    <row r="314" spans="1:23" ht="26.25" customHeight="1">
      <c r="A314" s="208"/>
      <c r="B314" s="208"/>
      <c r="C314" s="207"/>
      <c r="D314" s="207"/>
      <c r="E314" s="207"/>
      <c r="F314" s="207"/>
      <c r="G314" s="207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</row>
    <row r="315" spans="1:23" ht="26.25" customHeight="1">
      <c r="A315" s="208"/>
      <c r="B315" s="208"/>
      <c r="C315" s="207"/>
      <c r="D315" s="207"/>
      <c r="E315" s="207"/>
      <c r="F315" s="207"/>
      <c r="G315" s="207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</row>
    <row r="316" spans="1:23" ht="26.25" customHeight="1">
      <c r="A316" s="208"/>
      <c r="B316" s="208"/>
      <c r="C316" s="207"/>
      <c r="D316" s="207"/>
      <c r="E316" s="207"/>
      <c r="F316" s="207"/>
      <c r="G316" s="207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</row>
    <row r="317" spans="1:23" ht="26.25" customHeight="1">
      <c r="A317" s="208"/>
      <c r="B317" s="208"/>
      <c r="C317" s="207"/>
      <c r="D317" s="207"/>
      <c r="E317" s="207"/>
      <c r="F317" s="207"/>
      <c r="G317" s="207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</row>
    <row r="318" spans="1:23" ht="26.25" customHeight="1">
      <c r="A318" s="208"/>
      <c r="B318" s="208"/>
      <c r="C318" s="207"/>
      <c r="D318" s="207"/>
      <c r="E318" s="207"/>
      <c r="F318" s="207"/>
      <c r="G318" s="207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</row>
    <row r="319" spans="1:23" ht="26.25" customHeight="1">
      <c r="A319" s="208"/>
      <c r="B319" s="208"/>
      <c r="C319" s="207"/>
      <c r="D319" s="207"/>
      <c r="E319" s="207"/>
      <c r="F319" s="207"/>
      <c r="G319" s="207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</row>
    <row r="320" spans="1:23" ht="26.25" customHeight="1">
      <c r="A320" s="208"/>
      <c r="B320" s="208"/>
      <c r="C320" s="207"/>
      <c r="D320" s="207"/>
      <c r="E320" s="207"/>
      <c r="F320" s="207"/>
      <c r="G320" s="207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</row>
    <row r="321" spans="1:23" ht="26.25" customHeight="1">
      <c r="A321" s="208"/>
      <c r="B321" s="208"/>
      <c r="C321" s="207"/>
      <c r="D321" s="207"/>
      <c r="E321" s="207"/>
      <c r="F321" s="207"/>
      <c r="G321" s="207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</row>
    <row r="322" spans="1:23" ht="26.25" customHeight="1">
      <c r="A322" s="208"/>
      <c r="B322" s="208"/>
      <c r="C322" s="207"/>
      <c r="D322" s="207"/>
      <c r="E322" s="207"/>
      <c r="F322" s="207"/>
      <c r="G322" s="207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</row>
    <row r="323" spans="1:23" ht="26.25" customHeight="1">
      <c r="A323" s="208"/>
      <c r="B323" s="208"/>
      <c r="C323" s="207"/>
      <c r="D323" s="207"/>
      <c r="E323" s="207"/>
      <c r="F323" s="207"/>
      <c r="G323" s="207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</row>
    <row r="324" spans="1:23" ht="26.25" customHeight="1">
      <c r="A324" s="208"/>
      <c r="B324" s="208"/>
      <c r="C324" s="207"/>
      <c r="D324" s="207"/>
      <c r="E324" s="207"/>
      <c r="F324" s="207"/>
      <c r="G324" s="207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</row>
    <row r="325" spans="1:23" ht="26.25" customHeight="1">
      <c r="A325" s="208"/>
      <c r="B325" s="208"/>
      <c r="C325" s="207"/>
      <c r="D325" s="207"/>
      <c r="E325" s="207"/>
      <c r="F325" s="207"/>
      <c r="G325" s="207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</row>
    <row r="326" spans="1:23" ht="26.25" customHeight="1">
      <c r="A326" s="208"/>
      <c r="B326" s="208"/>
      <c r="C326" s="207"/>
      <c r="D326" s="207"/>
      <c r="E326" s="207"/>
      <c r="F326" s="207"/>
      <c r="G326" s="207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</row>
    <row r="327" spans="1:23" ht="26.25" customHeight="1">
      <c r="A327" s="208"/>
      <c r="B327" s="208"/>
      <c r="C327" s="207"/>
      <c r="D327" s="207"/>
      <c r="E327" s="207"/>
      <c r="F327" s="207"/>
      <c r="G327" s="207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</row>
    <row r="328" spans="1:23" ht="26.25" customHeight="1">
      <c r="A328" s="208"/>
      <c r="B328" s="208"/>
      <c r="C328" s="207"/>
      <c r="D328" s="207"/>
      <c r="E328" s="207"/>
      <c r="F328" s="207"/>
      <c r="G328" s="207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</row>
    <row r="329" spans="1:23" ht="26.25" customHeight="1">
      <c r="A329" s="208"/>
      <c r="B329" s="208"/>
      <c r="C329" s="207"/>
      <c r="D329" s="207"/>
      <c r="E329" s="207"/>
      <c r="F329" s="207"/>
      <c r="G329" s="207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</row>
    <row r="330" spans="1:23" ht="26.25" customHeight="1">
      <c r="A330" s="208"/>
      <c r="B330" s="208"/>
      <c r="C330" s="207"/>
      <c r="D330" s="207"/>
      <c r="E330" s="207"/>
      <c r="F330" s="207"/>
      <c r="G330" s="207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</row>
    <row r="331" spans="1:23" ht="26.25" customHeight="1">
      <c r="A331" s="208"/>
      <c r="B331" s="208"/>
      <c r="C331" s="207"/>
      <c r="D331" s="207"/>
      <c r="E331" s="207"/>
      <c r="F331" s="207"/>
      <c r="G331" s="207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</row>
    <row r="332" spans="1:23" ht="26.25" customHeight="1">
      <c r="A332" s="208"/>
      <c r="B332" s="208"/>
      <c r="C332" s="207"/>
      <c r="D332" s="207"/>
      <c r="E332" s="207"/>
      <c r="F332" s="207"/>
      <c r="G332" s="207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</row>
    <row r="333" spans="1:23" ht="26.25" customHeight="1">
      <c r="A333" s="208"/>
      <c r="B333" s="208"/>
      <c r="C333" s="207"/>
      <c r="D333" s="207"/>
      <c r="E333" s="207"/>
      <c r="F333" s="207"/>
      <c r="G333" s="207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</row>
    <row r="334" spans="1:23" ht="26.25" customHeight="1">
      <c r="A334" s="208"/>
      <c r="B334" s="208"/>
      <c r="C334" s="207"/>
      <c r="D334" s="207"/>
      <c r="E334" s="207"/>
      <c r="F334" s="207"/>
      <c r="G334" s="207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</row>
    <row r="335" spans="1:23" ht="26.25" customHeight="1">
      <c r="A335" s="208"/>
      <c r="B335" s="208"/>
      <c r="C335" s="207"/>
      <c r="D335" s="207"/>
      <c r="E335" s="207"/>
      <c r="F335" s="207"/>
      <c r="G335" s="207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</row>
    <row r="336" spans="1:23" ht="26.25" customHeight="1">
      <c r="A336" s="208"/>
      <c r="B336" s="208"/>
      <c r="C336" s="207"/>
      <c r="D336" s="207"/>
      <c r="E336" s="207"/>
      <c r="F336" s="207"/>
      <c r="G336" s="207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</row>
    <row r="337" spans="1:23" ht="26.25" customHeight="1">
      <c r="A337" s="208"/>
      <c r="B337" s="208"/>
      <c r="C337" s="207"/>
      <c r="D337" s="207"/>
      <c r="E337" s="207"/>
      <c r="F337" s="207"/>
      <c r="G337" s="207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</row>
    <row r="338" spans="1:23" ht="26.25" customHeight="1">
      <c r="A338" s="208"/>
      <c r="B338" s="208"/>
      <c r="C338" s="207"/>
      <c r="D338" s="207"/>
      <c r="E338" s="207"/>
      <c r="F338" s="207"/>
      <c r="G338" s="207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</row>
    <row r="339" spans="1:23" ht="26.25" customHeight="1">
      <c r="A339" s="208"/>
      <c r="B339" s="208"/>
      <c r="C339" s="207"/>
      <c r="D339" s="207"/>
      <c r="E339" s="207"/>
      <c r="F339" s="207"/>
      <c r="G339" s="207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</row>
    <row r="340" spans="1:23" ht="26.25" customHeight="1">
      <c r="A340" s="208"/>
      <c r="B340" s="208"/>
      <c r="C340" s="207"/>
      <c r="D340" s="207"/>
      <c r="E340" s="207"/>
      <c r="F340" s="207"/>
      <c r="G340" s="207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</row>
    <row r="341" spans="1:23" ht="26.25" customHeight="1">
      <c r="A341" s="208"/>
      <c r="B341" s="208"/>
      <c r="C341" s="207"/>
      <c r="D341" s="207"/>
      <c r="E341" s="207"/>
      <c r="F341" s="207"/>
      <c r="G341" s="207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</row>
    <row r="342" spans="1:23" ht="26.25" customHeight="1">
      <c r="A342" s="208"/>
      <c r="B342" s="208"/>
      <c r="C342" s="207"/>
      <c r="D342" s="207"/>
      <c r="E342" s="207"/>
      <c r="F342" s="207"/>
      <c r="G342" s="207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</row>
    <row r="343" spans="1:23" ht="26.25" customHeight="1">
      <c r="A343" s="208"/>
      <c r="B343" s="208"/>
      <c r="C343" s="207"/>
      <c r="D343" s="207"/>
      <c r="E343" s="207"/>
      <c r="F343" s="207"/>
      <c r="G343" s="207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</row>
    <row r="344" spans="1:23" ht="26.25" customHeight="1">
      <c r="A344" s="208"/>
      <c r="B344" s="208"/>
      <c r="C344" s="207"/>
      <c r="D344" s="207"/>
      <c r="E344" s="207"/>
      <c r="F344" s="207"/>
      <c r="G344" s="207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</row>
    <row r="345" spans="1:23" ht="26.25" customHeight="1">
      <c r="A345" s="208"/>
      <c r="B345" s="208"/>
      <c r="C345" s="207"/>
      <c r="D345" s="207"/>
      <c r="E345" s="207"/>
      <c r="F345" s="207"/>
      <c r="G345" s="207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</row>
    <row r="346" spans="1:23" ht="26.25" customHeight="1">
      <c r="A346" s="208"/>
      <c r="B346" s="208"/>
      <c r="C346" s="207"/>
      <c r="D346" s="207"/>
      <c r="E346" s="207"/>
      <c r="F346" s="207"/>
      <c r="G346" s="207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</row>
    <row r="347" spans="1:23" ht="26.25" customHeight="1">
      <c r="A347" s="208"/>
      <c r="B347" s="208"/>
      <c r="C347" s="207"/>
      <c r="D347" s="207"/>
      <c r="E347" s="207"/>
      <c r="F347" s="207"/>
      <c r="G347" s="207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</row>
    <row r="348" spans="1:23" ht="26.25" customHeight="1">
      <c r="A348" s="208"/>
      <c r="B348" s="208"/>
      <c r="C348" s="207"/>
      <c r="D348" s="207"/>
      <c r="E348" s="207"/>
      <c r="F348" s="207"/>
      <c r="G348" s="207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</row>
    <row r="349" spans="1:23" ht="26.25" customHeight="1">
      <c r="A349" s="208"/>
      <c r="B349" s="208"/>
      <c r="C349" s="207"/>
      <c r="D349" s="207"/>
      <c r="E349" s="207"/>
      <c r="F349" s="207"/>
      <c r="G349" s="207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</row>
    <row r="350" spans="1:23" ht="26.25" customHeight="1">
      <c r="A350" s="208"/>
      <c r="B350" s="208"/>
      <c r="C350" s="207"/>
      <c r="D350" s="207"/>
      <c r="E350" s="207"/>
      <c r="F350" s="207"/>
      <c r="G350" s="207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</row>
    <row r="351" spans="1:23" ht="26.25" customHeight="1">
      <c r="A351" s="208"/>
      <c r="B351" s="208"/>
      <c r="C351" s="207"/>
      <c r="D351" s="207"/>
      <c r="E351" s="207"/>
      <c r="F351" s="207"/>
      <c r="G351" s="207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</row>
    <row r="352" spans="1:23" ht="26.25" customHeight="1">
      <c r="A352" s="208"/>
      <c r="B352" s="208"/>
      <c r="C352" s="207"/>
      <c r="D352" s="207"/>
      <c r="E352" s="207"/>
      <c r="F352" s="207"/>
      <c r="G352" s="207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</row>
    <row r="353" spans="1:23" ht="26.25" customHeight="1">
      <c r="A353" s="208"/>
      <c r="B353" s="208"/>
      <c r="C353" s="207"/>
      <c r="D353" s="207"/>
      <c r="E353" s="207"/>
      <c r="F353" s="207"/>
      <c r="G353" s="207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</row>
    <row r="354" spans="1:23" ht="26.25" customHeight="1">
      <c r="A354" s="208"/>
      <c r="B354" s="208"/>
      <c r="C354" s="207"/>
      <c r="D354" s="207"/>
      <c r="E354" s="207"/>
      <c r="F354" s="207"/>
      <c r="G354" s="207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</row>
    <row r="355" spans="1:23" ht="26.25" customHeight="1">
      <c r="A355" s="208"/>
      <c r="B355" s="208"/>
      <c r="C355" s="207"/>
      <c r="D355" s="207"/>
      <c r="E355" s="207"/>
      <c r="F355" s="207"/>
      <c r="G355" s="207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</row>
    <row r="356" spans="1:23" ht="26.25" customHeight="1">
      <c r="A356" s="208"/>
      <c r="B356" s="208"/>
      <c r="C356" s="207"/>
      <c r="D356" s="207"/>
      <c r="E356" s="207"/>
      <c r="F356" s="207"/>
      <c r="G356" s="207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</row>
    <row r="357" spans="1:23" ht="26.25" customHeight="1">
      <c r="A357" s="208"/>
      <c r="B357" s="208"/>
      <c r="C357" s="207"/>
      <c r="D357" s="207"/>
      <c r="E357" s="207"/>
      <c r="F357" s="207"/>
      <c r="G357" s="207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</row>
    <row r="358" spans="1:23" ht="26.25" customHeight="1">
      <c r="A358" s="208"/>
      <c r="B358" s="208"/>
      <c r="C358" s="207"/>
      <c r="D358" s="207"/>
      <c r="E358" s="207"/>
      <c r="F358" s="207"/>
      <c r="G358" s="207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</row>
    <row r="359" spans="1:23" ht="26.25" customHeight="1">
      <c r="A359" s="208"/>
      <c r="B359" s="208"/>
      <c r="C359" s="207"/>
      <c r="D359" s="207"/>
      <c r="E359" s="207"/>
      <c r="F359" s="207"/>
      <c r="G359" s="207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</row>
    <row r="360" spans="1:23" ht="26.25" customHeight="1">
      <c r="A360" s="208"/>
      <c r="B360" s="208"/>
      <c r="C360" s="207"/>
      <c r="D360" s="207"/>
      <c r="E360" s="207"/>
      <c r="F360" s="207"/>
      <c r="G360" s="207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</row>
    <row r="361" spans="1:23" ht="26.25" customHeight="1">
      <c r="A361" s="208"/>
      <c r="B361" s="208"/>
      <c r="C361" s="207"/>
      <c r="D361" s="207"/>
      <c r="E361" s="207"/>
      <c r="F361" s="207"/>
      <c r="G361" s="207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</row>
    <row r="362" spans="1:23" ht="26.25" customHeight="1">
      <c r="A362" s="208"/>
      <c r="B362" s="208"/>
      <c r="C362" s="207"/>
      <c r="D362" s="207"/>
      <c r="E362" s="207"/>
      <c r="F362" s="207"/>
      <c r="G362" s="207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</row>
    <row r="363" spans="1:23" ht="26.25" customHeight="1">
      <c r="A363" s="208"/>
      <c r="B363" s="208"/>
      <c r="C363" s="207"/>
      <c r="D363" s="207"/>
      <c r="E363" s="207"/>
      <c r="F363" s="207"/>
      <c r="G363" s="207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</row>
    <row r="364" spans="1:23" ht="26.25" customHeight="1">
      <c r="A364" s="208"/>
      <c r="B364" s="208"/>
      <c r="C364" s="207"/>
      <c r="D364" s="207"/>
      <c r="E364" s="207"/>
      <c r="F364" s="207"/>
      <c r="G364" s="207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</row>
    <row r="365" spans="1:23" ht="26.25" customHeight="1">
      <c r="A365" s="208"/>
      <c r="B365" s="208"/>
      <c r="C365" s="207"/>
      <c r="D365" s="207"/>
      <c r="E365" s="207"/>
      <c r="F365" s="207"/>
      <c r="G365" s="207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</row>
    <row r="366" spans="1:23" ht="26.25" customHeight="1">
      <c r="A366" s="208"/>
      <c r="B366" s="208"/>
      <c r="C366" s="207"/>
      <c r="D366" s="207"/>
      <c r="E366" s="207"/>
      <c r="F366" s="207"/>
      <c r="G366" s="207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</row>
    <row r="367" spans="1:23" ht="26.25" customHeight="1">
      <c r="A367" s="208"/>
      <c r="B367" s="208"/>
      <c r="C367" s="207"/>
      <c r="D367" s="207"/>
      <c r="E367" s="207"/>
      <c r="F367" s="207"/>
      <c r="G367" s="207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</row>
    <row r="368" spans="1:23" ht="26.25" customHeight="1">
      <c r="A368" s="208"/>
      <c r="B368" s="208"/>
      <c r="C368" s="207"/>
      <c r="D368" s="207"/>
      <c r="E368" s="207"/>
      <c r="F368" s="207"/>
      <c r="G368" s="207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</row>
    <row r="369" spans="1:23" ht="26.25" customHeight="1">
      <c r="A369" s="208"/>
      <c r="B369" s="208"/>
      <c r="C369" s="207"/>
      <c r="D369" s="207"/>
      <c r="E369" s="207"/>
      <c r="F369" s="207"/>
      <c r="G369" s="207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</row>
    <row r="370" spans="1:23" ht="26.25" customHeight="1">
      <c r="A370" s="208"/>
      <c r="B370" s="208"/>
      <c r="C370" s="207"/>
      <c r="D370" s="207"/>
      <c r="E370" s="207"/>
      <c r="F370" s="207"/>
      <c r="G370" s="207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</row>
    <row r="371" spans="1:23" ht="26.25" customHeight="1">
      <c r="A371" s="208"/>
      <c r="B371" s="208"/>
      <c r="C371" s="207"/>
      <c r="D371" s="207"/>
      <c r="E371" s="207"/>
      <c r="F371" s="207"/>
      <c r="G371" s="207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</row>
    <row r="372" spans="1:23" ht="26.25" customHeight="1">
      <c r="A372" s="208"/>
      <c r="B372" s="208"/>
      <c r="C372" s="207"/>
      <c r="D372" s="207"/>
      <c r="E372" s="207"/>
      <c r="F372" s="207"/>
      <c r="G372" s="207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</row>
    <row r="373" spans="1:23" ht="26.25" customHeight="1">
      <c r="A373" s="208"/>
      <c r="B373" s="208"/>
      <c r="C373" s="207"/>
      <c r="D373" s="207"/>
      <c r="E373" s="207"/>
      <c r="F373" s="207"/>
      <c r="G373" s="207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</row>
    <row r="374" spans="1:23" ht="26.25" customHeight="1">
      <c r="A374" s="208"/>
      <c r="B374" s="208"/>
      <c r="C374" s="207"/>
      <c r="D374" s="207"/>
      <c r="E374" s="207"/>
      <c r="F374" s="207"/>
      <c r="G374" s="207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</row>
    <row r="375" spans="1:23" ht="26.25" customHeight="1">
      <c r="A375" s="208"/>
      <c r="B375" s="208"/>
      <c r="C375" s="207"/>
      <c r="D375" s="207"/>
      <c r="E375" s="207"/>
      <c r="F375" s="207"/>
      <c r="G375" s="207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</row>
    <row r="376" spans="1:23" ht="26.25" customHeight="1">
      <c r="A376" s="208"/>
      <c r="B376" s="208"/>
      <c r="C376" s="207"/>
      <c r="D376" s="207"/>
      <c r="E376" s="207"/>
      <c r="F376" s="207"/>
      <c r="G376" s="207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</row>
    <row r="377" spans="1:23" ht="26.25" customHeight="1">
      <c r="A377" s="208"/>
      <c r="B377" s="208"/>
      <c r="C377" s="207"/>
      <c r="D377" s="207"/>
      <c r="E377" s="207"/>
      <c r="F377" s="207"/>
      <c r="G377" s="207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</row>
    <row r="378" spans="1:23" ht="26.25" customHeight="1">
      <c r="A378" s="208"/>
      <c r="B378" s="208"/>
      <c r="C378" s="207"/>
      <c r="D378" s="207"/>
      <c r="E378" s="207"/>
      <c r="F378" s="207"/>
      <c r="G378" s="207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</row>
    <row r="379" spans="1:23" ht="26.25" customHeight="1">
      <c r="A379" s="208"/>
      <c r="B379" s="208"/>
      <c r="C379" s="207"/>
      <c r="D379" s="207"/>
      <c r="E379" s="207"/>
      <c r="F379" s="207"/>
      <c r="G379" s="207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</row>
    <row r="380" spans="1:23" ht="26.25" customHeight="1">
      <c r="A380" s="208"/>
      <c r="B380" s="208"/>
      <c r="C380" s="207"/>
      <c r="D380" s="207"/>
      <c r="E380" s="207"/>
      <c r="F380" s="207"/>
      <c r="G380" s="207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</row>
    <row r="381" spans="1:23" ht="26.25" customHeight="1">
      <c r="A381" s="208"/>
      <c r="B381" s="208"/>
      <c r="C381" s="207"/>
      <c r="D381" s="207"/>
      <c r="E381" s="207"/>
      <c r="F381" s="207"/>
      <c r="G381" s="207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</row>
    <row r="382" spans="1:23" ht="26.25" customHeight="1">
      <c r="A382" s="208"/>
      <c r="B382" s="208"/>
      <c r="C382" s="207"/>
      <c r="D382" s="207"/>
      <c r="E382" s="207"/>
      <c r="F382" s="207"/>
      <c r="G382" s="207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</row>
    <row r="383" spans="1:23" ht="26.25" customHeight="1">
      <c r="A383" s="208"/>
      <c r="B383" s="208"/>
      <c r="C383" s="207"/>
      <c r="D383" s="207"/>
      <c r="E383" s="207"/>
      <c r="F383" s="207"/>
      <c r="G383" s="207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</row>
    <row r="384" spans="1:23" ht="26.25" customHeight="1">
      <c r="A384" s="208"/>
      <c r="B384" s="208"/>
      <c r="C384" s="207"/>
      <c r="D384" s="207"/>
      <c r="E384" s="207"/>
      <c r="F384" s="207"/>
      <c r="G384" s="207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</row>
    <row r="385" spans="1:23" ht="26.25" customHeight="1">
      <c r="A385" s="208"/>
      <c r="B385" s="208"/>
      <c r="C385" s="207"/>
      <c r="D385" s="207"/>
      <c r="E385" s="207"/>
      <c r="F385" s="207"/>
      <c r="G385" s="207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</row>
    <row r="386" spans="1:23" ht="26.25" customHeight="1">
      <c r="A386" s="208"/>
      <c r="B386" s="208"/>
      <c r="C386" s="207"/>
      <c r="D386" s="207"/>
      <c r="E386" s="207"/>
      <c r="F386" s="207"/>
      <c r="G386" s="207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</row>
    <row r="387" spans="1:23" ht="26.25" customHeight="1">
      <c r="A387" s="208"/>
      <c r="B387" s="208"/>
      <c r="C387" s="207"/>
      <c r="D387" s="207"/>
      <c r="E387" s="207"/>
      <c r="F387" s="207"/>
      <c r="G387" s="207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</row>
    <row r="388" spans="1:23" ht="26.25" customHeight="1">
      <c r="A388" s="208"/>
      <c r="B388" s="208"/>
      <c r="C388" s="207"/>
      <c r="D388" s="207"/>
      <c r="E388" s="207"/>
      <c r="F388" s="207"/>
      <c r="G388" s="207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</row>
    <row r="389" spans="1:23" ht="26.25" customHeight="1">
      <c r="A389" s="208"/>
      <c r="B389" s="208"/>
      <c r="C389" s="207"/>
      <c r="D389" s="207"/>
      <c r="E389" s="207"/>
      <c r="F389" s="207"/>
      <c r="G389" s="207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</row>
    <row r="390" spans="1:23" ht="26.25" customHeight="1">
      <c r="A390" s="208"/>
      <c r="B390" s="208"/>
      <c r="C390" s="207"/>
      <c r="D390" s="207"/>
      <c r="E390" s="207"/>
      <c r="F390" s="207"/>
      <c r="G390" s="207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</row>
    <row r="391" spans="1:23" ht="26.25" customHeight="1">
      <c r="A391" s="208"/>
      <c r="B391" s="208"/>
      <c r="C391" s="207"/>
      <c r="D391" s="207"/>
      <c r="E391" s="207"/>
      <c r="F391" s="207"/>
      <c r="G391" s="207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</row>
    <row r="392" spans="1:23" ht="26.25" customHeight="1">
      <c r="A392" s="208"/>
      <c r="B392" s="208"/>
      <c r="C392" s="207"/>
      <c r="D392" s="207"/>
      <c r="E392" s="207"/>
      <c r="F392" s="207"/>
      <c r="G392" s="207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</row>
    <row r="393" spans="1:23" ht="26.25" customHeight="1">
      <c r="A393" s="208"/>
      <c r="B393" s="208"/>
      <c r="C393" s="207"/>
      <c r="D393" s="207"/>
      <c r="E393" s="207"/>
      <c r="F393" s="207"/>
      <c r="G393" s="207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</row>
    <row r="394" spans="1:23" ht="26.25" customHeight="1">
      <c r="A394" s="208"/>
      <c r="B394" s="208"/>
      <c r="C394" s="207"/>
      <c r="D394" s="207"/>
      <c r="E394" s="207"/>
      <c r="F394" s="207"/>
      <c r="G394" s="207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</row>
    <row r="395" spans="1:23" ht="26.25" customHeight="1">
      <c r="A395" s="208"/>
      <c r="B395" s="208"/>
      <c r="C395" s="207"/>
      <c r="D395" s="207"/>
      <c r="E395" s="207"/>
      <c r="F395" s="207"/>
      <c r="G395" s="207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</row>
    <row r="396" spans="1:23" ht="26.25" customHeight="1">
      <c r="A396" s="208"/>
      <c r="B396" s="208"/>
      <c r="C396" s="207"/>
      <c r="D396" s="207"/>
      <c r="E396" s="207"/>
      <c r="F396" s="207"/>
      <c r="G396" s="207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</row>
    <row r="397" spans="1:23" ht="26.25" customHeight="1">
      <c r="A397" s="208"/>
      <c r="B397" s="208"/>
      <c r="C397" s="207"/>
      <c r="D397" s="207"/>
      <c r="E397" s="207"/>
      <c r="F397" s="207"/>
      <c r="G397" s="207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</row>
    <row r="398" spans="1:23" ht="26.25" customHeight="1">
      <c r="A398" s="208"/>
      <c r="B398" s="208"/>
      <c r="C398" s="207"/>
      <c r="D398" s="207"/>
      <c r="E398" s="207"/>
      <c r="F398" s="207"/>
      <c r="G398" s="207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</row>
    <row r="399" spans="1:23" ht="26.25" customHeight="1">
      <c r="A399" s="208"/>
      <c r="B399" s="208"/>
      <c r="C399" s="207"/>
      <c r="D399" s="207"/>
      <c r="E399" s="207"/>
      <c r="F399" s="207"/>
      <c r="G399" s="207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</row>
    <row r="400" spans="1:23" ht="26.25" customHeight="1">
      <c r="A400" s="208"/>
      <c r="B400" s="208"/>
      <c r="C400" s="207"/>
      <c r="D400" s="207"/>
      <c r="E400" s="207"/>
      <c r="F400" s="207"/>
      <c r="G400" s="207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</row>
    <row r="401" spans="1:23" ht="26.25" customHeight="1">
      <c r="A401" s="208"/>
      <c r="B401" s="208"/>
      <c r="C401" s="207"/>
      <c r="D401" s="207"/>
      <c r="E401" s="207"/>
      <c r="F401" s="207"/>
      <c r="G401" s="207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</row>
    <row r="402" spans="1:23" ht="26.25" customHeight="1">
      <c r="A402" s="208"/>
      <c r="B402" s="208"/>
      <c r="C402" s="207"/>
      <c r="D402" s="207"/>
      <c r="E402" s="207"/>
      <c r="F402" s="207"/>
      <c r="G402" s="207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</row>
    <row r="403" spans="1:23" ht="26.25" customHeight="1">
      <c r="A403" s="208"/>
      <c r="B403" s="208"/>
      <c r="C403" s="207"/>
      <c r="D403" s="207"/>
      <c r="E403" s="207"/>
      <c r="F403" s="207"/>
      <c r="G403" s="207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</row>
    <row r="404" spans="1:23" ht="26.25" customHeight="1">
      <c r="A404" s="208"/>
      <c r="B404" s="208"/>
      <c r="C404" s="207"/>
      <c r="D404" s="207"/>
      <c r="E404" s="207"/>
      <c r="F404" s="207"/>
      <c r="G404" s="207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</row>
    <row r="405" spans="1:23" ht="26.25" customHeight="1">
      <c r="A405" s="208"/>
      <c r="B405" s="208"/>
      <c r="C405" s="207"/>
      <c r="D405" s="207"/>
      <c r="E405" s="207"/>
      <c r="F405" s="207"/>
      <c r="G405" s="207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</row>
    <row r="406" spans="1:23" ht="26.25" customHeight="1">
      <c r="A406" s="208"/>
      <c r="B406" s="208"/>
      <c r="C406" s="207"/>
      <c r="D406" s="207"/>
      <c r="E406" s="207"/>
      <c r="F406" s="207"/>
      <c r="G406" s="207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</row>
    <row r="407" spans="1:23" ht="26.25" customHeight="1">
      <c r="A407" s="208"/>
      <c r="B407" s="208"/>
      <c r="C407" s="207"/>
      <c r="D407" s="207"/>
      <c r="E407" s="207"/>
      <c r="F407" s="207"/>
      <c r="G407" s="207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</row>
    <row r="408" spans="1:23" ht="26.25" customHeight="1">
      <c r="A408" s="208"/>
      <c r="B408" s="208"/>
      <c r="C408" s="207"/>
      <c r="D408" s="207"/>
      <c r="E408" s="207"/>
      <c r="F408" s="207"/>
      <c r="G408" s="207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</row>
    <row r="409" spans="1:23" ht="26.25" customHeight="1">
      <c r="A409" s="208"/>
      <c r="B409" s="208"/>
      <c r="C409" s="207"/>
      <c r="D409" s="207"/>
      <c r="E409" s="207"/>
      <c r="F409" s="207"/>
      <c r="G409" s="207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</row>
    <row r="410" spans="1:23" ht="26.25" customHeight="1">
      <c r="A410" s="208"/>
      <c r="B410" s="208"/>
      <c r="C410" s="207"/>
      <c r="D410" s="207"/>
      <c r="E410" s="207"/>
      <c r="F410" s="207"/>
      <c r="G410" s="207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</row>
    <row r="411" spans="1:23" ht="26.25" customHeight="1">
      <c r="A411" s="208"/>
      <c r="B411" s="208"/>
      <c r="C411" s="207"/>
      <c r="D411" s="207"/>
      <c r="E411" s="207"/>
      <c r="F411" s="207"/>
      <c r="G411" s="207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</row>
    <row r="412" spans="1:23" ht="26.25" customHeight="1">
      <c r="A412" s="208"/>
      <c r="B412" s="208"/>
      <c r="C412" s="207"/>
      <c r="D412" s="207"/>
      <c r="E412" s="207"/>
      <c r="F412" s="207"/>
      <c r="G412" s="207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</row>
    <row r="413" spans="1:23" ht="26.25" customHeight="1">
      <c r="A413" s="208"/>
      <c r="B413" s="208"/>
      <c r="C413" s="207"/>
      <c r="D413" s="207"/>
      <c r="E413" s="207"/>
      <c r="F413" s="207"/>
      <c r="G413" s="207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</row>
    <row r="414" spans="1:23" ht="26.25" customHeight="1">
      <c r="A414" s="208"/>
      <c r="B414" s="208"/>
      <c r="C414" s="207"/>
      <c r="D414" s="207"/>
      <c r="E414" s="207"/>
      <c r="F414" s="207"/>
      <c r="G414" s="207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</row>
    <row r="415" spans="1:23" ht="26.25" customHeight="1">
      <c r="A415" s="208"/>
      <c r="B415" s="208"/>
      <c r="C415" s="207"/>
      <c r="D415" s="207"/>
      <c r="E415" s="207"/>
      <c r="F415" s="207"/>
      <c r="G415" s="207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</row>
    <row r="416" spans="1:23" ht="26.25" customHeight="1">
      <c r="A416" s="208"/>
      <c r="B416" s="208"/>
      <c r="C416" s="207"/>
      <c r="D416" s="207"/>
      <c r="E416" s="207"/>
      <c r="F416" s="207"/>
      <c r="G416" s="207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</row>
    <row r="417" spans="1:23" ht="26.25" customHeight="1">
      <c r="A417" s="208"/>
      <c r="B417" s="208"/>
      <c r="C417" s="207"/>
      <c r="D417" s="207"/>
      <c r="E417" s="207"/>
      <c r="F417" s="207"/>
      <c r="G417" s="207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</row>
    <row r="418" spans="1:23" ht="26.25" customHeight="1">
      <c r="A418" s="208"/>
      <c r="B418" s="208"/>
      <c r="C418" s="207"/>
      <c r="D418" s="207"/>
      <c r="E418" s="207"/>
      <c r="F418" s="207"/>
      <c r="G418" s="207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</row>
    <row r="419" spans="1:23" ht="26.25" customHeight="1">
      <c r="A419" s="208"/>
      <c r="B419" s="208"/>
      <c r="C419" s="207"/>
      <c r="D419" s="207"/>
      <c r="E419" s="207"/>
      <c r="F419" s="207"/>
      <c r="G419" s="207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</row>
    <row r="420" spans="1:23" ht="26.25" customHeight="1">
      <c r="A420" s="208"/>
      <c r="B420" s="208"/>
      <c r="C420" s="207"/>
      <c r="D420" s="207"/>
      <c r="E420" s="207"/>
      <c r="F420" s="207"/>
      <c r="G420" s="207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</row>
    <row r="421" spans="1:23" ht="26.25" customHeight="1">
      <c r="A421" s="208"/>
      <c r="B421" s="208"/>
      <c r="C421" s="207"/>
      <c r="D421" s="207"/>
      <c r="E421" s="207"/>
      <c r="F421" s="207"/>
      <c r="G421" s="207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</row>
    <row r="422" spans="1:23" ht="26.25" customHeight="1">
      <c r="A422" s="208"/>
      <c r="B422" s="208"/>
      <c r="C422" s="207"/>
      <c r="D422" s="207"/>
      <c r="E422" s="207"/>
      <c r="F422" s="207"/>
      <c r="G422" s="207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</row>
    <row r="423" spans="1:23" ht="26.25" customHeight="1">
      <c r="A423" s="208"/>
      <c r="B423" s="208"/>
      <c r="C423" s="207"/>
      <c r="D423" s="207"/>
      <c r="E423" s="207"/>
      <c r="F423" s="207"/>
      <c r="G423" s="207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</row>
    <row r="424" spans="1:23" ht="26.25" customHeight="1">
      <c r="A424" s="208"/>
      <c r="B424" s="208"/>
      <c r="C424" s="207"/>
      <c r="D424" s="207"/>
      <c r="E424" s="207"/>
      <c r="F424" s="207"/>
      <c r="G424" s="207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</row>
    <row r="425" spans="1:23" ht="26.25" customHeight="1">
      <c r="A425" s="208"/>
      <c r="B425" s="208"/>
      <c r="C425" s="207"/>
      <c r="D425" s="207"/>
      <c r="E425" s="207"/>
      <c r="F425" s="207"/>
      <c r="G425" s="207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</row>
    <row r="426" spans="1:23" ht="26.25" customHeight="1">
      <c r="A426" s="208"/>
      <c r="B426" s="208"/>
      <c r="C426" s="207"/>
      <c r="D426" s="207"/>
      <c r="E426" s="207"/>
      <c r="F426" s="207"/>
      <c r="G426" s="207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</row>
    <row r="427" spans="1:23" ht="26.25" customHeight="1">
      <c r="A427" s="208"/>
      <c r="B427" s="208"/>
      <c r="C427" s="207"/>
      <c r="D427" s="207"/>
      <c r="E427" s="207"/>
      <c r="F427" s="207"/>
      <c r="G427" s="207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</row>
    <row r="428" spans="1:23" ht="26.25" customHeight="1">
      <c r="A428" s="208"/>
      <c r="B428" s="208"/>
      <c r="C428" s="207"/>
      <c r="D428" s="207"/>
      <c r="E428" s="207"/>
      <c r="F428" s="207"/>
      <c r="G428" s="207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</row>
    <row r="429" spans="1:23" ht="26.25" customHeight="1">
      <c r="A429" s="208"/>
      <c r="B429" s="208"/>
      <c r="C429" s="207"/>
      <c r="D429" s="207"/>
      <c r="E429" s="207"/>
      <c r="F429" s="207"/>
      <c r="G429" s="207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</row>
    <row r="430" spans="1:23" ht="26.25" customHeight="1">
      <c r="A430" s="208"/>
      <c r="B430" s="208"/>
      <c r="C430" s="207"/>
      <c r="D430" s="207"/>
      <c r="E430" s="207"/>
      <c r="F430" s="207"/>
      <c r="G430" s="207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</row>
    <row r="431" spans="1:23" ht="26.25" customHeight="1">
      <c r="A431" s="208"/>
      <c r="B431" s="208"/>
      <c r="C431" s="207"/>
      <c r="D431" s="207"/>
      <c r="E431" s="207"/>
      <c r="F431" s="207"/>
      <c r="G431" s="207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</row>
    <row r="432" spans="1:23" ht="26.25" customHeight="1">
      <c r="A432" s="208"/>
      <c r="B432" s="208"/>
      <c r="C432" s="207"/>
      <c r="D432" s="207"/>
      <c r="E432" s="207"/>
      <c r="F432" s="207"/>
      <c r="G432" s="207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</row>
    <row r="433" spans="1:23" ht="26.25" customHeight="1">
      <c r="A433" s="208"/>
      <c r="B433" s="208"/>
      <c r="C433" s="207"/>
      <c r="D433" s="207"/>
      <c r="E433" s="207"/>
      <c r="F433" s="207"/>
      <c r="G433" s="207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</row>
    <row r="434" spans="1:23" ht="26.25" customHeight="1">
      <c r="A434" s="208"/>
      <c r="B434" s="208"/>
      <c r="C434" s="207"/>
      <c r="D434" s="207"/>
      <c r="E434" s="207"/>
      <c r="F434" s="207"/>
      <c r="G434" s="207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</row>
    <row r="435" spans="1:23" ht="26.25" customHeight="1">
      <c r="A435" s="208"/>
      <c r="B435" s="208"/>
      <c r="C435" s="207"/>
      <c r="D435" s="207"/>
      <c r="E435" s="207"/>
      <c r="F435" s="207"/>
      <c r="G435" s="207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</row>
    <row r="436" spans="1:23" ht="26.25" customHeight="1">
      <c r="A436" s="208"/>
      <c r="B436" s="208"/>
      <c r="C436" s="207"/>
      <c r="D436" s="207"/>
      <c r="E436" s="207"/>
      <c r="F436" s="207"/>
      <c r="G436" s="207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</row>
    <row r="437" spans="1:23" ht="26.25" customHeight="1">
      <c r="A437" s="208"/>
      <c r="B437" s="208"/>
      <c r="C437" s="207"/>
      <c r="D437" s="207"/>
      <c r="E437" s="207"/>
      <c r="F437" s="207"/>
      <c r="G437" s="207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</row>
    <row r="438" spans="1:23" ht="26.25" customHeight="1">
      <c r="A438" s="208"/>
      <c r="B438" s="208"/>
      <c r="C438" s="207"/>
      <c r="D438" s="207"/>
      <c r="E438" s="207"/>
      <c r="F438" s="207"/>
      <c r="G438" s="207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</row>
    <row r="439" spans="1:23" ht="26.25" customHeight="1">
      <c r="A439" s="208"/>
      <c r="B439" s="208"/>
      <c r="C439" s="207"/>
      <c r="D439" s="207"/>
      <c r="E439" s="207"/>
      <c r="F439" s="207"/>
      <c r="G439" s="207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</row>
    <row r="440" spans="1:23" ht="26.25" customHeight="1">
      <c r="A440" s="208"/>
      <c r="B440" s="208"/>
      <c r="C440" s="207"/>
      <c r="D440" s="207"/>
      <c r="E440" s="207"/>
      <c r="F440" s="207"/>
      <c r="G440" s="207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</row>
    <row r="441" spans="1:23" ht="26.25" customHeight="1">
      <c r="A441" s="208"/>
      <c r="B441" s="208"/>
      <c r="C441" s="207"/>
      <c r="D441" s="207"/>
      <c r="E441" s="207"/>
      <c r="F441" s="207"/>
      <c r="G441" s="207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</row>
    <row r="442" spans="1:23" ht="26.25" customHeight="1">
      <c r="A442" s="208"/>
      <c r="B442" s="208"/>
      <c r="C442" s="207"/>
      <c r="D442" s="207"/>
      <c r="E442" s="207"/>
      <c r="F442" s="207"/>
      <c r="G442" s="207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</row>
    <row r="443" spans="1:23" ht="26.25" customHeight="1">
      <c r="A443" s="208"/>
      <c r="B443" s="208"/>
      <c r="C443" s="207"/>
      <c r="D443" s="207"/>
      <c r="E443" s="207"/>
      <c r="F443" s="207"/>
      <c r="G443" s="207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</row>
    <row r="444" spans="1:23" ht="26.25" customHeight="1">
      <c r="A444" s="208"/>
      <c r="B444" s="208"/>
      <c r="C444" s="207"/>
      <c r="D444" s="207"/>
      <c r="E444" s="207"/>
      <c r="F444" s="207"/>
      <c r="G444" s="207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</row>
    <row r="445" spans="1:23" ht="26.25" customHeight="1">
      <c r="A445" s="208"/>
      <c r="B445" s="208"/>
      <c r="C445" s="207"/>
      <c r="D445" s="207"/>
      <c r="E445" s="207"/>
      <c r="F445" s="207"/>
      <c r="G445" s="207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</row>
    <row r="446" spans="1:23" ht="26.25" customHeight="1">
      <c r="A446" s="208"/>
      <c r="B446" s="208"/>
      <c r="C446" s="207"/>
      <c r="D446" s="207"/>
      <c r="E446" s="207"/>
      <c r="F446" s="207"/>
      <c r="G446" s="207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</row>
    <row r="447" spans="1:23" ht="26.25" customHeight="1">
      <c r="A447" s="208"/>
      <c r="B447" s="208"/>
      <c r="C447" s="207"/>
      <c r="D447" s="207"/>
      <c r="E447" s="207"/>
      <c r="F447" s="207"/>
      <c r="G447" s="207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</row>
    <row r="448" spans="1:23" ht="26.25" customHeight="1">
      <c r="A448" s="208"/>
      <c r="B448" s="208"/>
      <c r="C448" s="207"/>
      <c r="D448" s="207"/>
      <c r="E448" s="207"/>
      <c r="F448" s="207"/>
      <c r="G448" s="207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</row>
    <row r="449" spans="1:23" ht="26.25" customHeight="1">
      <c r="A449" s="208"/>
      <c r="B449" s="208"/>
      <c r="C449" s="207"/>
      <c r="D449" s="207"/>
      <c r="E449" s="207"/>
      <c r="F449" s="207"/>
      <c r="G449" s="207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</row>
    <row r="450" spans="1:23" ht="26.25" customHeight="1">
      <c r="A450" s="208"/>
      <c r="B450" s="208"/>
      <c r="C450" s="207"/>
      <c r="D450" s="207"/>
      <c r="E450" s="207"/>
      <c r="F450" s="207"/>
      <c r="G450" s="207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</row>
    <row r="451" spans="1:23" ht="26.25" customHeight="1">
      <c r="A451" s="208"/>
      <c r="B451" s="208"/>
      <c r="C451" s="207"/>
      <c r="D451" s="207"/>
      <c r="E451" s="207"/>
      <c r="F451" s="207"/>
      <c r="G451" s="207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</row>
    <row r="452" spans="1:23" ht="26.25" customHeight="1">
      <c r="A452" s="208"/>
      <c r="B452" s="208"/>
      <c r="C452" s="207"/>
      <c r="D452" s="207"/>
      <c r="E452" s="207"/>
      <c r="F452" s="207"/>
      <c r="G452" s="207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</row>
    <row r="453" spans="1:23" ht="26.25" customHeight="1">
      <c r="A453" s="208"/>
      <c r="B453" s="208"/>
      <c r="C453" s="207"/>
      <c r="D453" s="207"/>
      <c r="E453" s="207"/>
      <c r="F453" s="207"/>
      <c r="G453" s="207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</row>
    <row r="454" spans="1:23" ht="26.25" customHeight="1">
      <c r="A454" s="208"/>
      <c r="B454" s="208"/>
      <c r="C454" s="207"/>
      <c r="D454" s="207"/>
      <c r="E454" s="207"/>
      <c r="F454" s="207"/>
      <c r="G454" s="207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</row>
    <row r="455" spans="1:23" ht="26.25" customHeight="1">
      <c r="A455" s="208"/>
      <c r="B455" s="208"/>
      <c r="C455" s="207"/>
      <c r="D455" s="207"/>
      <c r="E455" s="207"/>
      <c r="F455" s="207"/>
      <c r="G455" s="207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</row>
    <row r="456" spans="1:23" ht="26.25" customHeight="1">
      <c r="A456" s="208"/>
      <c r="B456" s="208"/>
      <c r="C456" s="207"/>
      <c r="D456" s="207"/>
      <c r="E456" s="207"/>
      <c r="F456" s="207"/>
      <c r="G456" s="207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</row>
    <row r="457" spans="1:23" ht="26.25" customHeight="1">
      <c r="A457" s="208"/>
      <c r="B457" s="208"/>
      <c r="C457" s="207"/>
      <c r="D457" s="207"/>
      <c r="E457" s="207"/>
      <c r="F457" s="207"/>
      <c r="G457" s="207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</row>
    <row r="458" spans="1:23" ht="26.25" customHeight="1">
      <c r="A458" s="208"/>
      <c r="B458" s="208"/>
      <c r="C458" s="207"/>
      <c r="D458" s="207"/>
      <c r="E458" s="207"/>
      <c r="F458" s="207"/>
      <c r="G458" s="207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</row>
    <row r="459" spans="1:23" ht="26.25" customHeight="1">
      <c r="A459" s="208"/>
      <c r="B459" s="208"/>
      <c r="C459" s="207"/>
      <c r="D459" s="207"/>
      <c r="E459" s="207"/>
      <c r="F459" s="207"/>
      <c r="G459" s="207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</row>
    <row r="460" spans="1:23" ht="26.25" customHeight="1">
      <c r="A460" s="208"/>
      <c r="B460" s="208"/>
      <c r="C460" s="207"/>
      <c r="D460" s="207"/>
      <c r="E460" s="207"/>
      <c r="F460" s="207"/>
      <c r="G460" s="207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</row>
    <row r="461" spans="1:23" ht="26.25" customHeight="1">
      <c r="A461" s="208"/>
      <c r="B461" s="208"/>
      <c r="C461" s="207"/>
      <c r="D461" s="207"/>
      <c r="E461" s="207"/>
      <c r="F461" s="207"/>
      <c r="G461" s="207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</row>
    <row r="462" spans="1:23" ht="26.25" customHeight="1">
      <c r="A462" s="208"/>
      <c r="B462" s="208"/>
      <c r="C462" s="207"/>
      <c r="D462" s="207"/>
      <c r="E462" s="207"/>
      <c r="F462" s="207"/>
      <c r="G462" s="207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</row>
    <row r="463" spans="1:23" ht="26.25" customHeight="1">
      <c r="A463" s="208"/>
      <c r="B463" s="208"/>
      <c r="C463" s="207"/>
      <c r="D463" s="207"/>
      <c r="E463" s="207"/>
      <c r="F463" s="207"/>
      <c r="G463" s="207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</row>
    <row r="464" spans="1:23" ht="26.25" customHeight="1">
      <c r="A464" s="208"/>
      <c r="B464" s="208"/>
      <c r="C464" s="207"/>
      <c r="D464" s="207"/>
      <c r="E464" s="207"/>
      <c r="F464" s="207"/>
      <c r="G464" s="207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</row>
    <row r="465" spans="1:23" ht="26.25" customHeight="1">
      <c r="A465" s="208"/>
      <c r="B465" s="208"/>
      <c r="C465" s="207"/>
      <c r="D465" s="207"/>
      <c r="E465" s="207"/>
      <c r="F465" s="207"/>
      <c r="G465" s="207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</row>
    <row r="466" spans="1:23" ht="26.25" customHeight="1">
      <c r="A466" s="208"/>
      <c r="B466" s="208"/>
      <c r="C466" s="207"/>
      <c r="D466" s="207"/>
      <c r="E466" s="207"/>
      <c r="F466" s="207"/>
      <c r="G466" s="207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</row>
    <row r="467" spans="1:23" ht="26.25" customHeight="1">
      <c r="A467" s="208"/>
      <c r="B467" s="208"/>
      <c r="C467" s="207"/>
      <c r="D467" s="207"/>
      <c r="E467" s="207"/>
      <c r="F467" s="207"/>
      <c r="G467" s="207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</row>
    <row r="468" spans="1:23" ht="26.25" customHeight="1">
      <c r="A468" s="208"/>
      <c r="B468" s="208"/>
      <c r="C468" s="207"/>
      <c r="D468" s="207"/>
      <c r="E468" s="207"/>
      <c r="F468" s="207"/>
      <c r="G468" s="207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</row>
    <row r="469" spans="1:23" ht="26.25" customHeight="1">
      <c r="A469" s="208"/>
      <c r="B469" s="208"/>
      <c r="C469" s="207"/>
      <c r="D469" s="207"/>
      <c r="E469" s="207"/>
      <c r="F469" s="207"/>
      <c r="G469" s="207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</row>
    <row r="470" spans="1:23" ht="26.25" customHeight="1">
      <c r="A470" s="208"/>
      <c r="B470" s="208"/>
      <c r="C470" s="207"/>
      <c r="D470" s="207"/>
      <c r="E470" s="207"/>
      <c r="F470" s="207"/>
      <c r="G470" s="207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</row>
    <row r="471" spans="1:23" ht="26.25" customHeight="1">
      <c r="A471" s="208"/>
      <c r="B471" s="208"/>
      <c r="C471" s="207"/>
      <c r="D471" s="207"/>
      <c r="E471" s="207"/>
      <c r="F471" s="207"/>
      <c r="G471" s="207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</row>
    <row r="472" spans="1:23" ht="26.25" customHeight="1">
      <c r="A472" s="208"/>
      <c r="B472" s="208"/>
      <c r="C472" s="207"/>
      <c r="D472" s="207"/>
      <c r="E472" s="207"/>
      <c r="F472" s="207"/>
      <c r="G472" s="207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</row>
    <row r="473" spans="1:23" ht="26.25" customHeight="1">
      <c r="A473" s="208"/>
      <c r="B473" s="208"/>
      <c r="C473" s="207"/>
      <c r="D473" s="207"/>
      <c r="E473" s="207"/>
      <c r="F473" s="207"/>
      <c r="G473" s="207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</row>
    <row r="474" spans="1:23" ht="26.25" customHeight="1">
      <c r="A474" s="208"/>
      <c r="B474" s="208"/>
      <c r="C474" s="207"/>
      <c r="D474" s="207"/>
      <c r="E474" s="207"/>
      <c r="F474" s="207"/>
      <c r="G474" s="207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</row>
    <row r="475" spans="1:23" ht="26.25" customHeight="1">
      <c r="A475" s="208"/>
      <c r="B475" s="208"/>
      <c r="C475" s="207"/>
      <c r="D475" s="207"/>
      <c r="E475" s="207"/>
      <c r="F475" s="207"/>
      <c r="G475" s="207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</row>
    <row r="476" spans="1:23" ht="26.25" customHeight="1">
      <c r="A476" s="208"/>
      <c r="B476" s="208"/>
      <c r="C476" s="207"/>
      <c r="D476" s="207"/>
      <c r="E476" s="207"/>
      <c r="F476" s="207"/>
      <c r="G476" s="207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</row>
    <row r="477" spans="1:23" ht="26.25" customHeight="1">
      <c r="A477" s="208"/>
      <c r="B477" s="208"/>
      <c r="C477" s="207"/>
      <c r="D477" s="207"/>
      <c r="E477" s="207"/>
      <c r="F477" s="207"/>
      <c r="G477" s="207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</row>
    <row r="478" spans="1:23" ht="26.25" customHeight="1">
      <c r="A478" s="208"/>
      <c r="B478" s="208"/>
      <c r="C478" s="207"/>
      <c r="D478" s="207"/>
      <c r="E478" s="207"/>
      <c r="F478" s="207"/>
      <c r="G478" s="207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</row>
    <row r="479" spans="1:23" ht="26.25" customHeight="1">
      <c r="A479" s="208"/>
      <c r="B479" s="208"/>
      <c r="C479" s="207"/>
      <c r="D479" s="207"/>
      <c r="E479" s="207"/>
      <c r="F479" s="207"/>
      <c r="G479" s="207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</row>
    <row r="480" spans="1:23" ht="26.25" customHeight="1">
      <c r="A480" s="208"/>
      <c r="B480" s="208"/>
      <c r="C480" s="207"/>
      <c r="D480" s="207"/>
      <c r="E480" s="207"/>
      <c r="F480" s="207"/>
      <c r="G480" s="207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</row>
    <row r="481" spans="1:23" ht="26.25" customHeight="1">
      <c r="A481" s="208"/>
      <c r="B481" s="208"/>
      <c r="C481" s="207"/>
      <c r="D481" s="207"/>
      <c r="E481" s="207"/>
      <c r="F481" s="207"/>
      <c r="G481" s="207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</row>
    <row r="482" spans="1:23" ht="26.25" customHeight="1">
      <c r="A482" s="208"/>
      <c r="B482" s="208"/>
      <c r="C482" s="207"/>
      <c r="D482" s="207"/>
      <c r="E482" s="207"/>
      <c r="F482" s="207"/>
      <c r="G482" s="207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</row>
    <row r="483" spans="1:23" ht="26.25" customHeight="1">
      <c r="A483" s="208"/>
      <c r="B483" s="208"/>
      <c r="C483" s="207"/>
      <c r="D483" s="207"/>
      <c r="E483" s="207"/>
      <c r="F483" s="207"/>
      <c r="G483" s="207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</row>
    <row r="484" spans="1:23" ht="26.25" customHeight="1">
      <c r="A484" s="208"/>
      <c r="B484" s="208"/>
      <c r="C484" s="207"/>
      <c r="D484" s="207"/>
      <c r="E484" s="207"/>
      <c r="F484" s="207"/>
      <c r="G484" s="207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</row>
    <row r="485" spans="1:23" ht="26.25" customHeight="1">
      <c r="A485" s="208"/>
      <c r="B485" s="208"/>
      <c r="C485" s="207"/>
      <c r="D485" s="207"/>
      <c r="E485" s="207"/>
      <c r="F485" s="207"/>
      <c r="G485" s="207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</row>
    <row r="486" spans="1:23" ht="26.25" customHeight="1">
      <c r="A486" s="208"/>
      <c r="B486" s="208"/>
      <c r="C486" s="207"/>
      <c r="D486" s="207"/>
      <c r="E486" s="207"/>
      <c r="F486" s="207"/>
      <c r="G486" s="207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</row>
    <row r="487" spans="1:23" ht="26.25" customHeight="1">
      <c r="A487" s="208"/>
      <c r="B487" s="208"/>
      <c r="C487" s="207"/>
      <c r="D487" s="207"/>
      <c r="E487" s="207"/>
      <c r="F487" s="207"/>
      <c r="G487" s="207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</row>
    <row r="488" spans="1:23" ht="26.25" customHeight="1">
      <c r="A488" s="208"/>
      <c r="B488" s="208"/>
      <c r="C488" s="207"/>
      <c r="D488" s="207"/>
      <c r="E488" s="207"/>
      <c r="F488" s="207"/>
      <c r="G488" s="207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</row>
    <row r="489" spans="1:23" ht="26.25" customHeight="1">
      <c r="A489" s="208"/>
      <c r="B489" s="208"/>
      <c r="C489" s="207"/>
      <c r="D489" s="207"/>
      <c r="E489" s="207"/>
      <c r="F489" s="207"/>
      <c r="G489" s="207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</row>
    <row r="490" spans="1:23" ht="26.25" customHeight="1">
      <c r="A490" s="208"/>
      <c r="B490" s="208"/>
      <c r="C490" s="207"/>
      <c r="D490" s="207"/>
      <c r="E490" s="207"/>
      <c r="F490" s="207"/>
      <c r="G490" s="207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</row>
    <row r="491" spans="1:23" ht="26.25" customHeight="1">
      <c r="A491" s="208"/>
      <c r="B491" s="208"/>
      <c r="C491" s="207"/>
      <c r="D491" s="207"/>
      <c r="E491" s="207"/>
      <c r="F491" s="207"/>
      <c r="G491" s="207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</row>
    <row r="492" spans="1:23" ht="26.25" customHeight="1">
      <c r="A492" s="208"/>
      <c r="B492" s="208"/>
      <c r="C492" s="207"/>
      <c r="D492" s="207"/>
      <c r="E492" s="207"/>
      <c r="F492" s="207"/>
      <c r="G492" s="207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</row>
    <row r="493" spans="1:23" ht="26.25" customHeight="1">
      <c r="A493" s="208"/>
      <c r="B493" s="208"/>
      <c r="C493" s="207"/>
      <c r="D493" s="207"/>
      <c r="E493" s="207"/>
      <c r="F493" s="207"/>
      <c r="G493" s="207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</row>
    <row r="494" spans="1:23" ht="26.25" customHeight="1">
      <c r="A494" s="208"/>
      <c r="B494" s="208"/>
      <c r="C494" s="207"/>
      <c r="D494" s="207"/>
      <c r="E494" s="207"/>
      <c r="F494" s="207"/>
      <c r="G494" s="207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</row>
    <row r="495" spans="1:23" ht="26.25" customHeight="1">
      <c r="A495" s="208"/>
      <c r="B495" s="208"/>
      <c r="C495" s="207"/>
      <c r="D495" s="207"/>
      <c r="E495" s="207"/>
      <c r="F495" s="207"/>
      <c r="G495" s="207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</row>
    <row r="496" spans="1:23" ht="26.25" customHeight="1">
      <c r="A496" s="208"/>
      <c r="B496" s="208"/>
      <c r="C496" s="207"/>
      <c r="D496" s="207"/>
      <c r="E496" s="207"/>
      <c r="F496" s="207"/>
      <c r="G496" s="207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</row>
    <row r="497" spans="1:23" ht="26.25" customHeight="1">
      <c r="A497" s="208"/>
      <c r="B497" s="208"/>
      <c r="C497" s="207"/>
      <c r="D497" s="207"/>
      <c r="E497" s="207"/>
      <c r="F497" s="207"/>
      <c r="G497" s="207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</row>
    <row r="498" spans="1:23" ht="26.25" customHeight="1">
      <c r="A498" s="208"/>
      <c r="B498" s="208"/>
      <c r="C498" s="207"/>
      <c r="D498" s="207"/>
      <c r="E498" s="207"/>
      <c r="F498" s="207"/>
      <c r="G498" s="207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</row>
    <row r="499" spans="1:23" ht="26.25" customHeight="1">
      <c r="A499" s="208"/>
      <c r="B499" s="208"/>
      <c r="C499" s="207"/>
      <c r="D499" s="207"/>
      <c r="E499" s="207"/>
      <c r="F499" s="207"/>
      <c r="G499" s="207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</row>
    <row r="500" spans="1:23" ht="26.25" customHeight="1">
      <c r="A500" s="208"/>
      <c r="B500" s="208"/>
      <c r="C500" s="207"/>
      <c r="D500" s="207"/>
      <c r="E500" s="207"/>
      <c r="F500" s="207"/>
      <c r="G500" s="207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</row>
    <row r="501" spans="1:23" ht="26.25" customHeight="1">
      <c r="A501" s="208"/>
      <c r="B501" s="208"/>
      <c r="C501" s="207"/>
      <c r="D501" s="207"/>
      <c r="E501" s="207"/>
      <c r="F501" s="207"/>
      <c r="G501" s="207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</row>
    <row r="502" spans="1:23" ht="26.25" customHeight="1">
      <c r="A502" s="208"/>
      <c r="B502" s="208"/>
      <c r="C502" s="207"/>
      <c r="D502" s="207"/>
      <c r="E502" s="207"/>
      <c r="F502" s="207"/>
      <c r="G502" s="207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</row>
    <row r="503" spans="1:23" ht="26.25" customHeight="1">
      <c r="A503" s="208"/>
      <c r="B503" s="208"/>
      <c r="C503" s="207"/>
      <c r="D503" s="207"/>
      <c r="E503" s="207"/>
      <c r="F503" s="207"/>
      <c r="G503" s="207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</row>
    <row r="504" spans="1:23" ht="26.25" customHeight="1">
      <c r="A504" s="208"/>
      <c r="B504" s="208"/>
      <c r="C504" s="207"/>
      <c r="D504" s="207"/>
      <c r="E504" s="207"/>
      <c r="F504" s="207"/>
      <c r="G504" s="207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</row>
    <row r="505" spans="1:23" ht="26.25" customHeight="1">
      <c r="A505" s="208"/>
      <c r="B505" s="208"/>
      <c r="C505" s="207"/>
      <c r="D505" s="207"/>
      <c r="E505" s="207"/>
      <c r="F505" s="207"/>
      <c r="G505" s="207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</row>
    <row r="506" spans="1:23" ht="26.25" customHeight="1">
      <c r="A506" s="208"/>
      <c r="B506" s="208"/>
      <c r="C506" s="207"/>
      <c r="D506" s="207"/>
      <c r="E506" s="207"/>
      <c r="F506" s="207"/>
      <c r="G506" s="207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</row>
    <row r="507" spans="1:23" ht="26.25" customHeight="1">
      <c r="A507" s="208"/>
      <c r="B507" s="208"/>
      <c r="C507" s="207"/>
      <c r="D507" s="207"/>
      <c r="E507" s="207"/>
      <c r="F507" s="207"/>
      <c r="G507" s="207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</row>
    <row r="508" spans="1:23" ht="26.25" customHeight="1">
      <c r="A508" s="208"/>
      <c r="B508" s="208"/>
      <c r="C508" s="207"/>
      <c r="D508" s="207"/>
      <c r="E508" s="207"/>
      <c r="F508" s="207"/>
      <c r="G508" s="207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</row>
    <row r="509" spans="1:23" ht="26.25" customHeight="1">
      <c r="A509" s="208"/>
      <c r="B509" s="208"/>
      <c r="C509" s="207"/>
      <c r="D509" s="207"/>
      <c r="E509" s="207"/>
      <c r="F509" s="207"/>
      <c r="G509" s="207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</row>
    <row r="510" spans="1:23" ht="26.25" customHeight="1">
      <c r="A510" s="208"/>
      <c r="B510" s="208"/>
      <c r="C510" s="207"/>
      <c r="D510" s="207"/>
      <c r="E510" s="207"/>
      <c r="F510" s="207"/>
      <c r="G510" s="207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</row>
    <row r="511" spans="1:23" ht="26.25" customHeight="1">
      <c r="A511" s="208"/>
      <c r="B511" s="208"/>
      <c r="C511" s="207"/>
      <c r="D511" s="207"/>
      <c r="E511" s="207"/>
      <c r="F511" s="207"/>
      <c r="G511" s="207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</row>
    <row r="512" spans="1:23" ht="26.25" customHeight="1">
      <c r="A512" s="208"/>
      <c r="B512" s="208"/>
      <c r="C512" s="207"/>
      <c r="D512" s="207"/>
      <c r="E512" s="207"/>
      <c r="F512" s="207"/>
      <c r="G512" s="207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</row>
    <row r="513" spans="1:23" ht="26.25" customHeight="1">
      <c r="A513" s="208"/>
      <c r="B513" s="208"/>
      <c r="C513" s="207"/>
      <c r="D513" s="207"/>
      <c r="E513" s="207"/>
      <c r="F513" s="207"/>
      <c r="G513" s="207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</row>
    <row r="514" spans="1:23" ht="26.25" customHeight="1">
      <c r="A514" s="208"/>
      <c r="B514" s="208"/>
      <c r="C514" s="207"/>
      <c r="D514" s="207"/>
      <c r="E514" s="207"/>
      <c r="F514" s="207"/>
      <c r="G514" s="207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</row>
    <row r="515" spans="1:23" ht="26.25" customHeight="1">
      <c r="A515" s="208"/>
      <c r="B515" s="208"/>
      <c r="C515" s="207"/>
      <c r="D515" s="207"/>
      <c r="E515" s="207"/>
      <c r="F515" s="207"/>
      <c r="G515" s="207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</row>
    <row r="516" spans="1:23" ht="26.25" customHeight="1">
      <c r="A516" s="208"/>
      <c r="B516" s="208"/>
      <c r="C516" s="207"/>
      <c r="D516" s="207"/>
      <c r="E516" s="207"/>
      <c r="F516" s="207"/>
      <c r="G516" s="207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</row>
    <row r="517" spans="1:23" ht="26.25" customHeight="1">
      <c r="A517" s="208"/>
      <c r="B517" s="208"/>
      <c r="C517" s="207"/>
      <c r="D517" s="207"/>
      <c r="E517" s="207"/>
      <c r="F517" s="207"/>
      <c r="G517" s="207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</row>
    <row r="518" spans="1:23" ht="26.25" customHeight="1">
      <c r="A518" s="208"/>
      <c r="B518" s="208"/>
      <c r="C518" s="207"/>
      <c r="D518" s="207"/>
      <c r="E518" s="207"/>
      <c r="F518" s="207"/>
      <c r="G518" s="207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</row>
    <row r="519" spans="1:23" ht="26.25" customHeight="1">
      <c r="A519" s="208"/>
      <c r="B519" s="208"/>
      <c r="C519" s="207"/>
      <c r="D519" s="207"/>
      <c r="E519" s="207"/>
      <c r="F519" s="207"/>
      <c r="G519" s="207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</row>
    <row r="520" spans="1:23" ht="26.25" customHeight="1">
      <c r="A520" s="208"/>
      <c r="B520" s="208"/>
      <c r="C520" s="207"/>
      <c r="D520" s="207"/>
      <c r="E520" s="207"/>
      <c r="F520" s="207"/>
      <c r="G520" s="207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</row>
    <row r="521" spans="1:23" ht="26.25" customHeight="1">
      <c r="A521" s="208"/>
      <c r="B521" s="208"/>
      <c r="C521" s="207"/>
      <c r="D521" s="207"/>
      <c r="E521" s="207"/>
      <c r="F521" s="207"/>
      <c r="G521" s="207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</row>
    <row r="522" spans="1:23" ht="26.25" customHeight="1">
      <c r="A522" s="208"/>
      <c r="B522" s="208"/>
      <c r="C522" s="207"/>
      <c r="D522" s="207"/>
      <c r="E522" s="207"/>
      <c r="F522" s="207"/>
      <c r="G522" s="207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</row>
    <row r="523" spans="1:23" ht="26.25" customHeight="1">
      <c r="A523" s="208"/>
      <c r="B523" s="208"/>
      <c r="C523" s="207"/>
      <c r="D523" s="207"/>
      <c r="E523" s="207"/>
      <c r="F523" s="207"/>
      <c r="G523" s="207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</row>
    <row r="524" spans="1:23" ht="26.25" customHeight="1">
      <c r="A524" s="208"/>
      <c r="B524" s="208"/>
      <c r="C524" s="207"/>
      <c r="D524" s="207"/>
      <c r="E524" s="207"/>
      <c r="F524" s="207"/>
      <c r="G524" s="207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</row>
    <row r="525" spans="1:23" ht="26.25" customHeight="1">
      <c r="A525" s="208"/>
      <c r="B525" s="208"/>
      <c r="C525" s="207"/>
      <c r="D525" s="207"/>
      <c r="E525" s="207"/>
      <c r="F525" s="207"/>
      <c r="G525" s="207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</row>
    <row r="526" spans="1:23" ht="26.25" customHeight="1">
      <c r="A526" s="208"/>
      <c r="B526" s="208"/>
      <c r="C526" s="207"/>
      <c r="D526" s="207"/>
      <c r="E526" s="207"/>
      <c r="F526" s="207"/>
      <c r="G526" s="207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</row>
    <row r="527" spans="1:23" ht="26.25" customHeight="1">
      <c r="A527" s="208"/>
      <c r="B527" s="208"/>
      <c r="C527" s="207"/>
      <c r="D527" s="207"/>
      <c r="E527" s="207"/>
      <c r="F527" s="207"/>
      <c r="G527" s="207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</row>
    <row r="528" spans="1:23" ht="26.25" customHeight="1">
      <c r="A528" s="208"/>
      <c r="B528" s="208"/>
      <c r="C528" s="207"/>
      <c r="D528" s="207"/>
      <c r="E528" s="207"/>
      <c r="F528" s="207"/>
      <c r="G528" s="207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</row>
    <row r="529" spans="1:23" ht="26.25" customHeight="1">
      <c r="A529" s="208"/>
      <c r="B529" s="208"/>
      <c r="C529" s="207"/>
      <c r="D529" s="207"/>
      <c r="E529" s="207"/>
      <c r="F529" s="207"/>
      <c r="G529" s="207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</row>
    <row r="530" spans="1:23" ht="26.25" customHeight="1">
      <c r="A530" s="208"/>
      <c r="B530" s="208"/>
      <c r="C530" s="207"/>
      <c r="D530" s="207"/>
      <c r="E530" s="207"/>
      <c r="F530" s="207"/>
      <c r="G530" s="207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</row>
    <row r="531" spans="1:23" ht="26.25" customHeight="1">
      <c r="A531" s="208"/>
      <c r="B531" s="208"/>
      <c r="C531" s="207"/>
      <c r="D531" s="207"/>
      <c r="E531" s="207"/>
      <c r="F531" s="207"/>
      <c r="G531" s="207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</row>
    <row r="532" spans="1:23" ht="26.25" customHeight="1">
      <c r="A532" s="208"/>
      <c r="B532" s="208"/>
      <c r="C532" s="207"/>
      <c r="D532" s="207"/>
      <c r="E532" s="207"/>
      <c r="F532" s="207"/>
      <c r="G532" s="207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</row>
    <row r="533" spans="1:23" ht="26.25" customHeight="1">
      <c r="A533" s="208"/>
      <c r="B533" s="208"/>
      <c r="C533" s="207"/>
      <c r="D533" s="207"/>
      <c r="E533" s="207"/>
      <c r="F533" s="207"/>
      <c r="G533" s="207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</row>
    <row r="534" spans="1:23" ht="26.25" customHeight="1">
      <c r="A534" s="208"/>
      <c r="B534" s="208"/>
      <c r="C534" s="207"/>
      <c r="D534" s="207"/>
      <c r="E534" s="207"/>
      <c r="F534" s="207"/>
      <c r="G534" s="207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</row>
    <row r="535" spans="1:23" ht="26.25" customHeight="1">
      <c r="A535" s="208"/>
      <c r="B535" s="208"/>
      <c r="C535" s="207"/>
      <c r="D535" s="207"/>
      <c r="E535" s="207"/>
      <c r="F535" s="207"/>
      <c r="G535" s="207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</row>
    <row r="536" spans="1:23" ht="26.25" customHeight="1">
      <c r="A536" s="208"/>
      <c r="B536" s="208"/>
      <c r="C536" s="207"/>
      <c r="D536" s="207"/>
      <c r="E536" s="207"/>
      <c r="F536" s="207"/>
      <c r="G536" s="207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</row>
    <row r="537" spans="1:23" ht="26.25" customHeight="1">
      <c r="A537" s="208"/>
      <c r="B537" s="208"/>
      <c r="C537" s="207"/>
      <c r="D537" s="207"/>
      <c r="E537" s="207"/>
      <c r="F537" s="207"/>
      <c r="G537" s="207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</row>
    <row r="538" spans="1:23" ht="26.25" customHeight="1">
      <c r="A538" s="208"/>
      <c r="B538" s="208"/>
      <c r="C538" s="207"/>
      <c r="D538" s="207"/>
      <c r="E538" s="207"/>
      <c r="F538" s="207"/>
      <c r="G538" s="207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</row>
    <row r="539" spans="1:23" ht="26.25" customHeight="1">
      <c r="A539" s="208"/>
      <c r="B539" s="208"/>
      <c r="C539" s="207"/>
      <c r="D539" s="207"/>
      <c r="E539" s="207"/>
      <c r="F539" s="207"/>
      <c r="G539" s="207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</row>
    <row r="540" spans="1:23" ht="26.25" customHeight="1">
      <c r="A540" s="208"/>
      <c r="B540" s="208"/>
      <c r="C540" s="207"/>
      <c r="D540" s="207"/>
      <c r="E540" s="207"/>
      <c r="F540" s="207"/>
      <c r="G540" s="207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</row>
    <row r="541" spans="1:23" ht="26.25" customHeight="1">
      <c r="A541" s="208"/>
      <c r="B541" s="208"/>
      <c r="C541" s="207"/>
      <c r="D541" s="207"/>
      <c r="E541" s="207"/>
      <c r="F541" s="207"/>
      <c r="G541" s="207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</row>
    <row r="542" spans="1:23" ht="26.25" customHeight="1">
      <c r="A542" s="208"/>
      <c r="B542" s="208"/>
      <c r="C542" s="207"/>
      <c r="D542" s="207"/>
      <c r="E542" s="207"/>
      <c r="F542" s="207"/>
      <c r="G542" s="207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</row>
    <row r="543" spans="1:23" ht="26.25" customHeight="1">
      <c r="A543" s="208"/>
      <c r="B543" s="208"/>
      <c r="C543" s="207"/>
      <c r="D543" s="207"/>
      <c r="E543" s="207"/>
      <c r="F543" s="207"/>
      <c r="G543" s="207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</row>
    <row r="544" spans="1:23" ht="26.25" customHeight="1">
      <c r="A544" s="208"/>
      <c r="B544" s="208"/>
      <c r="C544" s="207"/>
      <c r="D544" s="207"/>
      <c r="E544" s="207"/>
      <c r="F544" s="207"/>
      <c r="G544" s="207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</row>
    <row r="545" spans="1:23" ht="26.25" customHeight="1">
      <c r="A545" s="208"/>
      <c r="B545" s="208"/>
      <c r="C545" s="207"/>
      <c r="D545" s="207"/>
      <c r="E545" s="207"/>
      <c r="F545" s="207"/>
      <c r="G545" s="207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</row>
    <row r="546" spans="1:23" ht="26.25" customHeight="1">
      <c r="A546" s="208"/>
      <c r="B546" s="208"/>
      <c r="C546" s="207"/>
      <c r="D546" s="207"/>
      <c r="E546" s="207"/>
      <c r="F546" s="207"/>
      <c r="G546" s="207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</row>
    <row r="547" spans="1:23" ht="26.25" customHeight="1">
      <c r="A547" s="208"/>
      <c r="B547" s="208"/>
      <c r="C547" s="207"/>
      <c r="D547" s="207"/>
      <c r="E547" s="207"/>
      <c r="F547" s="207"/>
      <c r="G547" s="207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</row>
    <row r="548" spans="1:23" ht="26.25" customHeight="1">
      <c r="A548" s="208"/>
      <c r="B548" s="208"/>
      <c r="C548" s="207"/>
      <c r="D548" s="207"/>
      <c r="E548" s="207"/>
      <c r="F548" s="207"/>
      <c r="G548" s="207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</row>
    <row r="549" spans="1:23" ht="26.25" customHeight="1">
      <c r="A549" s="208"/>
      <c r="B549" s="208"/>
      <c r="C549" s="207"/>
      <c r="D549" s="207"/>
      <c r="E549" s="207"/>
      <c r="F549" s="207"/>
      <c r="G549" s="207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</row>
    <row r="550" spans="1:23" ht="26.25" customHeight="1">
      <c r="A550" s="208"/>
      <c r="B550" s="208"/>
      <c r="C550" s="207"/>
      <c r="D550" s="207"/>
      <c r="E550" s="207"/>
      <c r="F550" s="207"/>
      <c r="G550" s="207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</row>
    <row r="551" spans="1:23" ht="26.25" customHeight="1">
      <c r="A551" s="208"/>
      <c r="B551" s="208"/>
      <c r="C551" s="207"/>
      <c r="D551" s="207"/>
      <c r="E551" s="207"/>
      <c r="F551" s="207"/>
      <c r="G551" s="207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</row>
    <row r="552" spans="1:23" ht="26.25" customHeight="1">
      <c r="A552" s="208"/>
      <c r="B552" s="208"/>
      <c r="C552" s="207"/>
      <c r="D552" s="207"/>
      <c r="E552" s="207"/>
      <c r="F552" s="207"/>
      <c r="G552" s="207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</row>
    <row r="553" spans="1:23" ht="26.25" customHeight="1">
      <c r="A553" s="208"/>
      <c r="B553" s="208"/>
      <c r="C553" s="207"/>
      <c r="D553" s="207"/>
      <c r="E553" s="207"/>
      <c r="F553" s="207"/>
      <c r="G553" s="207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</row>
    <row r="554" spans="1:23" ht="26.25" customHeight="1">
      <c r="A554" s="208"/>
      <c r="B554" s="208"/>
      <c r="C554" s="207"/>
      <c r="D554" s="207"/>
      <c r="E554" s="207"/>
      <c r="F554" s="207"/>
      <c r="G554" s="207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</row>
    <row r="555" spans="1:23" ht="26.25" customHeight="1">
      <c r="A555" s="208"/>
      <c r="B555" s="208"/>
      <c r="C555" s="207"/>
      <c r="D555" s="207"/>
      <c r="E555" s="207"/>
      <c r="F555" s="207"/>
      <c r="G555" s="207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</row>
    <row r="556" spans="1:23" ht="26.25" customHeight="1">
      <c r="A556" s="208"/>
      <c r="B556" s="208"/>
      <c r="C556" s="207"/>
      <c r="D556" s="207"/>
      <c r="E556" s="207"/>
      <c r="F556" s="207"/>
      <c r="G556" s="207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</row>
    <row r="557" spans="1:23" ht="26.25" customHeight="1">
      <c r="A557" s="208"/>
      <c r="B557" s="208"/>
      <c r="C557" s="207"/>
      <c r="D557" s="207"/>
      <c r="E557" s="207"/>
      <c r="F557" s="207"/>
      <c r="G557" s="207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</row>
    <row r="558" spans="1:23" ht="26.25" customHeight="1">
      <c r="A558" s="208"/>
      <c r="B558" s="208"/>
      <c r="C558" s="207"/>
      <c r="D558" s="207"/>
      <c r="E558" s="207"/>
      <c r="F558" s="207"/>
      <c r="G558" s="207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</row>
    <row r="559" spans="1:23" ht="26.25" customHeight="1">
      <c r="A559" s="208"/>
      <c r="B559" s="208"/>
      <c r="C559" s="207"/>
      <c r="D559" s="207"/>
      <c r="E559" s="207"/>
      <c r="F559" s="207"/>
      <c r="G559" s="207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</row>
    <row r="560" spans="1:23" ht="26.25" customHeight="1">
      <c r="A560" s="208"/>
      <c r="B560" s="208"/>
      <c r="C560" s="207"/>
      <c r="D560" s="207"/>
      <c r="E560" s="207"/>
      <c r="F560" s="207"/>
      <c r="G560" s="207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</row>
    <row r="561" spans="1:23" ht="26.25" customHeight="1">
      <c r="A561" s="208"/>
      <c r="B561" s="208"/>
      <c r="C561" s="207"/>
      <c r="D561" s="207"/>
      <c r="E561" s="207"/>
      <c r="F561" s="207"/>
      <c r="G561" s="207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</row>
    <row r="562" spans="1:23" ht="26.25" customHeight="1">
      <c r="A562" s="208"/>
      <c r="B562" s="208"/>
      <c r="C562" s="207"/>
      <c r="D562" s="207"/>
      <c r="E562" s="207"/>
      <c r="F562" s="207"/>
      <c r="G562" s="207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</row>
    <row r="563" spans="1:23" ht="26.25" customHeight="1">
      <c r="A563" s="208"/>
      <c r="B563" s="208"/>
      <c r="C563" s="207"/>
      <c r="D563" s="207"/>
      <c r="E563" s="207"/>
      <c r="F563" s="207"/>
      <c r="G563" s="207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</row>
    <row r="564" spans="1:23" ht="26.25" customHeight="1">
      <c r="A564" s="208"/>
      <c r="B564" s="208"/>
      <c r="C564" s="207"/>
      <c r="D564" s="207"/>
      <c r="E564" s="207"/>
      <c r="F564" s="207"/>
      <c r="G564" s="207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</row>
    <row r="565" spans="1:23" ht="26.25" customHeight="1">
      <c r="A565" s="208"/>
      <c r="B565" s="208"/>
      <c r="C565" s="207"/>
      <c r="D565" s="207"/>
      <c r="E565" s="207"/>
      <c r="F565" s="207"/>
      <c r="G565" s="207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</row>
    <row r="566" spans="1:23" ht="26.25" customHeight="1">
      <c r="A566" s="208"/>
      <c r="B566" s="208"/>
      <c r="C566" s="207"/>
      <c r="D566" s="207"/>
      <c r="E566" s="207"/>
      <c r="F566" s="207"/>
      <c r="G566" s="207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</row>
    <row r="567" spans="1:23" ht="26.25" customHeight="1">
      <c r="A567" s="208"/>
      <c r="B567" s="208"/>
      <c r="C567" s="207"/>
      <c r="D567" s="207"/>
      <c r="E567" s="207"/>
      <c r="F567" s="207"/>
      <c r="G567" s="207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</row>
    <row r="568" spans="1:23" ht="26.25" customHeight="1">
      <c r="A568" s="208"/>
      <c r="B568" s="208"/>
      <c r="C568" s="207"/>
      <c r="D568" s="207"/>
      <c r="E568" s="207"/>
      <c r="F568" s="207"/>
      <c r="G568" s="207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</row>
    <row r="569" spans="1:23" ht="26.25" customHeight="1">
      <c r="A569" s="208"/>
      <c r="B569" s="208"/>
      <c r="C569" s="207"/>
      <c r="D569" s="207"/>
      <c r="E569" s="207"/>
      <c r="F569" s="207"/>
      <c r="G569" s="207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</row>
    <row r="570" spans="1:23" ht="26.25" customHeight="1">
      <c r="A570" s="208"/>
      <c r="B570" s="208"/>
      <c r="C570" s="207"/>
      <c r="D570" s="207"/>
      <c r="E570" s="207"/>
      <c r="F570" s="207"/>
      <c r="G570" s="207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</row>
    <row r="571" spans="1:23" ht="26.25" customHeight="1">
      <c r="A571" s="208"/>
      <c r="B571" s="208"/>
      <c r="C571" s="207"/>
      <c r="D571" s="207"/>
      <c r="E571" s="207"/>
      <c r="F571" s="207"/>
      <c r="G571" s="207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</row>
    <row r="572" spans="1:23" ht="26.25" customHeight="1">
      <c r="A572" s="208"/>
      <c r="B572" s="208"/>
      <c r="C572" s="207"/>
      <c r="D572" s="207"/>
      <c r="E572" s="207"/>
      <c r="F572" s="207"/>
      <c r="G572" s="207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</row>
    <row r="573" spans="1:23" ht="26.25" customHeight="1">
      <c r="A573" s="208"/>
      <c r="B573" s="208"/>
      <c r="C573" s="207"/>
      <c r="D573" s="207"/>
      <c r="E573" s="207"/>
      <c r="F573" s="207"/>
      <c r="G573" s="207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</row>
    <row r="574" spans="1:23" ht="26.25" customHeight="1">
      <c r="A574" s="208"/>
      <c r="B574" s="208"/>
      <c r="C574" s="207"/>
      <c r="D574" s="207"/>
      <c r="E574" s="207"/>
      <c r="F574" s="207"/>
      <c r="G574" s="207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</row>
    <row r="575" spans="1:23" ht="26.25" customHeight="1">
      <c r="A575" s="208"/>
      <c r="B575" s="208"/>
      <c r="C575" s="207"/>
      <c r="D575" s="207"/>
      <c r="E575" s="207"/>
      <c r="F575" s="207"/>
      <c r="G575" s="207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</row>
    <row r="576" spans="1:23" ht="26.25" customHeight="1">
      <c r="A576" s="208"/>
      <c r="B576" s="208"/>
      <c r="C576" s="207"/>
      <c r="D576" s="207"/>
      <c r="E576" s="207"/>
      <c r="F576" s="207"/>
      <c r="G576" s="207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</row>
    <row r="577" spans="1:23" ht="26.25" customHeight="1">
      <c r="A577" s="208"/>
      <c r="B577" s="208"/>
      <c r="C577" s="207"/>
      <c r="D577" s="207"/>
      <c r="E577" s="207"/>
      <c r="F577" s="207"/>
      <c r="G577" s="207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</row>
    <row r="578" spans="1:23" ht="26.25" customHeight="1">
      <c r="A578" s="208"/>
      <c r="B578" s="208"/>
      <c r="C578" s="207"/>
      <c r="D578" s="207"/>
      <c r="E578" s="207"/>
      <c r="F578" s="207"/>
      <c r="G578" s="207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</row>
    <row r="579" spans="1:23" ht="26.25" customHeight="1">
      <c r="A579" s="208"/>
      <c r="B579" s="208"/>
      <c r="C579" s="207"/>
      <c r="D579" s="207"/>
      <c r="E579" s="207"/>
      <c r="F579" s="207"/>
      <c r="G579" s="207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</row>
    <row r="580" spans="1:23" ht="26.25" customHeight="1">
      <c r="A580" s="208"/>
      <c r="B580" s="208"/>
      <c r="C580" s="207"/>
      <c r="D580" s="207"/>
      <c r="E580" s="207"/>
      <c r="F580" s="207"/>
      <c r="G580" s="207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</row>
    <row r="581" spans="1:23" ht="26.25" customHeight="1">
      <c r="A581" s="208"/>
      <c r="B581" s="208"/>
      <c r="C581" s="207"/>
      <c r="D581" s="207"/>
      <c r="E581" s="207"/>
      <c r="F581" s="207"/>
      <c r="G581" s="207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</row>
    <row r="582" spans="1:23" ht="26.25" customHeight="1">
      <c r="A582" s="208"/>
      <c r="B582" s="208"/>
      <c r="C582" s="207"/>
      <c r="D582" s="207"/>
      <c r="E582" s="207"/>
      <c r="F582" s="207"/>
      <c r="G582" s="207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</row>
    <row r="583" spans="1:23" ht="26.25" customHeight="1">
      <c r="A583" s="208"/>
      <c r="B583" s="208"/>
      <c r="C583" s="207"/>
      <c r="D583" s="207"/>
      <c r="E583" s="207"/>
      <c r="F583" s="207"/>
      <c r="G583" s="207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</row>
    <row r="584" spans="1:23" ht="26.25" customHeight="1">
      <c r="A584" s="208"/>
      <c r="B584" s="208"/>
      <c r="C584" s="207"/>
      <c r="D584" s="207"/>
      <c r="E584" s="207"/>
      <c r="F584" s="207"/>
      <c r="G584" s="207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</row>
    <row r="585" spans="1:23" ht="26.25" customHeight="1">
      <c r="A585" s="208"/>
      <c r="B585" s="208"/>
      <c r="C585" s="207"/>
      <c r="D585" s="207"/>
      <c r="E585" s="207"/>
      <c r="F585" s="207"/>
      <c r="G585" s="207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</row>
    <row r="586" spans="1:23" ht="26.25" customHeight="1">
      <c r="A586" s="208"/>
      <c r="B586" s="208"/>
      <c r="C586" s="207"/>
      <c r="D586" s="207"/>
      <c r="E586" s="207"/>
      <c r="F586" s="207"/>
      <c r="G586" s="207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</row>
    <row r="587" spans="1:23" ht="26.25" customHeight="1">
      <c r="A587" s="208"/>
      <c r="B587" s="208"/>
      <c r="C587" s="207"/>
      <c r="D587" s="207"/>
      <c r="E587" s="207"/>
      <c r="F587" s="207"/>
      <c r="G587" s="207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</row>
    <row r="588" spans="1:23" ht="26.25" customHeight="1">
      <c r="A588" s="208"/>
      <c r="B588" s="208"/>
      <c r="C588" s="207"/>
      <c r="D588" s="207"/>
      <c r="E588" s="207"/>
      <c r="F588" s="207"/>
      <c r="G588" s="207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</row>
    <row r="589" spans="1:23" ht="26.25" customHeight="1">
      <c r="A589" s="208"/>
      <c r="B589" s="208"/>
      <c r="C589" s="207"/>
      <c r="D589" s="207"/>
      <c r="E589" s="207"/>
      <c r="F589" s="207"/>
      <c r="G589" s="207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</row>
    <row r="590" spans="1:23" ht="26.25" customHeight="1">
      <c r="A590" s="208"/>
      <c r="B590" s="208"/>
      <c r="C590" s="207"/>
      <c r="D590" s="207"/>
      <c r="E590" s="207"/>
      <c r="F590" s="207"/>
      <c r="G590" s="207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</row>
    <row r="591" spans="1:23" ht="26.25" customHeight="1">
      <c r="A591" s="208"/>
      <c r="B591" s="208"/>
      <c r="C591" s="207"/>
      <c r="D591" s="207"/>
      <c r="E591" s="207"/>
      <c r="F591" s="207"/>
      <c r="G591" s="207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</row>
    <row r="592" spans="1:23" ht="26.25" customHeight="1">
      <c r="A592" s="208"/>
      <c r="B592" s="208"/>
      <c r="C592" s="207"/>
      <c r="D592" s="207"/>
      <c r="E592" s="207"/>
      <c r="F592" s="207"/>
      <c r="G592" s="207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</row>
    <row r="593" spans="1:23" ht="26.25" customHeight="1">
      <c r="A593" s="208"/>
      <c r="B593" s="208"/>
      <c r="C593" s="207"/>
      <c r="D593" s="207"/>
      <c r="E593" s="207"/>
      <c r="F593" s="207"/>
      <c r="G593" s="207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</row>
    <row r="594" spans="1:23" ht="26.25" customHeight="1">
      <c r="A594" s="208"/>
      <c r="B594" s="208"/>
      <c r="C594" s="207"/>
      <c r="D594" s="207"/>
      <c r="E594" s="207"/>
      <c r="F594" s="207"/>
      <c r="G594" s="207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</row>
    <row r="595" spans="1:23" ht="26.25" customHeight="1">
      <c r="A595" s="208"/>
      <c r="B595" s="208"/>
      <c r="C595" s="207"/>
      <c r="D595" s="207"/>
      <c r="E595" s="207"/>
      <c r="F595" s="207"/>
      <c r="G595" s="207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</row>
    <row r="596" spans="1:23" ht="26.25" customHeight="1">
      <c r="A596" s="208"/>
      <c r="B596" s="208"/>
      <c r="C596" s="207"/>
      <c r="D596" s="207"/>
      <c r="E596" s="207"/>
      <c r="F596" s="207"/>
      <c r="G596" s="207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</row>
    <row r="597" spans="1:23" ht="26.25" customHeight="1">
      <c r="A597" s="208"/>
      <c r="B597" s="208"/>
      <c r="C597" s="207"/>
      <c r="D597" s="207"/>
      <c r="E597" s="207"/>
      <c r="F597" s="207"/>
      <c r="G597" s="207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</row>
    <row r="598" spans="1:23" ht="26.25" customHeight="1">
      <c r="A598" s="208"/>
      <c r="B598" s="208"/>
      <c r="C598" s="207"/>
      <c r="D598" s="207"/>
      <c r="E598" s="207"/>
      <c r="F598" s="207"/>
      <c r="G598" s="207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</row>
    <row r="599" spans="1:23" ht="26.25" customHeight="1">
      <c r="A599" s="208"/>
      <c r="B599" s="208"/>
      <c r="C599" s="207"/>
      <c r="D599" s="207"/>
      <c r="E599" s="207"/>
      <c r="F599" s="207"/>
      <c r="G599" s="207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</row>
    <row r="600" spans="1:23" ht="26.25" customHeight="1">
      <c r="A600" s="208"/>
      <c r="B600" s="208"/>
      <c r="C600" s="207"/>
      <c r="D600" s="207"/>
      <c r="E600" s="207"/>
      <c r="F600" s="207"/>
      <c r="G600" s="207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</row>
    <row r="601" spans="1:23" ht="26.25" customHeight="1">
      <c r="A601" s="208"/>
      <c r="B601" s="208"/>
      <c r="C601" s="207"/>
      <c r="D601" s="207"/>
      <c r="E601" s="207"/>
      <c r="F601" s="207"/>
      <c r="G601" s="207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</row>
    <row r="602" spans="1:23" ht="26.25" customHeight="1">
      <c r="A602" s="208"/>
      <c r="B602" s="208"/>
      <c r="C602" s="207"/>
      <c r="D602" s="207"/>
      <c r="E602" s="207"/>
      <c r="F602" s="207"/>
      <c r="G602" s="207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</row>
    <row r="603" spans="1:23" ht="26.25" customHeight="1">
      <c r="A603" s="208"/>
      <c r="B603" s="208"/>
      <c r="C603" s="207"/>
      <c r="D603" s="207"/>
      <c r="E603" s="207"/>
      <c r="F603" s="207"/>
      <c r="G603" s="207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</row>
    <row r="604" spans="1:23" ht="26.25" customHeight="1">
      <c r="A604" s="208"/>
      <c r="B604" s="208"/>
      <c r="C604" s="207"/>
      <c r="D604" s="207"/>
      <c r="E604" s="207"/>
      <c r="F604" s="207"/>
      <c r="G604" s="207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</row>
    <row r="605" spans="1:23" ht="26.25" customHeight="1">
      <c r="A605" s="208"/>
      <c r="B605" s="208"/>
      <c r="C605" s="207"/>
      <c r="D605" s="207"/>
      <c r="E605" s="207"/>
      <c r="F605" s="207"/>
      <c r="G605" s="207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</row>
    <row r="606" spans="1:23" ht="26.25" customHeight="1">
      <c r="A606" s="208"/>
      <c r="B606" s="208"/>
      <c r="C606" s="207"/>
      <c r="D606" s="207"/>
      <c r="E606" s="207"/>
      <c r="F606" s="207"/>
      <c r="G606" s="207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</row>
    <row r="607" spans="1:23" ht="26.25" customHeight="1">
      <c r="A607" s="208"/>
      <c r="B607" s="208"/>
      <c r="C607" s="207"/>
      <c r="D607" s="207"/>
      <c r="E607" s="207"/>
      <c r="F607" s="207"/>
      <c r="G607" s="207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</row>
    <row r="608" spans="1:23" ht="26.25" customHeight="1">
      <c r="A608" s="208"/>
      <c r="B608" s="208"/>
      <c r="C608" s="207"/>
      <c r="D608" s="207"/>
      <c r="E608" s="207"/>
      <c r="F608" s="207"/>
      <c r="G608" s="207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</row>
    <row r="609" spans="1:23" ht="26.25" customHeight="1">
      <c r="A609" s="208"/>
      <c r="B609" s="208"/>
      <c r="C609" s="207"/>
      <c r="D609" s="207"/>
      <c r="E609" s="207"/>
      <c r="F609" s="207"/>
      <c r="G609" s="207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</row>
    <row r="610" spans="1:23" ht="26.25" customHeight="1">
      <c r="A610" s="208"/>
      <c r="B610" s="208"/>
      <c r="C610" s="207"/>
      <c r="D610" s="207"/>
      <c r="E610" s="207"/>
      <c r="F610" s="207"/>
      <c r="G610" s="207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</row>
    <row r="611" spans="1:23" ht="26.25" customHeight="1">
      <c r="A611" s="208"/>
      <c r="B611" s="208"/>
      <c r="C611" s="207"/>
      <c r="D611" s="207"/>
      <c r="E611" s="207"/>
      <c r="F611" s="207"/>
      <c r="G611" s="207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</row>
    <row r="612" spans="1:23" ht="26.25" customHeight="1">
      <c r="A612" s="208"/>
      <c r="B612" s="208"/>
      <c r="C612" s="207"/>
      <c r="D612" s="207"/>
      <c r="E612" s="207"/>
      <c r="F612" s="207"/>
      <c r="G612" s="207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</row>
    <row r="613" spans="1:23" ht="26.25" customHeight="1">
      <c r="A613" s="208"/>
      <c r="B613" s="208"/>
      <c r="C613" s="207"/>
      <c r="D613" s="207"/>
      <c r="E613" s="207"/>
      <c r="F613" s="207"/>
      <c r="G613" s="207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</row>
    <row r="614" spans="1:23" ht="26.25" customHeight="1">
      <c r="A614" s="208"/>
      <c r="B614" s="208"/>
      <c r="C614" s="207"/>
      <c r="D614" s="207"/>
      <c r="E614" s="207"/>
      <c r="F614" s="207"/>
      <c r="G614" s="207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</row>
    <row r="615" spans="1:23" ht="26.25" customHeight="1">
      <c r="A615" s="208"/>
      <c r="B615" s="208"/>
      <c r="C615" s="207"/>
      <c r="D615" s="207"/>
      <c r="E615" s="207"/>
      <c r="F615" s="207"/>
      <c r="G615" s="207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</row>
    <row r="616" spans="1:23" ht="26.25" customHeight="1">
      <c r="A616" s="208"/>
      <c r="B616" s="208"/>
      <c r="C616" s="207"/>
      <c r="D616" s="207"/>
      <c r="E616" s="207"/>
      <c r="F616" s="207"/>
      <c r="G616" s="207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</row>
    <row r="617" spans="1:23" ht="26.25" customHeight="1">
      <c r="A617" s="208"/>
      <c r="B617" s="208"/>
      <c r="C617" s="207"/>
      <c r="D617" s="207"/>
      <c r="E617" s="207"/>
      <c r="F617" s="207"/>
      <c r="G617" s="207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</row>
    <row r="618" spans="1:23" ht="26.25" customHeight="1">
      <c r="A618" s="208"/>
      <c r="B618" s="208"/>
      <c r="C618" s="207"/>
      <c r="D618" s="207"/>
      <c r="E618" s="207"/>
      <c r="F618" s="207"/>
      <c r="G618" s="207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</row>
    <row r="619" spans="1:23" ht="26.25" customHeight="1">
      <c r="A619" s="208"/>
      <c r="B619" s="208"/>
      <c r="C619" s="207"/>
      <c r="D619" s="207"/>
      <c r="E619" s="207"/>
      <c r="F619" s="207"/>
      <c r="G619" s="207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</row>
    <row r="620" spans="1:23" ht="26.25" customHeight="1">
      <c r="A620" s="208"/>
      <c r="B620" s="208"/>
      <c r="C620" s="207"/>
      <c r="D620" s="207"/>
      <c r="E620" s="207"/>
      <c r="F620" s="207"/>
      <c r="G620" s="207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</row>
    <row r="621" spans="1:23" ht="26.25" customHeight="1">
      <c r="A621" s="208"/>
      <c r="B621" s="208"/>
      <c r="C621" s="207"/>
      <c r="D621" s="207"/>
      <c r="E621" s="207"/>
      <c r="F621" s="207"/>
      <c r="G621" s="207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</row>
    <row r="622" spans="1:23" ht="26.25" customHeight="1">
      <c r="A622" s="208"/>
      <c r="B622" s="208"/>
      <c r="C622" s="207"/>
      <c r="D622" s="207"/>
      <c r="E622" s="207"/>
      <c r="F622" s="207"/>
      <c r="G622" s="207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</row>
    <row r="623" spans="1:23" ht="26.25" customHeight="1">
      <c r="A623" s="208"/>
      <c r="B623" s="208"/>
      <c r="C623" s="207"/>
      <c r="D623" s="207"/>
      <c r="E623" s="207"/>
      <c r="F623" s="207"/>
      <c r="G623" s="207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</row>
    <row r="624" spans="1:23" ht="26.25" customHeight="1">
      <c r="A624" s="208"/>
      <c r="B624" s="208"/>
      <c r="C624" s="207"/>
      <c r="D624" s="207"/>
      <c r="E624" s="207"/>
      <c r="F624" s="207"/>
      <c r="G624" s="207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</row>
    <row r="625" spans="1:23" ht="26.25" customHeight="1">
      <c r="A625" s="208"/>
      <c r="B625" s="208"/>
      <c r="C625" s="207"/>
      <c r="D625" s="207"/>
      <c r="E625" s="207"/>
      <c r="F625" s="207"/>
      <c r="G625" s="207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</row>
    <row r="626" spans="1:23" ht="26.25" customHeight="1">
      <c r="A626" s="208"/>
      <c r="B626" s="208"/>
      <c r="C626" s="207"/>
      <c r="D626" s="207"/>
      <c r="E626" s="207"/>
      <c r="F626" s="207"/>
      <c r="G626" s="207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</row>
    <row r="627" spans="1:23" ht="26.25" customHeight="1">
      <c r="A627" s="208"/>
      <c r="B627" s="208"/>
      <c r="C627" s="207"/>
      <c r="D627" s="207"/>
      <c r="E627" s="207"/>
      <c r="F627" s="207"/>
      <c r="G627" s="207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</row>
    <row r="628" spans="1:23" ht="26.25" customHeight="1">
      <c r="A628" s="208"/>
      <c r="B628" s="208"/>
      <c r="C628" s="207"/>
      <c r="D628" s="207"/>
      <c r="E628" s="207"/>
      <c r="F628" s="207"/>
      <c r="G628" s="207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</row>
    <row r="629" spans="1:23" ht="26.25" customHeight="1">
      <c r="A629" s="208"/>
      <c r="B629" s="208"/>
      <c r="C629" s="207"/>
      <c r="D629" s="207"/>
      <c r="E629" s="207"/>
      <c r="F629" s="207"/>
      <c r="G629" s="207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</row>
    <row r="630" spans="1:23" ht="26.25" customHeight="1">
      <c r="A630" s="208"/>
      <c r="B630" s="208"/>
      <c r="C630" s="207"/>
      <c r="D630" s="207"/>
      <c r="E630" s="207"/>
      <c r="F630" s="207"/>
      <c r="G630" s="207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</row>
    <row r="631" spans="1:23" ht="26.25" customHeight="1">
      <c r="A631" s="208"/>
      <c r="B631" s="208"/>
      <c r="C631" s="207"/>
      <c r="D631" s="207"/>
      <c r="E631" s="207"/>
      <c r="F631" s="207"/>
      <c r="G631" s="207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</row>
    <row r="632" spans="1:23" ht="26.25" customHeight="1">
      <c r="A632" s="208"/>
      <c r="B632" s="208"/>
      <c r="C632" s="207"/>
      <c r="D632" s="207"/>
      <c r="E632" s="207"/>
      <c r="F632" s="207"/>
      <c r="G632" s="207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</row>
    <row r="633" spans="1:23" ht="26.25" customHeight="1">
      <c r="A633" s="208"/>
      <c r="B633" s="208"/>
      <c r="C633" s="207"/>
      <c r="D633" s="207"/>
      <c r="E633" s="207"/>
      <c r="F633" s="207"/>
      <c r="G633" s="207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</row>
    <row r="634" spans="1:23" ht="26.25" customHeight="1">
      <c r="A634" s="208"/>
      <c r="B634" s="208"/>
      <c r="C634" s="207"/>
      <c r="D634" s="207"/>
      <c r="E634" s="207"/>
      <c r="F634" s="207"/>
      <c r="G634" s="207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</row>
    <row r="635" spans="1:23" ht="26.25" customHeight="1">
      <c r="A635" s="208"/>
      <c r="B635" s="208"/>
      <c r="C635" s="207"/>
      <c r="D635" s="207"/>
      <c r="E635" s="207"/>
      <c r="F635" s="207"/>
      <c r="G635" s="207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</row>
    <row r="636" spans="1:23" ht="26.25" customHeight="1">
      <c r="A636" s="208"/>
      <c r="B636" s="208"/>
      <c r="C636" s="207"/>
      <c r="D636" s="207"/>
      <c r="E636" s="207"/>
      <c r="F636" s="207"/>
      <c r="G636" s="207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</row>
    <row r="637" spans="1:23" ht="26.25" customHeight="1">
      <c r="A637" s="208"/>
      <c r="B637" s="208"/>
      <c r="C637" s="207"/>
      <c r="D637" s="207"/>
      <c r="E637" s="207"/>
      <c r="F637" s="207"/>
      <c r="G637" s="207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</row>
    <row r="638" spans="1:23" ht="26.25" customHeight="1">
      <c r="A638" s="208"/>
      <c r="B638" s="208"/>
      <c r="C638" s="207"/>
      <c r="D638" s="207"/>
      <c r="E638" s="207"/>
      <c r="F638" s="207"/>
      <c r="G638" s="207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</row>
    <row r="639" spans="1:23" ht="26.25" customHeight="1">
      <c r="A639" s="208"/>
      <c r="B639" s="208"/>
      <c r="C639" s="207"/>
      <c r="D639" s="207"/>
      <c r="E639" s="207"/>
      <c r="F639" s="207"/>
      <c r="G639" s="207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</row>
    <row r="640" spans="1:23" ht="26.25" customHeight="1">
      <c r="A640" s="208"/>
      <c r="B640" s="208"/>
      <c r="C640" s="207"/>
      <c r="D640" s="207"/>
      <c r="E640" s="207"/>
      <c r="F640" s="207"/>
      <c r="G640" s="207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</row>
    <row r="641" spans="1:23" ht="26.25" customHeight="1">
      <c r="A641" s="208"/>
      <c r="B641" s="208"/>
      <c r="C641" s="207"/>
      <c r="D641" s="207"/>
      <c r="E641" s="207"/>
      <c r="F641" s="207"/>
      <c r="G641" s="207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</row>
    <row r="642" spans="1:23" ht="26.25" customHeight="1">
      <c r="A642" s="208"/>
      <c r="B642" s="208"/>
      <c r="C642" s="207"/>
      <c r="D642" s="207"/>
      <c r="E642" s="207"/>
      <c r="F642" s="207"/>
      <c r="G642" s="207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</row>
    <row r="643" spans="1:23" ht="26.25" customHeight="1">
      <c r="A643" s="208"/>
      <c r="B643" s="208"/>
      <c r="C643" s="207"/>
      <c r="D643" s="207"/>
      <c r="E643" s="207"/>
      <c r="F643" s="207"/>
      <c r="G643" s="207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</row>
    <row r="644" spans="1:23" ht="26.25" customHeight="1">
      <c r="A644" s="208"/>
      <c r="B644" s="208"/>
      <c r="C644" s="207"/>
      <c r="D644" s="207"/>
      <c r="E644" s="207"/>
      <c r="F644" s="207"/>
      <c r="G644" s="207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</row>
    <row r="645" spans="1:23" ht="26.25" customHeight="1">
      <c r="A645" s="208"/>
      <c r="B645" s="208"/>
      <c r="C645" s="207"/>
      <c r="D645" s="207"/>
      <c r="E645" s="207"/>
      <c r="F645" s="207"/>
      <c r="G645" s="207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</row>
    <row r="646" spans="1:23" ht="26.25" customHeight="1">
      <c r="A646" s="208"/>
      <c r="B646" s="208"/>
      <c r="C646" s="207"/>
      <c r="D646" s="207"/>
      <c r="E646" s="207"/>
      <c r="F646" s="207"/>
      <c r="G646" s="207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</row>
    <row r="647" spans="1:23" ht="26.25" customHeight="1">
      <c r="A647" s="208"/>
      <c r="B647" s="208"/>
      <c r="C647" s="207"/>
      <c r="D647" s="207"/>
      <c r="E647" s="207"/>
      <c r="F647" s="207"/>
      <c r="G647" s="207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</row>
    <row r="648" spans="1:23" ht="26.25" customHeight="1">
      <c r="A648" s="208"/>
      <c r="B648" s="208"/>
      <c r="C648" s="207"/>
      <c r="D648" s="207"/>
      <c r="E648" s="207"/>
      <c r="F648" s="207"/>
      <c r="G648" s="207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</row>
    <row r="649" spans="1:23" ht="26.25" customHeight="1">
      <c r="A649" s="208"/>
      <c r="B649" s="208"/>
      <c r="C649" s="207"/>
      <c r="D649" s="207"/>
      <c r="E649" s="207"/>
      <c r="F649" s="207"/>
      <c r="G649" s="207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</row>
    <row r="650" spans="1:23" ht="26.25" customHeight="1">
      <c r="A650" s="208"/>
      <c r="B650" s="208"/>
      <c r="C650" s="207"/>
      <c r="D650" s="207"/>
      <c r="E650" s="207"/>
      <c r="F650" s="207"/>
      <c r="G650" s="207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</row>
    <row r="651" spans="1:23" ht="26.25" customHeight="1">
      <c r="A651" s="208"/>
      <c r="B651" s="208"/>
      <c r="C651" s="207"/>
      <c r="D651" s="207"/>
      <c r="E651" s="207"/>
      <c r="F651" s="207"/>
      <c r="G651" s="207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</row>
    <row r="652" spans="1:23" ht="26.25" customHeight="1">
      <c r="A652" s="208"/>
      <c r="B652" s="208"/>
      <c r="C652" s="207"/>
      <c r="D652" s="207"/>
      <c r="E652" s="207"/>
      <c r="F652" s="207"/>
      <c r="G652" s="207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</row>
    <row r="653" spans="1:23" ht="26.25" customHeight="1">
      <c r="A653" s="208"/>
      <c r="B653" s="208"/>
      <c r="C653" s="207"/>
      <c r="D653" s="207"/>
      <c r="E653" s="207"/>
      <c r="F653" s="207"/>
      <c r="G653" s="207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</row>
    <row r="654" spans="1:23" ht="26.25" customHeight="1">
      <c r="A654" s="208"/>
      <c r="B654" s="208"/>
      <c r="C654" s="207"/>
      <c r="D654" s="207"/>
      <c r="E654" s="207"/>
      <c r="F654" s="207"/>
      <c r="G654" s="207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</row>
    <row r="655" spans="1:23" ht="26.25" customHeight="1">
      <c r="A655" s="208"/>
      <c r="B655" s="208"/>
      <c r="C655" s="207"/>
      <c r="D655" s="207"/>
      <c r="E655" s="207"/>
      <c r="F655" s="207"/>
      <c r="G655" s="207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</row>
    <row r="656" spans="1:23" ht="26.25" customHeight="1">
      <c r="A656" s="208"/>
      <c r="B656" s="208"/>
      <c r="C656" s="207"/>
      <c r="D656" s="207"/>
      <c r="E656" s="207"/>
      <c r="F656" s="207"/>
      <c r="G656" s="207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</row>
    <row r="657" spans="1:23" ht="26.25" customHeight="1">
      <c r="A657" s="208"/>
      <c r="B657" s="208"/>
      <c r="C657" s="207"/>
      <c r="D657" s="207"/>
      <c r="E657" s="207"/>
      <c r="F657" s="207"/>
      <c r="G657" s="207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</row>
    <row r="658" spans="1:23" ht="26.25" customHeight="1">
      <c r="A658" s="208"/>
      <c r="B658" s="208"/>
      <c r="C658" s="207"/>
      <c r="D658" s="207"/>
      <c r="E658" s="207"/>
      <c r="F658" s="207"/>
      <c r="G658" s="207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</row>
    <row r="659" spans="1:23" ht="26.25" customHeight="1">
      <c r="A659" s="208"/>
      <c r="B659" s="208"/>
      <c r="C659" s="207"/>
      <c r="D659" s="207"/>
      <c r="E659" s="207"/>
      <c r="F659" s="207"/>
      <c r="G659" s="207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</row>
    <row r="660" spans="1:23" ht="26.25" customHeight="1">
      <c r="A660" s="208"/>
      <c r="B660" s="208"/>
      <c r="C660" s="207"/>
      <c r="D660" s="207"/>
      <c r="E660" s="207"/>
      <c r="F660" s="207"/>
      <c r="G660" s="207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</row>
    <row r="661" spans="1:23" ht="26.25" customHeight="1">
      <c r="A661" s="208"/>
      <c r="B661" s="208"/>
      <c r="C661" s="207"/>
      <c r="D661" s="207"/>
      <c r="E661" s="207"/>
      <c r="F661" s="207"/>
      <c r="G661" s="207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</row>
    <row r="662" spans="1:23" ht="26.25" customHeight="1">
      <c r="A662" s="208"/>
      <c r="B662" s="208"/>
      <c r="C662" s="207"/>
      <c r="D662" s="207"/>
      <c r="E662" s="207"/>
      <c r="F662" s="207"/>
      <c r="G662" s="207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</row>
    <row r="663" spans="1:23" ht="26.25" customHeight="1">
      <c r="A663" s="208"/>
      <c r="B663" s="208"/>
      <c r="C663" s="207"/>
      <c r="D663" s="207"/>
      <c r="E663" s="207"/>
      <c r="F663" s="207"/>
      <c r="G663" s="207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</row>
    <row r="664" spans="1:23" ht="26.25" customHeight="1">
      <c r="A664" s="208"/>
      <c r="B664" s="208"/>
      <c r="C664" s="207"/>
      <c r="D664" s="207"/>
      <c r="E664" s="207"/>
      <c r="F664" s="207"/>
      <c r="G664" s="207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</row>
    <row r="665" spans="1:23" ht="26.25" customHeight="1">
      <c r="A665" s="208"/>
      <c r="B665" s="208"/>
      <c r="C665" s="207"/>
      <c r="D665" s="207"/>
      <c r="E665" s="207"/>
      <c r="F665" s="207"/>
      <c r="G665" s="207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</row>
    <row r="666" spans="1:23" ht="26.25" customHeight="1">
      <c r="A666" s="208"/>
      <c r="B666" s="208"/>
      <c r="C666" s="207"/>
      <c r="D666" s="207"/>
      <c r="E666" s="207"/>
      <c r="F666" s="207"/>
      <c r="G666" s="207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</row>
    <row r="667" spans="1:23" ht="26.25" customHeight="1">
      <c r="A667" s="208"/>
      <c r="B667" s="208"/>
      <c r="C667" s="207"/>
      <c r="D667" s="207"/>
      <c r="E667" s="207"/>
      <c r="F667" s="207"/>
      <c r="G667" s="207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</row>
    <row r="668" spans="1:23" ht="26.25" customHeight="1">
      <c r="A668" s="208"/>
      <c r="B668" s="208"/>
      <c r="C668" s="207"/>
      <c r="D668" s="207"/>
      <c r="E668" s="207"/>
      <c r="F668" s="207"/>
      <c r="G668" s="207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</row>
    <row r="669" spans="1:23" ht="26.25" customHeight="1">
      <c r="A669" s="208"/>
      <c r="B669" s="208"/>
      <c r="C669" s="207"/>
      <c r="D669" s="207"/>
      <c r="E669" s="207"/>
      <c r="F669" s="207"/>
      <c r="G669" s="207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</row>
    <row r="670" spans="1:23" ht="26.25" customHeight="1">
      <c r="A670" s="208"/>
      <c r="B670" s="208"/>
      <c r="C670" s="207"/>
      <c r="D670" s="207"/>
      <c r="E670" s="207"/>
      <c r="F670" s="207"/>
      <c r="G670" s="207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</row>
    <row r="671" spans="1:23" ht="26.25" customHeight="1">
      <c r="A671" s="208"/>
      <c r="B671" s="208"/>
      <c r="C671" s="207"/>
      <c r="D671" s="207"/>
      <c r="E671" s="207"/>
      <c r="F671" s="207"/>
      <c r="G671" s="207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</row>
    <row r="672" spans="1:23" ht="26.25" customHeight="1">
      <c r="A672" s="208"/>
      <c r="B672" s="208"/>
      <c r="C672" s="207"/>
      <c r="D672" s="207"/>
      <c r="E672" s="207"/>
      <c r="F672" s="207"/>
      <c r="G672" s="207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</row>
    <row r="673" spans="1:23" ht="26.25" customHeight="1">
      <c r="A673" s="208"/>
      <c r="B673" s="208"/>
      <c r="C673" s="207"/>
      <c r="D673" s="207"/>
      <c r="E673" s="207"/>
      <c r="F673" s="207"/>
      <c r="G673" s="207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</row>
    <row r="674" spans="1:23" ht="26.25" customHeight="1">
      <c r="A674" s="208"/>
      <c r="B674" s="208"/>
      <c r="C674" s="207"/>
      <c r="D674" s="207"/>
      <c r="E674" s="207"/>
      <c r="F674" s="207"/>
      <c r="G674" s="207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</row>
    <row r="675" spans="1:23" ht="26.25" customHeight="1">
      <c r="A675" s="208"/>
      <c r="B675" s="208"/>
      <c r="C675" s="207"/>
      <c r="D675" s="207"/>
      <c r="E675" s="207"/>
      <c r="F675" s="207"/>
      <c r="G675" s="207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</row>
    <row r="676" spans="1:23" ht="26.25" customHeight="1">
      <c r="A676" s="208"/>
      <c r="B676" s="208"/>
      <c r="C676" s="207"/>
      <c r="D676" s="207"/>
      <c r="E676" s="207"/>
      <c r="F676" s="207"/>
      <c r="G676" s="207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</row>
    <row r="677" spans="1:23" ht="26.25" customHeight="1">
      <c r="A677" s="208"/>
      <c r="B677" s="208"/>
      <c r="C677" s="207"/>
      <c r="D677" s="207"/>
      <c r="E677" s="207"/>
      <c r="F677" s="207"/>
      <c r="G677" s="207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</row>
    <row r="678" spans="1:23" ht="26.25" customHeight="1">
      <c r="A678" s="208"/>
      <c r="B678" s="208"/>
      <c r="C678" s="207"/>
      <c r="D678" s="207"/>
      <c r="E678" s="207"/>
      <c r="F678" s="207"/>
      <c r="G678" s="207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</row>
    <row r="679" spans="1:23" ht="26.25" customHeight="1">
      <c r="A679" s="208"/>
      <c r="B679" s="208"/>
      <c r="C679" s="207"/>
      <c r="D679" s="207"/>
      <c r="E679" s="207"/>
      <c r="F679" s="207"/>
      <c r="G679" s="207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</row>
    <row r="680" spans="1:23" ht="26.25" customHeight="1">
      <c r="A680" s="208"/>
      <c r="B680" s="208"/>
      <c r="C680" s="207"/>
      <c r="D680" s="207"/>
      <c r="E680" s="207"/>
      <c r="F680" s="207"/>
      <c r="G680" s="207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</row>
    <row r="681" spans="1:23" ht="26.25" customHeight="1">
      <c r="A681" s="208"/>
      <c r="B681" s="208"/>
      <c r="C681" s="207"/>
      <c r="D681" s="207"/>
      <c r="E681" s="207"/>
      <c r="F681" s="207"/>
      <c r="G681" s="207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</row>
    <row r="682" spans="1:23" ht="26.25" customHeight="1">
      <c r="A682" s="208"/>
      <c r="B682" s="208"/>
      <c r="C682" s="207"/>
      <c r="D682" s="207"/>
      <c r="E682" s="207"/>
      <c r="F682" s="207"/>
      <c r="G682" s="207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</row>
    <row r="683" spans="1:23" ht="26.25" customHeight="1">
      <c r="A683" s="208"/>
      <c r="B683" s="208"/>
      <c r="C683" s="207"/>
      <c r="D683" s="207"/>
      <c r="E683" s="207"/>
      <c r="F683" s="207"/>
      <c r="G683" s="207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</row>
    <row r="684" spans="1:23" ht="26.25" customHeight="1">
      <c r="A684" s="208"/>
      <c r="B684" s="208"/>
      <c r="C684" s="207"/>
      <c r="D684" s="207"/>
      <c r="E684" s="207"/>
      <c r="F684" s="207"/>
      <c r="G684" s="207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</row>
    <row r="685" spans="1:23" ht="26.25" customHeight="1">
      <c r="A685" s="208"/>
      <c r="B685" s="208"/>
      <c r="C685" s="207"/>
      <c r="D685" s="207"/>
      <c r="E685" s="207"/>
      <c r="F685" s="207"/>
      <c r="G685" s="207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</row>
    <row r="686" spans="1:23" ht="26.25" customHeight="1">
      <c r="A686" s="208"/>
      <c r="B686" s="208"/>
      <c r="C686" s="207"/>
      <c r="D686" s="207"/>
      <c r="E686" s="207"/>
      <c r="F686" s="207"/>
      <c r="G686" s="207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</row>
    <row r="687" spans="1:23" ht="26.25" customHeight="1">
      <c r="A687" s="208"/>
      <c r="B687" s="208"/>
      <c r="C687" s="207"/>
      <c r="D687" s="207"/>
      <c r="E687" s="207"/>
      <c r="F687" s="207"/>
      <c r="G687" s="207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</row>
    <row r="688" spans="1:23" ht="26.25" customHeight="1">
      <c r="A688" s="208"/>
      <c r="B688" s="208"/>
      <c r="C688" s="207"/>
      <c r="D688" s="207"/>
      <c r="E688" s="207"/>
      <c r="F688" s="207"/>
      <c r="G688" s="207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</row>
    <row r="689" spans="1:23" ht="26.25" customHeight="1">
      <c r="A689" s="208"/>
      <c r="B689" s="208"/>
      <c r="C689" s="207"/>
      <c r="D689" s="207"/>
      <c r="E689" s="207"/>
      <c r="F689" s="207"/>
      <c r="G689" s="207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</row>
    <row r="690" spans="1:23" ht="26.25" customHeight="1">
      <c r="A690" s="208"/>
      <c r="B690" s="208"/>
      <c r="C690" s="207"/>
      <c r="D690" s="207"/>
      <c r="E690" s="207"/>
      <c r="F690" s="207"/>
      <c r="G690" s="207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</row>
    <row r="691" spans="1:23" ht="26.25" customHeight="1">
      <c r="A691" s="208"/>
      <c r="B691" s="208"/>
      <c r="C691" s="207"/>
      <c r="D691" s="207"/>
      <c r="E691" s="207"/>
      <c r="F691" s="207"/>
      <c r="G691" s="207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</row>
    <row r="692" spans="1:23" ht="26.25" customHeight="1">
      <c r="A692" s="208"/>
      <c r="B692" s="208"/>
      <c r="C692" s="207"/>
      <c r="D692" s="207"/>
      <c r="E692" s="207"/>
      <c r="F692" s="207"/>
      <c r="G692" s="207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</row>
    <row r="693" spans="1:23" ht="26.25" customHeight="1">
      <c r="A693" s="208"/>
      <c r="B693" s="208"/>
      <c r="C693" s="207"/>
      <c r="D693" s="207"/>
      <c r="E693" s="207"/>
      <c r="F693" s="207"/>
      <c r="G693" s="207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</row>
    <row r="694" spans="1:23" ht="26.25" customHeight="1">
      <c r="A694" s="208"/>
      <c r="B694" s="208"/>
      <c r="C694" s="207"/>
      <c r="D694" s="207"/>
      <c r="E694" s="207"/>
      <c r="F694" s="207"/>
      <c r="G694" s="207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</row>
    <row r="695" spans="1:23" ht="26.25" customHeight="1">
      <c r="A695" s="208"/>
      <c r="B695" s="208"/>
      <c r="C695" s="207"/>
      <c r="D695" s="207"/>
      <c r="E695" s="207"/>
      <c r="F695" s="207"/>
      <c r="G695" s="207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</row>
    <row r="696" spans="1:23" ht="26.25" customHeight="1">
      <c r="A696" s="208"/>
      <c r="B696" s="208"/>
      <c r="C696" s="207"/>
      <c r="D696" s="207"/>
      <c r="E696" s="207"/>
      <c r="F696" s="207"/>
      <c r="G696" s="207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</row>
    <row r="697" spans="1:23" ht="26.25" customHeight="1">
      <c r="A697" s="208"/>
      <c r="B697" s="208"/>
      <c r="C697" s="207"/>
      <c r="D697" s="207"/>
      <c r="E697" s="207"/>
      <c r="F697" s="207"/>
      <c r="G697" s="207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</row>
    <row r="698" spans="1:23" ht="26.25" customHeight="1">
      <c r="A698" s="208"/>
      <c r="B698" s="208"/>
      <c r="C698" s="207"/>
      <c r="D698" s="207"/>
      <c r="E698" s="207"/>
      <c r="F698" s="207"/>
      <c r="G698" s="207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</row>
    <row r="699" spans="1:23" ht="26.25" customHeight="1">
      <c r="A699" s="208"/>
      <c r="B699" s="208"/>
      <c r="C699" s="207"/>
      <c r="D699" s="207"/>
      <c r="E699" s="207"/>
      <c r="F699" s="207"/>
      <c r="G699" s="207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</row>
    <row r="700" spans="1:23" ht="26.25" customHeight="1">
      <c r="A700" s="208"/>
      <c r="B700" s="208"/>
      <c r="C700" s="207"/>
      <c r="D700" s="207"/>
      <c r="E700" s="207"/>
      <c r="F700" s="207"/>
      <c r="G700" s="207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</row>
    <row r="701" spans="1:23" ht="26.25" customHeight="1">
      <c r="A701" s="208"/>
      <c r="B701" s="208"/>
      <c r="C701" s="207"/>
      <c r="D701" s="207"/>
      <c r="E701" s="207"/>
      <c r="F701" s="207"/>
      <c r="G701" s="207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</row>
    <row r="702" spans="1:23" ht="26.25" customHeight="1">
      <c r="A702" s="208"/>
      <c r="B702" s="208"/>
      <c r="C702" s="207"/>
      <c r="D702" s="207"/>
      <c r="E702" s="207"/>
      <c r="F702" s="207"/>
      <c r="G702" s="207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</row>
    <row r="703" spans="1:23" ht="26.25" customHeight="1">
      <c r="A703" s="208"/>
      <c r="B703" s="208"/>
      <c r="C703" s="207"/>
      <c r="D703" s="207"/>
      <c r="E703" s="207"/>
      <c r="F703" s="207"/>
      <c r="G703" s="207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</row>
    <row r="704" spans="1:23" ht="26.25" customHeight="1">
      <c r="A704" s="208"/>
      <c r="B704" s="208"/>
      <c r="C704" s="207"/>
      <c r="D704" s="207"/>
      <c r="E704" s="207"/>
      <c r="F704" s="207"/>
      <c r="G704" s="207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</row>
    <row r="705" spans="1:23" ht="26.25" customHeight="1">
      <c r="A705" s="208"/>
      <c r="B705" s="208"/>
      <c r="C705" s="207"/>
      <c r="D705" s="207"/>
      <c r="E705" s="207"/>
      <c r="F705" s="207"/>
      <c r="G705" s="207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</row>
    <row r="706" spans="1:23" ht="26.25" customHeight="1">
      <c r="A706" s="208"/>
      <c r="B706" s="208"/>
      <c r="C706" s="207"/>
      <c r="D706" s="207"/>
      <c r="E706" s="207"/>
      <c r="F706" s="207"/>
      <c r="G706" s="207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</row>
    <row r="707" spans="1:23" ht="26.25" customHeight="1">
      <c r="A707" s="208"/>
      <c r="B707" s="208"/>
      <c r="C707" s="207"/>
      <c r="D707" s="207"/>
      <c r="E707" s="207"/>
      <c r="F707" s="207"/>
      <c r="G707" s="207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</row>
    <row r="708" spans="1:23" ht="26.25" customHeight="1">
      <c r="A708" s="208"/>
      <c r="B708" s="208"/>
      <c r="C708" s="207"/>
      <c r="D708" s="207"/>
      <c r="E708" s="207"/>
      <c r="F708" s="207"/>
      <c r="G708" s="207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</row>
    <row r="709" spans="1:23" ht="26.25" customHeight="1">
      <c r="A709" s="208"/>
      <c r="B709" s="208"/>
      <c r="C709" s="207"/>
      <c r="D709" s="207"/>
      <c r="E709" s="207"/>
      <c r="F709" s="207"/>
      <c r="G709" s="207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</row>
    <row r="710" spans="1:23" ht="26.25" customHeight="1">
      <c r="A710" s="208"/>
      <c r="B710" s="208"/>
      <c r="C710" s="207"/>
      <c r="D710" s="207"/>
      <c r="E710" s="207"/>
      <c r="F710" s="207"/>
      <c r="G710" s="207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</row>
    <row r="711" spans="1:23" ht="26.25" customHeight="1">
      <c r="A711" s="208"/>
      <c r="B711" s="208"/>
      <c r="C711" s="207"/>
      <c r="D711" s="207"/>
      <c r="E711" s="207"/>
      <c r="F711" s="207"/>
      <c r="G711" s="207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</row>
    <row r="712" spans="1:23" ht="26.25" customHeight="1">
      <c r="A712" s="208"/>
      <c r="B712" s="208"/>
      <c r="C712" s="207"/>
      <c r="D712" s="207"/>
      <c r="E712" s="207"/>
      <c r="F712" s="207"/>
      <c r="G712" s="207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</row>
    <row r="713" spans="1:23" ht="26.25" customHeight="1">
      <c r="A713" s="208"/>
      <c r="B713" s="208"/>
      <c r="C713" s="207"/>
      <c r="D713" s="207"/>
      <c r="E713" s="207"/>
      <c r="F713" s="207"/>
      <c r="G713" s="207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</row>
    <row r="714" spans="1:23" ht="26.25" customHeight="1">
      <c r="A714" s="208"/>
      <c r="B714" s="208"/>
      <c r="C714" s="207"/>
      <c r="D714" s="207"/>
      <c r="E714" s="207"/>
      <c r="F714" s="207"/>
      <c r="G714" s="207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</row>
    <row r="715" spans="1:23" ht="26.25" customHeight="1">
      <c r="A715" s="208"/>
      <c r="B715" s="208"/>
      <c r="C715" s="207"/>
      <c r="D715" s="207"/>
      <c r="E715" s="207"/>
      <c r="F715" s="207"/>
      <c r="G715" s="207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</row>
    <row r="716" spans="1:23" ht="26.25" customHeight="1">
      <c r="A716" s="208"/>
      <c r="B716" s="208"/>
      <c r="C716" s="207"/>
      <c r="D716" s="207"/>
      <c r="E716" s="207"/>
      <c r="F716" s="207"/>
      <c r="G716" s="207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</row>
    <row r="717" spans="1:23" ht="26.25" customHeight="1">
      <c r="A717" s="208"/>
      <c r="B717" s="208"/>
      <c r="C717" s="207"/>
      <c r="D717" s="207"/>
      <c r="E717" s="207"/>
      <c r="F717" s="207"/>
      <c r="G717" s="207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</row>
    <row r="718" spans="1:23" ht="26.25" customHeight="1">
      <c r="A718" s="208"/>
      <c r="B718" s="208"/>
      <c r="C718" s="207"/>
      <c r="D718" s="207"/>
      <c r="E718" s="207"/>
      <c r="F718" s="207"/>
      <c r="G718" s="207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</row>
    <row r="719" spans="1:23" ht="26.25" customHeight="1">
      <c r="A719" s="208"/>
      <c r="B719" s="208"/>
      <c r="C719" s="207"/>
      <c r="D719" s="207"/>
      <c r="E719" s="207"/>
      <c r="F719" s="207"/>
      <c r="G719" s="207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</row>
    <row r="720" spans="1:23" ht="26.25" customHeight="1">
      <c r="A720" s="208"/>
      <c r="B720" s="208"/>
      <c r="C720" s="207"/>
      <c r="D720" s="207"/>
      <c r="E720" s="207"/>
      <c r="F720" s="207"/>
      <c r="G720" s="207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</row>
    <row r="721" spans="1:23" ht="26.25" customHeight="1">
      <c r="A721" s="208"/>
      <c r="B721" s="208"/>
      <c r="C721" s="207"/>
      <c r="D721" s="207"/>
      <c r="E721" s="207"/>
      <c r="F721" s="207"/>
      <c r="G721" s="207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</row>
    <row r="722" spans="1:23" ht="26.25" customHeight="1">
      <c r="A722" s="208"/>
      <c r="B722" s="208"/>
      <c r="C722" s="207"/>
      <c r="D722" s="207"/>
      <c r="E722" s="207"/>
      <c r="F722" s="207"/>
      <c r="G722" s="207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</row>
    <row r="723" spans="1:23" ht="26.25" customHeight="1">
      <c r="A723" s="208"/>
      <c r="B723" s="208"/>
      <c r="C723" s="207"/>
      <c r="D723" s="207"/>
      <c r="E723" s="207"/>
      <c r="F723" s="207"/>
      <c r="G723" s="207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</row>
    <row r="724" spans="1:23" ht="26.25" customHeight="1">
      <c r="A724" s="208"/>
      <c r="B724" s="208"/>
      <c r="C724" s="207"/>
      <c r="D724" s="207"/>
      <c r="E724" s="207"/>
      <c r="F724" s="207"/>
      <c r="G724" s="207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</row>
    <row r="725" spans="1:23" ht="26.25" customHeight="1">
      <c r="A725" s="208"/>
      <c r="B725" s="208"/>
      <c r="C725" s="207"/>
      <c r="D725" s="207"/>
      <c r="E725" s="207"/>
      <c r="F725" s="207"/>
      <c r="G725" s="207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</row>
    <row r="726" spans="1:23" ht="26.25" customHeight="1">
      <c r="A726" s="208"/>
      <c r="B726" s="208"/>
      <c r="C726" s="207"/>
      <c r="D726" s="207"/>
      <c r="E726" s="207"/>
      <c r="F726" s="207"/>
      <c r="G726" s="207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</row>
    <row r="727" spans="1:23" ht="26.25" customHeight="1">
      <c r="A727" s="208"/>
      <c r="B727" s="208"/>
      <c r="C727" s="207"/>
      <c r="D727" s="207"/>
      <c r="E727" s="207"/>
      <c r="F727" s="207"/>
      <c r="G727" s="207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</row>
    <row r="728" spans="1:23" ht="26.25" customHeight="1">
      <c r="A728" s="208"/>
      <c r="B728" s="208"/>
      <c r="C728" s="207"/>
      <c r="D728" s="207"/>
      <c r="E728" s="207"/>
      <c r="F728" s="207"/>
      <c r="G728" s="207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</row>
    <row r="729" spans="1:23" ht="26.25" customHeight="1">
      <c r="A729" s="208"/>
      <c r="B729" s="208"/>
      <c r="C729" s="207"/>
      <c r="D729" s="207"/>
      <c r="E729" s="207"/>
      <c r="F729" s="207"/>
      <c r="G729" s="207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</row>
    <row r="730" spans="1:23" ht="26.25" customHeight="1">
      <c r="A730" s="208"/>
      <c r="B730" s="208"/>
      <c r="C730" s="207"/>
      <c r="D730" s="207"/>
      <c r="E730" s="207"/>
      <c r="F730" s="207"/>
      <c r="G730" s="207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</row>
    <row r="731" spans="1:23" ht="26.25" customHeight="1">
      <c r="A731" s="208"/>
      <c r="B731" s="208"/>
      <c r="C731" s="207"/>
      <c r="D731" s="207"/>
      <c r="E731" s="207"/>
      <c r="F731" s="207"/>
      <c r="G731" s="207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</row>
    <row r="732" spans="1:23" ht="26.25" customHeight="1">
      <c r="A732" s="208"/>
      <c r="B732" s="208"/>
      <c r="C732" s="207"/>
      <c r="D732" s="207"/>
      <c r="E732" s="207"/>
      <c r="F732" s="207"/>
      <c r="G732" s="207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</row>
    <row r="733" spans="1:23" ht="26.25" customHeight="1">
      <c r="A733" s="208"/>
      <c r="B733" s="208"/>
      <c r="C733" s="207"/>
      <c r="D733" s="207"/>
      <c r="E733" s="207"/>
      <c r="F733" s="207"/>
      <c r="G733" s="207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</row>
    <row r="734" spans="1:23" ht="26.25" customHeight="1">
      <c r="A734" s="208"/>
      <c r="B734" s="208"/>
      <c r="C734" s="207"/>
      <c r="D734" s="207"/>
      <c r="E734" s="207"/>
      <c r="F734" s="207"/>
      <c r="G734" s="207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</row>
    <row r="735" spans="1:23" ht="26.25" customHeight="1">
      <c r="A735" s="208"/>
      <c r="B735" s="208"/>
      <c r="C735" s="207"/>
      <c r="D735" s="207"/>
      <c r="E735" s="207"/>
      <c r="F735" s="207"/>
      <c r="G735" s="207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</row>
    <row r="736" spans="1:23" ht="26.25" customHeight="1">
      <c r="A736" s="208"/>
      <c r="B736" s="208"/>
      <c r="C736" s="207"/>
      <c r="D736" s="207"/>
      <c r="E736" s="207"/>
      <c r="F736" s="207"/>
      <c r="G736" s="207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</row>
    <row r="737" spans="1:23" ht="26.25" customHeight="1">
      <c r="A737" s="208"/>
      <c r="B737" s="208"/>
      <c r="C737" s="207"/>
      <c r="D737" s="207"/>
      <c r="E737" s="207"/>
      <c r="F737" s="207"/>
      <c r="G737" s="207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</row>
    <row r="738" spans="1:23" ht="26.25" customHeight="1">
      <c r="A738" s="208"/>
      <c r="B738" s="208"/>
      <c r="C738" s="207"/>
      <c r="D738" s="207"/>
      <c r="E738" s="207"/>
      <c r="F738" s="207"/>
      <c r="G738" s="207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</row>
    <row r="739" spans="1:23" ht="26.25" customHeight="1">
      <c r="A739" s="208"/>
      <c r="B739" s="208"/>
      <c r="C739" s="207"/>
      <c r="D739" s="207"/>
      <c r="E739" s="207"/>
      <c r="F739" s="207"/>
      <c r="G739" s="207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</row>
    <row r="740" spans="1:23" ht="26.25" customHeight="1">
      <c r="A740" s="208"/>
      <c r="B740" s="208"/>
      <c r="C740" s="207"/>
      <c r="D740" s="207"/>
      <c r="E740" s="207"/>
      <c r="F740" s="207"/>
      <c r="G740" s="207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</row>
    <row r="741" spans="1:23" ht="26.25" customHeight="1">
      <c r="A741" s="208"/>
      <c r="B741" s="208"/>
      <c r="C741" s="207"/>
      <c r="D741" s="207"/>
      <c r="E741" s="207"/>
      <c r="F741" s="207"/>
      <c r="G741" s="207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</row>
    <row r="742" spans="1:23" ht="26.25" customHeight="1">
      <c r="A742" s="208"/>
      <c r="B742" s="208"/>
      <c r="C742" s="207"/>
      <c r="D742" s="207"/>
      <c r="E742" s="207"/>
      <c r="F742" s="207"/>
      <c r="G742" s="207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</row>
    <row r="743" spans="1:23" ht="26.25" customHeight="1">
      <c r="A743" s="208"/>
      <c r="B743" s="208"/>
      <c r="C743" s="207"/>
      <c r="D743" s="207"/>
      <c r="E743" s="207"/>
      <c r="F743" s="207"/>
      <c r="G743" s="207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</row>
    <row r="744" spans="1:23" ht="26.25" customHeight="1">
      <c r="A744" s="208"/>
      <c r="B744" s="208"/>
      <c r="C744" s="207"/>
      <c r="D744" s="207"/>
      <c r="E744" s="207"/>
      <c r="F744" s="207"/>
      <c r="G744" s="207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</row>
    <row r="745" spans="1:23" ht="26.25" customHeight="1">
      <c r="A745" s="208"/>
      <c r="B745" s="208"/>
      <c r="C745" s="207"/>
      <c r="D745" s="207"/>
      <c r="E745" s="207"/>
      <c r="F745" s="207"/>
      <c r="G745" s="207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</row>
    <row r="746" spans="1:23" ht="26.25" customHeight="1">
      <c r="A746" s="208"/>
      <c r="B746" s="208"/>
      <c r="C746" s="207"/>
      <c r="D746" s="207"/>
      <c r="E746" s="207"/>
      <c r="F746" s="207"/>
      <c r="G746" s="207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</row>
    <row r="747" spans="1:23" ht="26.25" customHeight="1">
      <c r="A747" s="208"/>
      <c r="B747" s="208"/>
      <c r="C747" s="207"/>
      <c r="D747" s="207"/>
      <c r="E747" s="207"/>
      <c r="F747" s="207"/>
      <c r="G747" s="207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</row>
    <row r="748" spans="1:23" ht="26.25" customHeight="1">
      <c r="A748" s="208"/>
      <c r="B748" s="208"/>
      <c r="C748" s="207"/>
      <c r="D748" s="207"/>
      <c r="E748" s="207"/>
      <c r="F748" s="207"/>
      <c r="G748" s="207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</row>
    <row r="749" spans="1:23" ht="26.25" customHeight="1">
      <c r="A749" s="208"/>
      <c r="B749" s="208"/>
      <c r="C749" s="207"/>
      <c r="D749" s="207"/>
      <c r="E749" s="207"/>
      <c r="F749" s="207"/>
      <c r="G749" s="207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</row>
    <row r="750" spans="1:23" ht="26.25" customHeight="1">
      <c r="A750" s="208"/>
      <c r="B750" s="208"/>
      <c r="C750" s="207"/>
      <c r="D750" s="207"/>
      <c r="E750" s="207"/>
      <c r="F750" s="207"/>
      <c r="G750" s="207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</row>
    <row r="751" spans="1:23" ht="26.25" customHeight="1">
      <c r="A751" s="208"/>
      <c r="B751" s="208"/>
      <c r="C751" s="207"/>
      <c r="D751" s="207"/>
      <c r="E751" s="207"/>
      <c r="F751" s="207"/>
      <c r="G751" s="207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</row>
    <row r="752" spans="1:23" ht="26.25" customHeight="1">
      <c r="A752" s="208"/>
      <c r="B752" s="208"/>
      <c r="C752" s="207"/>
      <c r="D752" s="207"/>
      <c r="E752" s="207"/>
      <c r="F752" s="207"/>
      <c r="G752" s="207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</row>
    <row r="753" spans="1:23" ht="26.25" customHeight="1">
      <c r="A753" s="208"/>
      <c r="B753" s="208"/>
      <c r="C753" s="207"/>
      <c r="D753" s="207"/>
      <c r="E753" s="207"/>
      <c r="F753" s="207"/>
      <c r="G753" s="207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</row>
    <row r="754" spans="1:23" ht="26.25" customHeight="1">
      <c r="A754" s="208"/>
      <c r="B754" s="208"/>
      <c r="C754" s="207"/>
      <c r="D754" s="207"/>
      <c r="E754" s="207"/>
      <c r="F754" s="207"/>
      <c r="G754" s="207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</row>
    <row r="755" spans="1:23" ht="26.25" customHeight="1">
      <c r="A755" s="208"/>
      <c r="B755" s="208"/>
      <c r="C755" s="207"/>
      <c r="D755" s="207"/>
      <c r="E755" s="207"/>
      <c r="F755" s="207"/>
      <c r="G755" s="207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</row>
    <row r="756" spans="1:23" ht="26.25" customHeight="1">
      <c r="A756" s="208"/>
      <c r="B756" s="208"/>
      <c r="C756" s="207"/>
      <c r="D756" s="207"/>
      <c r="E756" s="207"/>
      <c r="F756" s="207"/>
      <c r="G756" s="207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</row>
    <row r="757" spans="1:23" ht="26.25" customHeight="1">
      <c r="A757" s="208"/>
      <c r="B757" s="208"/>
      <c r="C757" s="207"/>
      <c r="D757" s="207"/>
      <c r="E757" s="207"/>
      <c r="F757" s="207"/>
      <c r="G757" s="207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</row>
    <row r="758" spans="1:23" ht="26.25" customHeight="1">
      <c r="A758" s="208"/>
      <c r="B758" s="208"/>
      <c r="C758" s="207"/>
      <c r="D758" s="207"/>
      <c r="E758" s="207"/>
      <c r="F758" s="207"/>
      <c r="G758" s="207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</row>
    <row r="759" spans="1:23" ht="26.25" customHeight="1">
      <c r="A759" s="208"/>
      <c r="B759" s="208"/>
      <c r="C759" s="207"/>
      <c r="D759" s="207"/>
      <c r="E759" s="207"/>
      <c r="F759" s="207"/>
      <c r="G759" s="207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</row>
    <row r="760" spans="1:23" ht="26.25" customHeight="1">
      <c r="A760" s="208"/>
      <c r="B760" s="208"/>
      <c r="C760" s="207"/>
      <c r="D760" s="207"/>
      <c r="E760" s="207"/>
      <c r="F760" s="207"/>
      <c r="G760" s="207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</row>
    <row r="761" spans="1:23" ht="26.25" customHeight="1">
      <c r="A761" s="208"/>
      <c r="B761" s="208"/>
      <c r="C761" s="207"/>
      <c r="D761" s="207"/>
      <c r="E761" s="207"/>
      <c r="F761" s="207"/>
      <c r="G761" s="207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</row>
    <row r="762" spans="1:23" ht="26.25" customHeight="1">
      <c r="A762" s="208"/>
      <c r="B762" s="208"/>
      <c r="C762" s="207"/>
      <c r="D762" s="207"/>
      <c r="E762" s="207"/>
      <c r="F762" s="207"/>
      <c r="G762" s="207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</row>
    <row r="763" spans="1:23" ht="26.25" customHeight="1">
      <c r="A763" s="208"/>
      <c r="B763" s="208"/>
      <c r="C763" s="207"/>
      <c r="D763" s="207"/>
      <c r="E763" s="207"/>
      <c r="F763" s="207"/>
      <c r="G763" s="207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</row>
    <row r="764" spans="1:23" ht="26.25" customHeight="1">
      <c r="A764" s="208"/>
      <c r="B764" s="208"/>
      <c r="C764" s="207"/>
      <c r="D764" s="207"/>
      <c r="E764" s="207"/>
      <c r="F764" s="207"/>
      <c r="G764" s="207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</row>
    <row r="765" spans="1:23" ht="26.25" customHeight="1">
      <c r="A765" s="208"/>
      <c r="B765" s="208"/>
      <c r="C765" s="207"/>
      <c r="D765" s="207"/>
      <c r="E765" s="207"/>
      <c r="F765" s="207"/>
      <c r="G765" s="207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</row>
    <row r="766" spans="1:23" ht="26.25" customHeight="1">
      <c r="A766" s="208"/>
      <c r="B766" s="208"/>
      <c r="C766" s="207"/>
      <c r="D766" s="207"/>
      <c r="E766" s="207"/>
      <c r="F766" s="207"/>
      <c r="G766" s="207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</row>
    <row r="767" spans="1:23" ht="26.25" customHeight="1">
      <c r="A767" s="208"/>
      <c r="B767" s="208"/>
      <c r="C767" s="207"/>
      <c r="D767" s="207"/>
      <c r="E767" s="207"/>
      <c r="F767" s="207"/>
      <c r="G767" s="207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</row>
    <row r="768" spans="1:23" ht="26.25" customHeight="1">
      <c r="A768" s="208"/>
      <c r="B768" s="208"/>
      <c r="C768" s="207"/>
      <c r="D768" s="207"/>
      <c r="E768" s="207"/>
      <c r="F768" s="207"/>
      <c r="G768" s="207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</row>
    <row r="769" spans="1:23" ht="26.25" customHeight="1">
      <c r="A769" s="208"/>
      <c r="B769" s="208"/>
      <c r="C769" s="207"/>
      <c r="D769" s="207"/>
      <c r="E769" s="207"/>
      <c r="F769" s="207"/>
      <c r="G769" s="207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</row>
    <row r="770" spans="1:23" ht="26.25" customHeight="1">
      <c r="A770" s="208"/>
      <c r="B770" s="208"/>
      <c r="C770" s="207"/>
      <c r="D770" s="207"/>
      <c r="E770" s="207"/>
      <c r="F770" s="207"/>
      <c r="G770" s="207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</row>
    <row r="771" spans="1:23" ht="26.25" customHeight="1">
      <c r="A771" s="208"/>
      <c r="B771" s="208"/>
      <c r="C771" s="207"/>
      <c r="D771" s="207"/>
      <c r="E771" s="207"/>
      <c r="F771" s="207"/>
      <c r="G771" s="207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</row>
    <row r="772" spans="1:23" ht="26.25" customHeight="1">
      <c r="A772" s="208"/>
      <c r="B772" s="208"/>
      <c r="C772" s="207"/>
      <c r="D772" s="207"/>
      <c r="E772" s="207"/>
      <c r="F772" s="207"/>
      <c r="G772" s="207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</row>
    <row r="773" spans="1:23" ht="26.25" customHeight="1">
      <c r="A773" s="208"/>
      <c r="B773" s="208"/>
      <c r="C773" s="207"/>
      <c r="D773" s="207"/>
      <c r="E773" s="207"/>
      <c r="F773" s="207"/>
      <c r="G773" s="207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</row>
    <row r="774" spans="1:23" ht="26.25" customHeight="1">
      <c r="A774" s="208"/>
      <c r="B774" s="208"/>
      <c r="C774" s="207"/>
      <c r="D774" s="207"/>
      <c r="E774" s="207"/>
      <c r="F774" s="207"/>
      <c r="G774" s="207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</row>
    <row r="775" spans="1:23" ht="26.25" customHeight="1">
      <c r="A775" s="208"/>
      <c r="B775" s="208"/>
      <c r="C775" s="207"/>
      <c r="D775" s="207"/>
      <c r="E775" s="207"/>
      <c r="F775" s="207"/>
      <c r="G775" s="207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</row>
    <row r="776" spans="1:23" ht="26.25" customHeight="1">
      <c r="A776" s="208"/>
      <c r="B776" s="208"/>
      <c r="C776" s="207"/>
      <c r="D776" s="207"/>
      <c r="E776" s="207"/>
      <c r="F776" s="207"/>
      <c r="G776" s="207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</row>
    <row r="777" spans="1:23" ht="26.25" customHeight="1">
      <c r="A777" s="208"/>
      <c r="B777" s="208"/>
      <c r="C777" s="207"/>
      <c r="D777" s="207"/>
      <c r="E777" s="207"/>
      <c r="F777" s="207"/>
      <c r="G777" s="207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</row>
    <row r="778" spans="1:23" ht="26.25" customHeight="1">
      <c r="A778" s="208"/>
      <c r="B778" s="208"/>
      <c r="C778" s="207"/>
      <c r="D778" s="207"/>
      <c r="E778" s="207"/>
      <c r="F778" s="207"/>
      <c r="G778" s="207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</row>
    <row r="779" spans="1:23" ht="26.25" customHeight="1">
      <c r="A779" s="208"/>
      <c r="B779" s="208"/>
      <c r="C779" s="207"/>
      <c r="D779" s="207"/>
      <c r="E779" s="207"/>
      <c r="F779" s="207"/>
      <c r="G779" s="207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</row>
    <row r="780" spans="1:23" ht="26.25" customHeight="1">
      <c r="A780" s="208"/>
      <c r="B780" s="208"/>
      <c r="C780" s="207"/>
      <c r="D780" s="207"/>
      <c r="E780" s="207"/>
      <c r="F780" s="207"/>
      <c r="G780" s="207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</row>
    <row r="781" spans="1:23" ht="26.25" customHeight="1">
      <c r="A781" s="208"/>
      <c r="B781" s="208"/>
      <c r="C781" s="207"/>
      <c r="D781" s="207"/>
      <c r="E781" s="207"/>
      <c r="F781" s="207"/>
      <c r="G781" s="207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</row>
    <row r="782" spans="1:23" ht="26.25" customHeight="1">
      <c r="A782" s="208"/>
      <c r="B782" s="208"/>
      <c r="C782" s="207"/>
      <c r="D782" s="207"/>
      <c r="E782" s="207"/>
      <c r="F782" s="207"/>
      <c r="G782" s="207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</row>
    <row r="783" spans="1:23" ht="26.25" customHeight="1">
      <c r="A783" s="208"/>
      <c r="B783" s="208"/>
      <c r="C783" s="207"/>
      <c r="D783" s="207"/>
      <c r="E783" s="207"/>
      <c r="F783" s="207"/>
      <c r="G783" s="207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</row>
    <row r="784" spans="1:23" ht="26.25" customHeight="1">
      <c r="A784" s="208"/>
      <c r="B784" s="208"/>
      <c r="C784" s="207"/>
      <c r="D784" s="207"/>
      <c r="E784" s="207"/>
      <c r="F784" s="207"/>
      <c r="G784" s="207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</row>
    <row r="785" spans="1:23" ht="26.25" customHeight="1">
      <c r="A785" s="208"/>
      <c r="B785" s="208"/>
      <c r="C785" s="207"/>
      <c r="D785" s="207"/>
      <c r="E785" s="207"/>
      <c r="F785" s="207"/>
      <c r="G785" s="207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</row>
    <row r="786" spans="1:23" ht="26.25" customHeight="1">
      <c r="A786" s="208"/>
      <c r="B786" s="208"/>
      <c r="C786" s="207"/>
      <c r="D786" s="207"/>
      <c r="E786" s="207"/>
      <c r="F786" s="207"/>
      <c r="G786" s="207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</row>
    <row r="787" spans="1:23" ht="26.25" customHeight="1">
      <c r="A787" s="208"/>
      <c r="B787" s="208"/>
      <c r="C787" s="207"/>
      <c r="D787" s="207"/>
      <c r="E787" s="207"/>
      <c r="F787" s="207"/>
      <c r="G787" s="207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</row>
    <row r="788" spans="1:23" ht="26.25" customHeight="1">
      <c r="A788" s="208"/>
      <c r="B788" s="208"/>
      <c r="C788" s="207"/>
      <c r="D788" s="207"/>
      <c r="E788" s="207"/>
      <c r="F788" s="207"/>
      <c r="G788" s="207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</row>
    <row r="789" spans="1:23" ht="26.25" customHeight="1">
      <c r="A789" s="208"/>
      <c r="B789" s="208"/>
      <c r="C789" s="207"/>
      <c r="D789" s="207"/>
      <c r="E789" s="207"/>
      <c r="F789" s="207"/>
      <c r="G789" s="207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</row>
    <row r="790" spans="1:23" ht="26.25" customHeight="1">
      <c r="A790" s="208"/>
      <c r="B790" s="208"/>
      <c r="C790" s="207"/>
      <c r="D790" s="207"/>
      <c r="E790" s="207"/>
      <c r="F790" s="207"/>
      <c r="G790" s="207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</row>
    <row r="791" spans="1:23" ht="26.25" customHeight="1">
      <c r="A791" s="208"/>
      <c r="B791" s="208"/>
      <c r="C791" s="207"/>
      <c r="D791" s="207"/>
      <c r="E791" s="207"/>
      <c r="F791" s="207"/>
      <c r="G791" s="207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</row>
    <row r="792" spans="1:23" ht="26.25" customHeight="1">
      <c r="A792" s="208"/>
      <c r="B792" s="208"/>
      <c r="C792" s="207"/>
      <c r="D792" s="207"/>
      <c r="E792" s="207"/>
      <c r="F792" s="207"/>
      <c r="G792" s="207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</row>
    <row r="793" spans="1:23" ht="26.25" customHeight="1">
      <c r="A793" s="208"/>
      <c r="B793" s="208"/>
      <c r="C793" s="207"/>
      <c r="D793" s="207"/>
      <c r="E793" s="207"/>
      <c r="F793" s="207"/>
      <c r="G793" s="207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</row>
    <row r="794" spans="1:23" ht="26.25" customHeight="1">
      <c r="A794" s="208"/>
      <c r="B794" s="208"/>
      <c r="C794" s="207"/>
      <c r="D794" s="207"/>
      <c r="E794" s="207"/>
      <c r="F794" s="207"/>
      <c r="G794" s="207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</row>
    <row r="795" spans="1:23" ht="26.25" customHeight="1">
      <c r="A795" s="208"/>
      <c r="B795" s="208"/>
      <c r="C795" s="207"/>
      <c r="D795" s="207"/>
      <c r="E795" s="207"/>
      <c r="F795" s="207"/>
      <c r="G795" s="207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</row>
    <row r="796" spans="1:23" ht="26.25" customHeight="1">
      <c r="A796" s="208"/>
      <c r="B796" s="208"/>
      <c r="C796" s="207"/>
      <c r="D796" s="207"/>
      <c r="E796" s="207"/>
      <c r="F796" s="207"/>
      <c r="G796" s="207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</row>
    <row r="797" spans="1:23" ht="26.25" customHeight="1">
      <c r="A797" s="208"/>
      <c r="B797" s="208"/>
      <c r="C797" s="207"/>
      <c r="D797" s="207"/>
      <c r="E797" s="207"/>
      <c r="F797" s="207"/>
      <c r="G797" s="207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</row>
    <row r="798" spans="1:23" ht="26.25" customHeight="1">
      <c r="A798" s="208"/>
      <c r="B798" s="208"/>
      <c r="C798" s="207"/>
      <c r="D798" s="207"/>
      <c r="E798" s="207"/>
      <c r="F798" s="207"/>
      <c r="G798" s="207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</row>
    <row r="799" spans="1:23" ht="26.25" customHeight="1">
      <c r="A799" s="208"/>
      <c r="B799" s="208"/>
      <c r="C799" s="207"/>
      <c r="D799" s="207"/>
      <c r="E799" s="207"/>
      <c r="F799" s="207"/>
      <c r="G799" s="207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</row>
    <row r="800" spans="1:23" ht="26.25" customHeight="1">
      <c r="A800" s="208"/>
      <c r="B800" s="208"/>
      <c r="C800" s="207"/>
      <c r="D800" s="207"/>
      <c r="E800" s="207"/>
      <c r="F800" s="207"/>
      <c r="G800" s="207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</row>
    <row r="801" spans="1:23" ht="26.25" customHeight="1">
      <c r="A801" s="208"/>
      <c r="B801" s="208"/>
      <c r="C801" s="207"/>
      <c r="D801" s="207"/>
      <c r="E801" s="207"/>
      <c r="F801" s="207"/>
      <c r="G801" s="207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</row>
    <row r="802" spans="1:23" ht="26.25" customHeight="1">
      <c r="A802" s="208"/>
      <c r="B802" s="208"/>
      <c r="C802" s="207"/>
      <c r="D802" s="207"/>
      <c r="E802" s="207"/>
      <c r="F802" s="207"/>
      <c r="G802" s="207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</row>
    <row r="803" spans="1:23" ht="26.25" customHeight="1">
      <c r="A803" s="208"/>
      <c r="B803" s="208"/>
      <c r="C803" s="207"/>
      <c r="D803" s="207"/>
      <c r="E803" s="207"/>
      <c r="F803" s="207"/>
      <c r="G803" s="207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</row>
    <row r="804" spans="1:23" ht="26.25" customHeight="1">
      <c r="A804" s="208"/>
      <c r="B804" s="208"/>
      <c r="C804" s="207"/>
      <c r="D804" s="207"/>
      <c r="E804" s="207"/>
      <c r="F804" s="207"/>
      <c r="G804" s="207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</row>
    <row r="805" spans="1:23" ht="26.25" customHeight="1">
      <c r="A805" s="208"/>
      <c r="B805" s="208"/>
      <c r="C805" s="207"/>
      <c r="D805" s="207"/>
      <c r="E805" s="207"/>
      <c r="F805" s="207"/>
      <c r="G805" s="207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</row>
    <row r="806" spans="1:23" ht="26.25" customHeight="1">
      <c r="A806" s="208"/>
      <c r="B806" s="208"/>
      <c r="C806" s="207"/>
      <c r="D806" s="207"/>
      <c r="E806" s="207"/>
      <c r="F806" s="207"/>
      <c r="G806" s="207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</row>
    <row r="807" spans="1:23" ht="26.25" customHeight="1">
      <c r="A807" s="208"/>
      <c r="B807" s="208"/>
      <c r="C807" s="207"/>
      <c r="D807" s="207"/>
      <c r="E807" s="207"/>
      <c r="F807" s="207"/>
      <c r="G807" s="207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</row>
    <row r="808" spans="1:23" ht="26.25" customHeight="1">
      <c r="A808" s="208"/>
      <c r="B808" s="208"/>
      <c r="C808" s="207"/>
      <c r="D808" s="207"/>
      <c r="E808" s="207"/>
      <c r="F808" s="207"/>
      <c r="G808" s="207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</row>
    <row r="809" spans="1:23" ht="26.25" customHeight="1">
      <c r="A809" s="208"/>
      <c r="B809" s="208"/>
      <c r="C809" s="207"/>
      <c r="D809" s="207"/>
      <c r="E809" s="207"/>
      <c r="F809" s="207"/>
      <c r="G809" s="207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</row>
    <row r="810" spans="1:23" ht="26.25" customHeight="1">
      <c r="A810" s="208"/>
      <c r="B810" s="208"/>
      <c r="C810" s="207"/>
      <c r="D810" s="207"/>
      <c r="E810" s="207"/>
      <c r="F810" s="207"/>
      <c r="G810" s="207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</row>
    <row r="811" spans="1:23" ht="26.25" customHeight="1">
      <c r="A811" s="208"/>
      <c r="B811" s="208"/>
      <c r="C811" s="207"/>
      <c r="D811" s="207"/>
      <c r="E811" s="207"/>
      <c r="F811" s="207"/>
      <c r="G811" s="207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</row>
    <row r="812" spans="1:23" ht="26.25" customHeight="1">
      <c r="A812" s="208"/>
      <c r="B812" s="208"/>
      <c r="C812" s="207"/>
      <c r="D812" s="207"/>
      <c r="E812" s="207"/>
      <c r="F812" s="207"/>
      <c r="G812" s="207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</row>
    <row r="813" spans="1:23" ht="26.25" customHeight="1">
      <c r="A813" s="208"/>
      <c r="B813" s="208"/>
      <c r="C813" s="207"/>
      <c r="D813" s="207"/>
      <c r="E813" s="207"/>
      <c r="F813" s="207"/>
      <c r="G813" s="207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</row>
    <row r="814" spans="1:23" ht="26.25" customHeight="1">
      <c r="A814" s="208"/>
      <c r="B814" s="208"/>
      <c r="C814" s="207"/>
      <c r="D814" s="207"/>
      <c r="E814" s="207"/>
      <c r="F814" s="207"/>
      <c r="G814" s="207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</row>
    <row r="815" spans="1:23" ht="26.25" customHeight="1">
      <c r="A815" s="208"/>
      <c r="B815" s="208"/>
      <c r="C815" s="207"/>
      <c r="D815" s="207"/>
      <c r="E815" s="207"/>
      <c r="F815" s="207"/>
      <c r="G815" s="207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</row>
    <row r="816" spans="1:23" ht="26.25" customHeight="1">
      <c r="A816" s="208"/>
      <c r="B816" s="208"/>
      <c r="C816" s="207"/>
      <c r="D816" s="207"/>
      <c r="E816" s="207"/>
      <c r="F816" s="207"/>
      <c r="G816" s="207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</row>
    <row r="817" spans="1:23" ht="26.25" customHeight="1">
      <c r="A817" s="208"/>
      <c r="B817" s="208"/>
      <c r="C817" s="207"/>
      <c r="D817" s="207"/>
      <c r="E817" s="207"/>
      <c r="F817" s="207"/>
      <c r="G817" s="207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</row>
    <row r="818" spans="1:23" ht="26.25" customHeight="1">
      <c r="A818" s="208"/>
      <c r="B818" s="208"/>
      <c r="C818" s="207"/>
      <c r="D818" s="207"/>
      <c r="E818" s="207"/>
      <c r="F818" s="207"/>
      <c r="G818" s="207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</row>
    <row r="819" spans="1:23" ht="26.25" customHeight="1">
      <c r="A819" s="208"/>
      <c r="B819" s="208"/>
      <c r="C819" s="207"/>
      <c r="D819" s="207"/>
      <c r="E819" s="207"/>
      <c r="F819" s="207"/>
      <c r="G819" s="207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</row>
    <row r="820" spans="1:23" ht="26.25" customHeight="1">
      <c r="A820" s="208"/>
      <c r="B820" s="208"/>
      <c r="C820" s="207"/>
      <c r="D820" s="207"/>
      <c r="E820" s="207"/>
      <c r="F820" s="207"/>
      <c r="G820" s="207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</row>
    <row r="821" spans="1:23" ht="26.25" customHeight="1">
      <c r="A821" s="208"/>
      <c r="B821" s="208"/>
      <c r="C821" s="207"/>
      <c r="D821" s="207"/>
      <c r="E821" s="207"/>
      <c r="F821" s="207"/>
      <c r="G821" s="207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</row>
    <row r="822" spans="1:23" ht="26.25" customHeight="1">
      <c r="A822" s="208"/>
      <c r="B822" s="208"/>
      <c r="C822" s="207"/>
      <c r="D822" s="207"/>
      <c r="E822" s="207"/>
      <c r="F822" s="207"/>
      <c r="G822" s="207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</row>
    <row r="823" spans="1:23" ht="26.25" customHeight="1">
      <c r="A823" s="208"/>
      <c r="B823" s="208"/>
      <c r="C823" s="207"/>
      <c r="D823" s="207"/>
      <c r="E823" s="207"/>
      <c r="F823" s="207"/>
      <c r="G823" s="207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</row>
    <row r="824" spans="1:23" ht="26.25" customHeight="1">
      <c r="A824" s="208"/>
      <c r="B824" s="208"/>
      <c r="C824" s="207"/>
      <c r="D824" s="207"/>
      <c r="E824" s="207"/>
      <c r="F824" s="207"/>
      <c r="G824" s="207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</row>
    <row r="825" spans="1:23" ht="26.25" customHeight="1">
      <c r="A825" s="208"/>
      <c r="B825" s="208"/>
      <c r="C825" s="207"/>
      <c r="D825" s="207"/>
      <c r="E825" s="207"/>
      <c r="F825" s="207"/>
      <c r="G825" s="207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</row>
    <row r="826" spans="1:23" ht="26.25" customHeight="1">
      <c r="A826" s="208"/>
      <c r="B826" s="208"/>
      <c r="C826" s="207"/>
      <c r="D826" s="207"/>
      <c r="E826" s="207"/>
      <c r="F826" s="207"/>
      <c r="G826" s="207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</row>
    <row r="827" spans="1:23" ht="26.25" customHeight="1">
      <c r="A827" s="208"/>
      <c r="B827" s="208"/>
      <c r="C827" s="207"/>
      <c r="D827" s="207"/>
      <c r="E827" s="207"/>
      <c r="F827" s="207"/>
      <c r="G827" s="207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</row>
    <row r="828" spans="1:23" ht="26.25" customHeight="1">
      <c r="A828" s="208"/>
      <c r="B828" s="208"/>
      <c r="C828" s="207"/>
      <c r="D828" s="207"/>
      <c r="E828" s="207"/>
      <c r="F828" s="207"/>
      <c r="G828" s="207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</row>
    <row r="829" spans="1:23" ht="26.25" customHeight="1">
      <c r="A829" s="208"/>
      <c r="B829" s="208"/>
      <c r="C829" s="207"/>
      <c r="D829" s="207"/>
      <c r="E829" s="207"/>
      <c r="F829" s="207"/>
      <c r="G829" s="207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</row>
    <row r="830" spans="1:23" ht="26.25" customHeight="1">
      <c r="A830" s="208"/>
      <c r="B830" s="208"/>
      <c r="C830" s="207"/>
      <c r="D830" s="207"/>
      <c r="E830" s="207"/>
      <c r="F830" s="207"/>
      <c r="G830" s="207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</row>
    <row r="831" spans="1:23" ht="26.25" customHeight="1">
      <c r="A831" s="208"/>
      <c r="B831" s="208"/>
      <c r="C831" s="207"/>
      <c r="D831" s="207"/>
      <c r="E831" s="207"/>
      <c r="F831" s="207"/>
      <c r="G831" s="207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</row>
    <row r="832" spans="1:23" ht="26.25" customHeight="1">
      <c r="A832" s="208"/>
      <c r="B832" s="208"/>
      <c r="C832" s="207"/>
      <c r="D832" s="207"/>
      <c r="E832" s="207"/>
      <c r="F832" s="207"/>
      <c r="G832" s="207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</row>
    <row r="833" spans="1:23" ht="26.25" customHeight="1">
      <c r="A833" s="208"/>
      <c r="B833" s="208"/>
      <c r="C833" s="207"/>
      <c r="D833" s="207"/>
      <c r="E833" s="207"/>
      <c r="F833" s="207"/>
      <c r="G833" s="207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</row>
    <row r="834" spans="1:23" ht="26.25" customHeight="1">
      <c r="A834" s="208"/>
      <c r="B834" s="208"/>
      <c r="C834" s="207"/>
      <c r="D834" s="207"/>
      <c r="E834" s="207"/>
      <c r="F834" s="207"/>
      <c r="G834" s="207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</row>
    <row r="835" spans="1:23" ht="26.25" customHeight="1">
      <c r="A835" s="208"/>
      <c r="B835" s="208"/>
      <c r="C835" s="207"/>
      <c r="D835" s="207"/>
      <c r="E835" s="207"/>
      <c r="F835" s="207"/>
      <c r="G835" s="207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</row>
    <row r="836" spans="1:23" ht="26.25" customHeight="1">
      <c r="A836" s="208"/>
      <c r="B836" s="208"/>
      <c r="C836" s="207"/>
      <c r="D836" s="207"/>
      <c r="E836" s="207"/>
      <c r="F836" s="207"/>
      <c r="G836" s="207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</row>
    <row r="837" spans="1:23" ht="26.25" customHeight="1">
      <c r="A837" s="208"/>
      <c r="B837" s="208"/>
      <c r="C837" s="207"/>
      <c r="D837" s="207"/>
      <c r="E837" s="207"/>
      <c r="F837" s="207"/>
      <c r="G837" s="207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</row>
    <row r="838" spans="1:23" ht="26.25" customHeight="1">
      <c r="A838" s="208"/>
      <c r="B838" s="208"/>
      <c r="C838" s="207"/>
      <c r="D838" s="207"/>
      <c r="E838" s="207"/>
      <c r="F838" s="207"/>
      <c r="G838" s="207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</row>
    <row r="839" spans="1:23" ht="26.25" customHeight="1">
      <c r="A839" s="208"/>
      <c r="B839" s="208"/>
      <c r="C839" s="207"/>
      <c r="D839" s="207"/>
      <c r="E839" s="207"/>
      <c r="F839" s="207"/>
      <c r="G839" s="207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</row>
    <row r="840" spans="1:23" ht="26.25" customHeight="1">
      <c r="A840" s="208"/>
      <c r="B840" s="208"/>
      <c r="C840" s="207"/>
      <c r="D840" s="207"/>
      <c r="E840" s="207"/>
      <c r="F840" s="207"/>
      <c r="G840" s="207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</row>
    <row r="841" spans="1:23" ht="26.25" customHeight="1">
      <c r="A841" s="208"/>
      <c r="B841" s="208"/>
      <c r="C841" s="207"/>
      <c r="D841" s="207"/>
      <c r="E841" s="207"/>
      <c r="F841" s="207"/>
      <c r="G841" s="207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</row>
    <row r="842" spans="1:23" ht="26.25" customHeight="1">
      <c r="A842" s="208"/>
      <c r="B842" s="208"/>
      <c r="C842" s="207"/>
      <c r="D842" s="207"/>
      <c r="E842" s="207"/>
      <c r="F842" s="207"/>
      <c r="G842" s="207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</row>
    <row r="843" spans="1:23" ht="26.25" customHeight="1">
      <c r="A843" s="208"/>
      <c r="B843" s="208"/>
      <c r="C843" s="207"/>
      <c r="D843" s="207"/>
      <c r="E843" s="207"/>
      <c r="F843" s="207"/>
      <c r="G843" s="207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</row>
    <row r="844" spans="1:23" ht="26.25" customHeight="1">
      <c r="A844" s="208"/>
      <c r="B844" s="208"/>
      <c r="C844" s="207"/>
      <c r="D844" s="207"/>
      <c r="E844" s="207"/>
      <c r="F844" s="207"/>
      <c r="G844" s="207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</row>
    <row r="845" spans="1:23" ht="26.25" customHeight="1">
      <c r="A845" s="208"/>
      <c r="B845" s="208"/>
      <c r="C845" s="207"/>
      <c r="D845" s="207"/>
      <c r="E845" s="207"/>
      <c r="F845" s="207"/>
      <c r="G845" s="207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</row>
    <row r="846" spans="1:23" ht="26.25" customHeight="1">
      <c r="A846" s="208"/>
      <c r="B846" s="208"/>
      <c r="C846" s="207"/>
      <c r="D846" s="207"/>
      <c r="E846" s="207"/>
      <c r="F846" s="207"/>
      <c r="G846" s="207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</row>
    <row r="847" spans="1:23" ht="26.25" customHeight="1">
      <c r="A847" s="208"/>
      <c r="B847" s="208"/>
      <c r="C847" s="207"/>
      <c r="D847" s="207"/>
      <c r="E847" s="207"/>
      <c r="F847" s="207"/>
      <c r="G847" s="207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</row>
    <row r="848" spans="1:23" ht="26.25" customHeight="1">
      <c r="A848" s="208"/>
      <c r="B848" s="208"/>
      <c r="C848" s="207"/>
      <c r="D848" s="207"/>
      <c r="E848" s="207"/>
      <c r="F848" s="207"/>
      <c r="G848" s="207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</row>
    <row r="849" spans="1:23" ht="26.25" customHeight="1">
      <c r="A849" s="208"/>
      <c r="B849" s="208"/>
      <c r="C849" s="207"/>
      <c r="D849" s="207"/>
      <c r="E849" s="207"/>
      <c r="F849" s="207"/>
      <c r="G849" s="207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</row>
    <row r="850" spans="1:23" ht="26.25" customHeight="1">
      <c r="A850" s="208"/>
      <c r="B850" s="208"/>
      <c r="C850" s="207"/>
      <c r="D850" s="207"/>
      <c r="E850" s="207"/>
      <c r="F850" s="207"/>
      <c r="G850" s="207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</row>
    <row r="851" spans="1:23" ht="26.25" customHeight="1">
      <c r="A851" s="208"/>
      <c r="B851" s="208"/>
      <c r="C851" s="207"/>
      <c r="D851" s="207"/>
      <c r="E851" s="207"/>
      <c r="F851" s="207"/>
      <c r="G851" s="207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</row>
    <row r="852" spans="1:23" ht="26.25" customHeight="1">
      <c r="A852" s="208"/>
      <c r="B852" s="208"/>
      <c r="C852" s="207"/>
      <c r="D852" s="207"/>
      <c r="E852" s="207"/>
      <c r="F852" s="207"/>
      <c r="G852" s="207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</row>
    <row r="853" spans="1:23" ht="26.25" customHeight="1">
      <c r="A853" s="208"/>
      <c r="B853" s="208"/>
      <c r="C853" s="207"/>
      <c r="D853" s="207"/>
      <c r="E853" s="207"/>
      <c r="F853" s="207"/>
      <c r="G853" s="207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</row>
    <row r="854" spans="1:23" ht="26.25" customHeight="1">
      <c r="A854" s="208"/>
      <c r="B854" s="208"/>
      <c r="C854" s="207"/>
      <c r="D854" s="207"/>
      <c r="E854" s="207"/>
      <c r="F854" s="207"/>
      <c r="G854" s="207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</row>
    <row r="855" spans="1:23" ht="26.25" customHeight="1">
      <c r="A855" s="208"/>
      <c r="B855" s="208"/>
      <c r="C855" s="207"/>
      <c r="D855" s="207"/>
      <c r="E855" s="207"/>
      <c r="F855" s="207"/>
      <c r="G855" s="207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</row>
    <row r="856" spans="1:23" ht="26.25" customHeight="1">
      <c r="A856" s="208"/>
      <c r="B856" s="208"/>
      <c r="C856" s="207"/>
      <c r="D856" s="207"/>
      <c r="E856" s="207"/>
      <c r="F856" s="207"/>
      <c r="G856" s="207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</row>
    <row r="857" spans="1:23" ht="26.25" customHeight="1">
      <c r="A857" s="208"/>
      <c r="B857" s="208"/>
      <c r="C857" s="207"/>
      <c r="D857" s="207"/>
      <c r="E857" s="207"/>
      <c r="F857" s="207"/>
      <c r="G857" s="207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</row>
    <row r="858" spans="1:23" ht="26.25" customHeight="1">
      <c r="A858" s="208"/>
      <c r="B858" s="208"/>
      <c r="C858" s="207"/>
      <c r="D858" s="207"/>
      <c r="E858" s="207"/>
      <c r="F858" s="207"/>
      <c r="G858" s="207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</row>
    <row r="859" spans="1:23" ht="26.25" customHeight="1">
      <c r="A859" s="208"/>
      <c r="B859" s="208"/>
      <c r="C859" s="207"/>
      <c r="D859" s="207"/>
      <c r="E859" s="207"/>
      <c r="F859" s="207"/>
      <c r="G859" s="207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</row>
    <row r="860" spans="1:23" ht="26.25" customHeight="1">
      <c r="A860" s="208"/>
      <c r="B860" s="208"/>
      <c r="C860" s="207"/>
      <c r="D860" s="207"/>
      <c r="E860" s="207"/>
      <c r="F860" s="207"/>
      <c r="G860" s="207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</row>
    <row r="861" spans="1:23" ht="26.25" customHeight="1">
      <c r="A861" s="208"/>
      <c r="B861" s="208"/>
      <c r="C861" s="207"/>
      <c r="D861" s="207"/>
      <c r="E861" s="207"/>
      <c r="F861" s="207"/>
      <c r="G861" s="207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</row>
    <row r="862" spans="1:23" ht="26.25" customHeight="1">
      <c r="A862" s="208"/>
      <c r="B862" s="208"/>
      <c r="C862" s="207"/>
      <c r="D862" s="207"/>
      <c r="E862" s="207"/>
      <c r="F862" s="207"/>
      <c r="G862" s="207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</row>
    <row r="863" spans="1:23" ht="26.25" customHeight="1">
      <c r="A863" s="208"/>
      <c r="B863" s="208"/>
      <c r="C863" s="207"/>
      <c r="D863" s="207"/>
      <c r="E863" s="207"/>
      <c r="F863" s="207"/>
      <c r="G863" s="207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</row>
    <row r="864" spans="1:23" ht="26.25" customHeight="1">
      <c r="A864" s="208"/>
      <c r="B864" s="208"/>
      <c r="C864" s="207"/>
      <c r="D864" s="207"/>
      <c r="E864" s="207"/>
      <c r="F864" s="207"/>
      <c r="G864" s="207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</row>
    <row r="865" spans="1:23" ht="26.25" customHeight="1">
      <c r="A865" s="208"/>
      <c r="B865" s="208"/>
      <c r="C865" s="207"/>
      <c r="D865" s="207"/>
      <c r="E865" s="207"/>
      <c r="F865" s="207"/>
      <c r="G865" s="207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</row>
    <row r="866" spans="1:23" ht="26.25" customHeight="1">
      <c r="A866" s="208"/>
      <c r="B866" s="208"/>
      <c r="C866" s="207"/>
      <c r="D866" s="207"/>
      <c r="E866" s="207"/>
      <c r="F866" s="207"/>
      <c r="G866" s="207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</row>
    <row r="867" spans="1:23" ht="26.25" customHeight="1">
      <c r="A867" s="208"/>
      <c r="B867" s="208"/>
      <c r="C867" s="207"/>
      <c r="D867" s="207"/>
      <c r="E867" s="207"/>
      <c r="F867" s="207"/>
      <c r="G867" s="207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</row>
    <row r="868" spans="1:23" ht="26.25" customHeight="1">
      <c r="A868" s="208"/>
      <c r="B868" s="208"/>
      <c r="C868" s="207"/>
      <c r="D868" s="207"/>
      <c r="E868" s="207"/>
      <c r="F868" s="207"/>
      <c r="G868" s="207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</row>
    <row r="869" spans="1:23" ht="26.25" customHeight="1">
      <c r="A869" s="208"/>
      <c r="B869" s="208"/>
      <c r="C869" s="207"/>
      <c r="D869" s="207"/>
      <c r="E869" s="207"/>
      <c r="F869" s="207"/>
      <c r="G869" s="207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</row>
    <row r="870" spans="1:23" ht="26.25" customHeight="1">
      <c r="A870" s="208"/>
      <c r="B870" s="208"/>
      <c r="C870" s="207"/>
      <c r="D870" s="207"/>
      <c r="E870" s="207"/>
      <c r="F870" s="207"/>
      <c r="G870" s="207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</row>
    <row r="871" spans="1:23" ht="26.25" customHeight="1">
      <c r="A871" s="208"/>
      <c r="B871" s="208"/>
      <c r="C871" s="207"/>
      <c r="D871" s="207"/>
      <c r="E871" s="207"/>
      <c r="F871" s="207"/>
      <c r="G871" s="207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</row>
    <row r="872" spans="1:23" ht="26.25" customHeight="1">
      <c r="A872" s="208"/>
      <c r="B872" s="208"/>
      <c r="C872" s="207"/>
      <c r="D872" s="207"/>
      <c r="E872" s="207"/>
      <c r="F872" s="207"/>
      <c r="G872" s="207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</row>
    <row r="873" spans="1:23" ht="26.25" customHeight="1">
      <c r="A873" s="208"/>
      <c r="B873" s="208"/>
      <c r="C873" s="207"/>
      <c r="D873" s="207"/>
      <c r="E873" s="207"/>
      <c r="F873" s="207"/>
      <c r="G873" s="207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</row>
    <row r="874" spans="1:23" ht="26.25" customHeight="1">
      <c r="A874" s="208"/>
      <c r="B874" s="208"/>
      <c r="C874" s="207"/>
      <c r="D874" s="207"/>
      <c r="E874" s="207"/>
      <c r="F874" s="207"/>
      <c r="G874" s="207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</row>
    <row r="875" spans="1:23" ht="26.25" customHeight="1">
      <c r="A875" s="208"/>
      <c r="B875" s="208"/>
      <c r="C875" s="207"/>
      <c r="D875" s="207"/>
      <c r="E875" s="207"/>
      <c r="F875" s="207"/>
      <c r="G875" s="207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</row>
    <row r="876" spans="1:23" ht="26.25" customHeight="1">
      <c r="A876" s="208"/>
      <c r="B876" s="208"/>
      <c r="C876" s="207"/>
      <c r="D876" s="207"/>
      <c r="E876" s="207"/>
      <c r="F876" s="207"/>
      <c r="G876" s="207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</row>
    <row r="877" spans="1:23" ht="26.25" customHeight="1">
      <c r="A877" s="208"/>
      <c r="B877" s="208"/>
      <c r="C877" s="207"/>
      <c r="D877" s="207"/>
      <c r="E877" s="207"/>
      <c r="F877" s="207"/>
      <c r="G877" s="207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</row>
    <row r="878" spans="1:23" ht="26.25" customHeight="1">
      <c r="A878" s="208"/>
      <c r="B878" s="208"/>
      <c r="C878" s="207"/>
      <c r="D878" s="207"/>
      <c r="E878" s="207"/>
      <c r="F878" s="207"/>
      <c r="G878" s="207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</row>
    <row r="879" spans="1:23" ht="26.25" customHeight="1">
      <c r="A879" s="208"/>
      <c r="B879" s="208"/>
      <c r="C879" s="207"/>
      <c r="D879" s="207"/>
      <c r="E879" s="207"/>
      <c r="F879" s="207"/>
      <c r="G879" s="207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</row>
    <row r="880" spans="1:23" ht="26.25" customHeight="1">
      <c r="A880" s="208"/>
      <c r="B880" s="208"/>
      <c r="C880" s="207"/>
      <c r="D880" s="207"/>
      <c r="E880" s="207"/>
      <c r="F880" s="207"/>
      <c r="G880" s="207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</row>
    <row r="881" spans="1:23" ht="26.25" customHeight="1">
      <c r="A881" s="208"/>
      <c r="B881" s="208"/>
      <c r="C881" s="207"/>
      <c r="D881" s="207"/>
      <c r="E881" s="207"/>
      <c r="F881" s="207"/>
      <c r="G881" s="207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</row>
    <row r="882" spans="1:23" ht="26.25" customHeight="1">
      <c r="A882" s="208"/>
      <c r="B882" s="208"/>
      <c r="C882" s="207"/>
      <c r="D882" s="207"/>
      <c r="E882" s="207"/>
      <c r="F882" s="207"/>
      <c r="G882" s="207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</row>
    <row r="883" spans="1:23" ht="26.25" customHeight="1">
      <c r="A883" s="208"/>
      <c r="B883" s="208"/>
      <c r="C883" s="207"/>
      <c r="D883" s="207"/>
      <c r="E883" s="207"/>
      <c r="F883" s="207"/>
      <c r="G883" s="207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</row>
    <row r="884" spans="1:23" ht="26.25" customHeight="1">
      <c r="A884" s="208"/>
      <c r="B884" s="208"/>
      <c r="C884" s="207"/>
      <c r="D884" s="207"/>
      <c r="E884" s="207"/>
      <c r="F884" s="207"/>
      <c r="G884" s="207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</row>
    <row r="885" spans="1:23" ht="26.25" customHeight="1">
      <c r="A885" s="208"/>
      <c r="B885" s="208"/>
      <c r="C885" s="207"/>
      <c r="D885" s="207"/>
      <c r="E885" s="207"/>
      <c r="F885" s="207"/>
      <c r="G885" s="207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</row>
    <row r="886" spans="1:23" ht="26.25" customHeight="1">
      <c r="A886" s="208"/>
      <c r="B886" s="208"/>
      <c r="C886" s="207"/>
      <c r="D886" s="207"/>
      <c r="E886" s="207"/>
      <c r="F886" s="207"/>
      <c r="G886" s="207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26.25" customHeight="1">
      <c r="A887" s="208"/>
      <c r="B887" s="208"/>
      <c r="C887" s="207"/>
      <c r="D887" s="207"/>
      <c r="E887" s="207"/>
      <c r="F887" s="207"/>
      <c r="G887" s="207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</row>
    <row r="888" spans="1:23" ht="26.25" customHeight="1">
      <c r="A888" s="208"/>
      <c r="B888" s="208"/>
      <c r="C888" s="207"/>
      <c r="D888" s="207"/>
      <c r="E888" s="207"/>
      <c r="F888" s="207"/>
      <c r="G888" s="207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</row>
    <row r="889" spans="1:23" ht="26.25" customHeight="1">
      <c r="A889" s="208"/>
      <c r="B889" s="208"/>
      <c r="C889" s="207"/>
      <c r="D889" s="207"/>
      <c r="E889" s="207"/>
      <c r="F889" s="207"/>
      <c r="G889" s="207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</row>
    <row r="890" spans="1:23" ht="26.25" customHeight="1">
      <c r="A890" s="208"/>
      <c r="B890" s="208"/>
      <c r="C890" s="207"/>
      <c r="D890" s="207"/>
      <c r="E890" s="207"/>
      <c r="F890" s="207"/>
      <c r="G890" s="207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</row>
    <row r="891" spans="1:23" ht="26.25" customHeight="1">
      <c r="A891" s="208"/>
      <c r="B891" s="208"/>
      <c r="C891" s="207"/>
      <c r="D891" s="207"/>
      <c r="E891" s="207"/>
      <c r="F891" s="207"/>
      <c r="G891" s="207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</row>
    <row r="892" spans="1:23" ht="26.25" customHeight="1">
      <c r="A892" s="208"/>
      <c r="B892" s="208"/>
      <c r="C892" s="207"/>
      <c r="D892" s="207"/>
      <c r="E892" s="207"/>
      <c r="F892" s="207"/>
      <c r="G892" s="207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</row>
    <row r="893" spans="1:23" ht="26.25" customHeight="1">
      <c r="A893" s="208"/>
      <c r="B893" s="208"/>
      <c r="C893" s="207"/>
      <c r="D893" s="207"/>
      <c r="E893" s="207"/>
      <c r="F893" s="207"/>
      <c r="G893" s="207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</row>
    <row r="894" spans="1:23" ht="26.25" customHeight="1">
      <c r="A894" s="208"/>
      <c r="B894" s="208"/>
      <c r="C894" s="207"/>
      <c r="D894" s="207"/>
      <c r="E894" s="207"/>
      <c r="F894" s="207"/>
      <c r="G894" s="207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</row>
    <row r="895" spans="1:23" ht="26.25" customHeight="1">
      <c r="A895" s="208"/>
      <c r="B895" s="208"/>
      <c r="C895" s="207"/>
      <c r="D895" s="207"/>
      <c r="E895" s="207"/>
      <c r="F895" s="207"/>
      <c r="G895" s="207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26.25" customHeight="1">
      <c r="A896" s="208"/>
      <c r="B896" s="208"/>
      <c r="C896" s="207"/>
      <c r="D896" s="207"/>
      <c r="E896" s="207"/>
      <c r="F896" s="207"/>
      <c r="G896" s="207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</row>
    <row r="897" spans="1:23" ht="26.25" customHeight="1">
      <c r="A897" s="208"/>
      <c r="B897" s="208"/>
      <c r="C897" s="207"/>
      <c r="D897" s="207"/>
      <c r="E897" s="207"/>
      <c r="F897" s="207"/>
      <c r="G897" s="207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</row>
    <row r="898" spans="1:23" ht="26.25" customHeight="1">
      <c r="A898" s="208"/>
      <c r="B898" s="208"/>
      <c r="C898" s="207"/>
      <c r="D898" s="207"/>
      <c r="E898" s="207"/>
      <c r="F898" s="207"/>
      <c r="G898" s="207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</row>
    <row r="899" spans="1:23" ht="26.25" customHeight="1">
      <c r="A899" s="208"/>
      <c r="B899" s="208"/>
      <c r="C899" s="207"/>
      <c r="D899" s="207"/>
      <c r="E899" s="207"/>
      <c r="F899" s="207"/>
      <c r="G899" s="207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</row>
    <row r="900" spans="1:23" ht="26.25" customHeight="1">
      <c r="A900" s="208"/>
      <c r="B900" s="208"/>
      <c r="C900" s="207"/>
      <c r="D900" s="207"/>
      <c r="E900" s="207"/>
      <c r="F900" s="207"/>
      <c r="G900" s="207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</row>
    <row r="901" spans="1:23" ht="26.25" customHeight="1">
      <c r="A901" s="208"/>
      <c r="B901" s="208"/>
      <c r="C901" s="207"/>
      <c r="D901" s="207"/>
      <c r="E901" s="207"/>
      <c r="F901" s="207"/>
      <c r="G901" s="207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</row>
    <row r="902" spans="1:23" ht="26.25" customHeight="1">
      <c r="A902" s="208"/>
      <c r="B902" s="208"/>
      <c r="C902" s="207"/>
      <c r="D902" s="207"/>
      <c r="E902" s="207"/>
      <c r="F902" s="207"/>
      <c r="G902" s="207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</row>
    <row r="903" spans="1:23" ht="26.25" customHeight="1">
      <c r="A903" s="208"/>
      <c r="B903" s="208"/>
      <c r="C903" s="207"/>
      <c r="D903" s="207"/>
      <c r="E903" s="207"/>
      <c r="F903" s="207"/>
      <c r="G903" s="207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</row>
    <row r="904" spans="1:23" ht="26.25" customHeight="1">
      <c r="A904" s="208"/>
      <c r="B904" s="208"/>
      <c r="C904" s="207"/>
      <c r="D904" s="207"/>
      <c r="E904" s="207"/>
      <c r="F904" s="207"/>
      <c r="G904" s="207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</row>
    <row r="905" spans="1:23" ht="26.25" customHeight="1">
      <c r="A905" s="208"/>
      <c r="B905" s="208"/>
      <c r="C905" s="207"/>
      <c r="D905" s="207"/>
      <c r="E905" s="207"/>
      <c r="F905" s="207"/>
      <c r="G905" s="207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</row>
    <row r="906" spans="1:23" ht="26.25" customHeight="1">
      <c r="A906" s="208"/>
      <c r="B906" s="208"/>
      <c r="C906" s="207"/>
      <c r="D906" s="207"/>
      <c r="E906" s="207"/>
      <c r="F906" s="207"/>
      <c r="G906" s="207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</row>
    <row r="907" spans="1:23" ht="26.25" customHeight="1">
      <c r="A907" s="208"/>
      <c r="B907" s="208"/>
      <c r="C907" s="207"/>
      <c r="D907" s="207"/>
      <c r="E907" s="207"/>
      <c r="F907" s="207"/>
      <c r="G907" s="207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</row>
    <row r="908" spans="1:23" ht="26.25" customHeight="1">
      <c r="A908" s="208"/>
      <c r="B908" s="208"/>
      <c r="C908" s="207"/>
      <c r="D908" s="207"/>
      <c r="E908" s="207"/>
      <c r="F908" s="207"/>
      <c r="G908" s="207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</row>
    <row r="909" spans="1:23" ht="26.25" customHeight="1">
      <c r="A909" s="208"/>
      <c r="B909" s="208"/>
      <c r="C909" s="207"/>
      <c r="D909" s="207"/>
      <c r="E909" s="207"/>
      <c r="F909" s="207"/>
      <c r="G909" s="207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</row>
    <row r="910" spans="1:23" ht="26.25" customHeight="1">
      <c r="A910" s="208"/>
      <c r="B910" s="208"/>
      <c r="C910" s="207"/>
      <c r="D910" s="207"/>
      <c r="E910" s="207"/>
      <c r="F910" s="207"/>
      <c r="G910" s="207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</row>
    <row r="911" spans="1:23" ht="26.25" customHeight="1">
      <c r="A911" s="208"/>
      <c r="B911" s="208"/>
      <c r="C911" s="207"/>
      <c r="D911" s="207"/>
      <c r="E911" s="207"/>
      <c r="F911" s="207"/>
      <c r="G911" s="207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</row>
    <row r="912" spans="1:23" ht="26.25" customHeight="1">
      <c r="A912" s="208"/>
      <c r="B912" s="208"/>
      <c r="C912" s="207"/>
      <c r="D912" s="207"/>
      <c r="E912" s="207"/>
      <c r="F912" s="207"/>
      <c r="G912" s="207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</row>
    <row r="913" spans="1:23" ht="26.25" customHeight="1">
      <c r="A913" s="208"/>
      <c r="B913" s="208"/>
      <c r="C913" s="207"/>
      <c r="D913" s="207"/>
      <c r="E913" s="207"/>
      <c r="F913" s="207"/>
      <c r="G913" s="207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</row>
    <row r="914" spans="1:23" ht="26.25" customHeight="1">
      <c r="A914" s="208"/>
      <c r="B914" s="208"/>
      <c r="C914" s="207"/>
      <c r="D914" s="207"/>
      <c r="E914" s="207"/>
      <c r="F914" s="207"/>
      <c r="G914" s="207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</row>
    <row r="915" spans="1:23" ht="26.25" customHeight="1">
      <c r="A915" s="208"/>
      <c r="B915" s="208"/>
      <c r="C915" s="207"/>
      <c r="D915" s="207"/>
      <c r="E915" s="207"/>
      <c r="F915" s="207"/>
      <c r="G915" s="207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</row>
    <row r="916" spans="1:23" ht="26.25" customHeight="1">
      <c r="A916" s="208"/>
      <c r="B916" s="208"/>
      <c r="C916" s="207"/>
      <c r="D916" s="207"/>
      <c r="E916" s="207"/>
      <c r="F916" s="207"/>
      <c r="G916" s="207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</row>
    <row r="917" spans="1:23" ht="26.25" customHeight="1">
      <c r="A917" s="208"/>
      <c r="B917" s="208"/>
      <c r="C917" s="207"/>
      <c r="D917" s="207"/>
      <c r="E917" s="207"/>
      <c r="F917" s="207"/>
      <c r="G917" s="207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</row>
    <row r="918" spans="1:23" ht="26.25" customHeight="1">
      <c r="A918" s="208"/>
      <c r="B918" s="208"/>
      <c r="C918" s="207"/>
      <c r="D918" s="207"/>
      <c r="E918" s="207"/>
      <c r="F918" s="207"/>
      <c r="G918" s="207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</row>
    <row r="919" spans="1:23" ht="26.25" customHeight="1">
      <c r="A919" s="208"/>
      <c r="B919" s="208"/>
      <c r="C919" s="207"/>
      <c r="D919" s="207"/>
      <c r="E919" s="207"/>
      <c r="F919" s="207"/>
      <c r="G919" s="207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</row>
    <row r="920" spans="1:23" ht="26.25" customHeight="1">
      <c r="A920" s="208"/>
      <c r="B920" s="208"/>
      <c r="C920" s="207"/>
      <c r="D920" s="207"/>
      <c r="E920" s="207"/>
      <c r="F920" s="207"/>
      <c r="G920" s="207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</row>
    <row r="921" spans="1:23" ht="26.25" customHeight="1">
      <c r="A921" s="208"/>
      <c r="B921" s="208"/>
      <c r="C921" s="207"/>
      <c r="D921" s="207"/>
      <c r="E921" s="207"/>
      <c r="F921" s="207"/>
      <c r="G921" s="207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</row>
    <row r="922" spans="1:23" ht="26.25" customHeight="1">
      <c r="A922" s="208"/>
      <c r="B922" s="208"/>
      <c r="C922" s="207"/>
      <c r="D922" s="207"/>
      <c r="E922" s="207"/>
      <c r="F922" s="207"/>
      <c r="G922" s="207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26.25" customHeight="1">
      <c r="A923" s="208"/>
      <c r="B923" s="208"/>
      <c r="C923" s="207"/>
      <c r="D923" s="207"/>
      <c r="E923" s="207"/>
      <c r="F923" s="207"/>
      <c r="G923" s="207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</row>
    <row r="924" spans="1:23" ht="26.25" customHeight="1">
      <c r="A924" s="208"/>
      <c r="B924" s="208"/>
      <c r="C924" s="207"/>
      <c r="D924" s="207"/>
      <c r="E924" s="207"/>
      <c r="F924" s="207"/>
      <c r="G924" s="207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</row>
    <row r="925" spans="1:23" ht="26.25" customHeight="1">
      <c r="A925" s="208"/>
      <c r="B925" s="208"/>
      <c r="C925" s="207"/>
      <c r="D925" s="207"/>
      <c r="E925" s="207"/>
      <c r="F925" s="207"/>
      <c r="G925" s="207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</row>
    <row r="926" spans="1:23" ht="26.25" customHeight="1">
      <c r="A926" s="208"/>
      <c r="B926" s="208"/>
      <c r="C926" s="207"/>
      <c r="D926" s="207"/>
      <c r="E926" s="207"/>
      <c r="F926" s="207"/>
      <c r="G926" s="207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</row>
    <row r="927" spans="1:23" ht="26.25" customHeight="1">
      <c r="A927" s="208"/>
      <c r="B927" s="208"/>
      <c r="C927" s="207"/>
      <c r="D927" s="207"/>
      <c r="E927" s="207"/>
      <c r="F927" s="207"/>
      <c r="G927" s="207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</row>
    <row r="928" spans="1:23" ht="26.25" customHeight="1">
      <c r="A928" s="208"/>
      <c r="B928" s="208"/>
      <c r="C928" s="207"/>
      <c r="D928" s="207"/>
      <c r="E928" s="207"/>
      <c r="F928" s="207"/>
      <c r="G928" s="207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</row>
    <row r="929" spans="1:23" ht="26.25" customHeight="1">
      <c r="A929" s="208"/>
      <c r="B929" s="208"/>
      <c r="C929" s="207"/>
      <c r="D929" s="207"/>
      <c r="E929" s="207"/>
      <c r="F929" s="207"/>
      <c r="G929" s="207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</row>
    <row r="930" spans="1:23" ht="26.25" customHeight="1">
      <c r="A930" s="208"/>
      <c r="B930" s="208"/>
      <c r="C930" s="207"/>
      <c r="D930" s="207"/>
      <c r="E930" s="207"/>
      <c r="F930" s="207"/>
      <c r="G930" s="207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</row>
    <row r="931" spans="1:23" ht="26.25" customHeight="1">
      <c r="A931" s="208"/>
      <c r="B931" s="208"/>
      <c r="C931" s="207"/>
      <c r="D931" s="207"/>
      <c r="E931" s="207"/>
      <c r="F931" s="207"/>
      <c r="G931" s="207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</row>
    <row r="932" spans="1:23" ht="26.25" customHeight="1">
      <c r="A932" s="208"/>
      <c r="B932" s="208"/>
      <c r="C932" s="207"/>
      <c r="D932" s="207"/>
      <c r="E932" s="207"/>
      <c r="F932" s="207"/>
      <c r="G932" s="207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</row>
    <row r="933" spans="1:23" ht="26.25" customHeight="1">
      <c r="A933" s="208"/>
      <c r="B933" s="208"/>
      <c r="C933" s="207"/>
      <c r="D933" s="207"/>
      <c r="E933" s="207"/>
      <c r="F933" s="207"/>
      <c r="G933" s="207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</row>
    <row r="934" spans="1:23" ht="26.25" customHeight="1">
      <c r="A934" s="208"/>
      <c r="B934" s="208"/>
      <c r="C934" s="207"/>
      <c r="D934" s="207"/>
      <c r="E934" s="207"/>
      <c r="F934" s="207"/>
      <c r="G934" s="207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</row>
    <row r="935" spans="1:23" ht="26.25" customHeight="1">
      <c r="A935" s="208"/>
      <c r="B935" s="208"/>
      <c r="C935" s="207"/>
      <c r="D935" s="207"/>
      <c r="E935" s="207"/>
      <c r="F935" s="207"/>
      <c r="G935" s="207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</row>
    <row r="936" spans="1:23" ht="26.25" customHeight="1">
      <c r="A936" s="208"/>
      <c r="B936" s="208"/>
      <c r="C936" s="207"/>
      <c r="D936" s="207"/>
      <c r="E936" s="207"/>
      <c r="F936" s="207"/>
      <c r="G936" s="207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</row>
    <row r="937" spans="1:23" ht="26.25" customHeight="1">
      <c r="A937" s="208"/>
      <c r="B937" s="208"/>
      <c r="C937" s="207"/>
      <c r="D937" s="207"/>
      <c r="E937" s="207"/>
      <c r="F937" s="207"/>
      <c r="G937" s="207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</row>
    <row r="938" spans="1:23" ht="26.25" customHeight="1">
      <c r="A938" s="208"/>
      <c r="B938" s="208"/>
      <c r="C938" s="207"/>
      <c r="D938" s="207"/>
      <c r="E938" s="207"/>
      <c r="F938" s="207"/>
      <c r="G938" s="207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</row>
    <row r="939" spans="1:23" ht="26.25" customHeight="1">
      <c r="A939" s="208"/>
      <c r="B939" s="208"/>
      <c r="C939" s="207"/>
      <c r="D939" s="207"/>
      <c r="E939" s="207"/>
      <c r="F939" s="207"/>
      <c r="G939" s="207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</row>
    <row r="940" spans="1:23" ht="26.25" customHeight="1">
      <c r="A940" s="208"/>
      <c r="B940" s="208"/>
      <c r="C940" s="207"/>
      <c r="D940" s="207"/>
      <c r="E940" s="207"/>
      <c r="F940" s="207"/>
      <c r="G940" s="207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</row>
    <row r="941" spans="1:23" ht="26.25" customHeight="1">
      <c r="A941" s="208"/>
      <c r="B941" s="208"/>
      <c r="C941" s="207"/>
      <c r="D941" s="207"/>
      <c r="E941" s="207"/>
      <c r="F941" s="207"/>
      <c r="G941" s="207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</row>
    <row r="942" spans="1:23" ht="26.25" customHeight="1">
      <c r="A942" s="208"/>
      <c r="B942" s="208"/>
      <c r="C942" s="207"/>
      <c r="D942" s="207"/>
      <c r="E942" s="207"/>
      <c r="F942" s="207"/>
      <c r="G942" s="207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</row>
    <row r="943" spans="1:23" ht="26.25" customHeight="1">
      <c r="A943" s="208"/>
      <c r="B943" s="208"/>
      <c r="C943" s="207"/>
      <c r="D943" s="207"/>
      <c r="E943" s="207"/>
      <c r="F943" s="207"/>
      <c r="G943" s="207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</row>
    <row r="944" spans="1:23" ht="26.25" customHeight="1">
      <c r="A944" s="208"/>
      <c r="B944" s="208"/>
      <c r="C944" s="207"/>
      <c r="D944" s="207"/>
      <c r="E944" s="207"/>
      <c r="F944" s="207"/>
      <c r="G944" s="207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</row>
    <row r="945" spans="1:23" ht="26.25" customHeight="1">
      <c r="A945" s="208"/>
      <c r="B945" s="208"/>
      <c r="C945" s="207"/>
      <c r="D945" s="207"/>
      <c r="E945" s="207"/>
      <c r="F945" s="207"/>
      <c r="G945" s="207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</row>
    <row r="946" spans="1:23" ht="26.25" customHeight="1">
      <c r="A946" s="208"/>
      <c r="B946" s="208"/>
      <c r="C946" s="207"/>
      <c r="D946" s="207"/>
      <c r="E946" s="207"/>
      <c r="F946" s="207"/>
      <c r="G946" s="207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</row>
    <row r="947" spans="1:23" ht="26.25" customHeight="1">
      <c r="A947" s="208"/>
      <c r="B947" s="208"/>
      <c r="C947" s="207"/>
      <c r="D947" s="207"/>
      <c r="E947" s="207"/>
      <c r="F947" s="207"/>
      <c r="G947" s="207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</row>
    <row r="948" spans="1:23" ht="26.25" customHeight="1">
      <c r="A948" s="208"/>
      <c r="B948" s="208"/>
      <c r="C948" s="207"/>
      <c r="D948" s="207"/>
      <c r="E948" s="207"/>
      <c r="F948" s="207"/>
      <c r="G948" s="207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</row>
    <row r="949" spans="1:23" ht="26.25" customHeight="1">
      <c r="A949" s="208"/>
      <c r="B949" s="208"/>
      <c r="C949" s="207"/>
      <c r="D949" s="207"/>
      <c r="E949" s="207"/>
      <c r="F949" s="207"/>
      <c r="G949" s="207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</row>
    <row r="950" spans="1:23" ht="26.25" customHeight="1">
      <c r="A950" s="208"/>
      <c r="B950" s="208"/>
      <c r="C950" s="207"/>
      <c r="D950" s="207"/>
      <c r="E950" s="207"/>
      <c r="F950" s="207"/>
      <c r="G950" s="207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</row>
    <row r="951" spans="1:23" ht="26.25" customHeight="1">
      <c r="A951" s="208"/>
      <c r="B951" s="208"/>
      <c r="C951" s="207"/>
      <c r="D951" s="207"/>
      <c r="E951" s="207"/>
      <c r="F951" s="207"/>
      <c r="G951" s="207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26.25" customHeight="1">
      <c r="A952" s="208"/>
      <c r="B952" s="208"/>
      <c r="C952" s="207"/>
      <c r="D952" s="207"/>
      <c r="E952" s="207"/>
      <c r="F952" s="207"/>
      <c r="G952" s="207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</row>
    <row r="953" spans="1:23" ht="26.25" customHeight="1">
      <c r="A953" s="208"/>
      <c r="B953" s="208"/>
      <c r="C953" s="207"/>
      <c r="D953" s="207"/>
      <c r="E953" s="207"/>
      <c r="F953" s="207"/>
      <c r="G953" s="207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</row>
    <row r="954" spans="1:23" ht="26.25" customHeight="1">
      <c r="A954" s="208"/>
      <c r="B954" s="208"/>
      <c r="C954" s="207"/>
      <c r="D954" s="207"/>
      <c r="E954" s="207"/>
      <c r="F954" s="207"/>
      <c r="G954" s="207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</row>
    <row r="955" spans="1:23" ht="26.25" customHeight="1">
      <c r="A955" s="208"/>
      <c r="B955" s="208"/>
      <c r="C955" s="207"/>
      <c r="D955" s="207"/>
      <c r="E955" s="207"/>
      <c r="F955" s="207"/>
      <c r="G955" s="207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</row>
    <row r="956" spans="1:23" ht="26.25" customHeight="1">
      <c r="A956" s="208"/>
      <c r="B956" s="208"/>
      <c r="C956" s="207"/>
      <c r="D956" s="207"/>
      <c r="E956" s="207"/>
      <c r="F956" s="207"/>
      <c r="G956" s="207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</row>
    <row r="957" spans="1:23" ht="26.25" customHeight="1">
      <c r="A957" s="208"/>
      <c r="B957" s="208"/>
      <c r="C957" s="207"/>
      <c r="D957" s="207"/>
      <c r="E957" s="207"/>
      <c r="F957" s="207"/>
      <c r="G957" s="207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</row>
    <row r="958" spans="1:23" ht="26.25" customHeight="1">
      <c r="A958" s="208"/>
      <c r="B958" s="208"/>
      <c r="C958" s="207"/>
      <c r="D958" s="207"/>
      <c r="E958" s="207"/>
      <c r="F958" s="207"/>
      <c r="G958" s="207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</row>
    <row r="959" spans="1:23" ht="26.25" customHeight="1">
      <c r="A959" s="208"/>
      <c r="B959" s="208"/>
      <c r="C959" s="207"/>
      <c r="D959" s="207"/>
      <c r="E959" s="207"/>
      <c r="F959" s="207"/>
      <c r="G959" s="207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</row>
    <row r="960" spans="1:23" ht="26.25" customHeight="1">
      <c r="A960" s="208"/>
      <c r="B960" s="208"/>
      <c r="C960" s="207"/>
      <c r="D960" s="207"/>
      <c r="E960" s="207"/>
      <c r="F960" s="207"/>
      <c r="G960" s="207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</row>
    <row r="961" spans="1:23" ht="26.25" customHeight="1">
      <c r="A961" s="208"/>
      <c r="B961" s="208"/>
      <c r="C961" s="207"/>
      <c r="D961" s="207"/>
      <c r="E961" s="207"/>
      <c r="F961" s="207"/>
      <c r="G961" s="207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26.25" customHeight="1">
      <c r="A962" s="208"/>
      <c r="B962" s="208"/>
      <c r="C962" s="207"/>
      <c r="D962" s="207"/>
      <c r="E962" s="207"/>
      <c r="F962" s="207"/>
      <c r="G962" s="207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</row>
    <row r="963" spans="1:23" ht="26.25" customHeight="1">
      <c r="A963" s="208"/>
      <c r="B963" s="208"/>
      <c r="C963" s="207"/>
      <c r="D963" s="207"/>
      <c r="E963" s="207"/>
      <c r="F963" s="207"/>
      <c r="G963" s="207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</row>
    <row r="964" spans="1:23" ht="26.25" customHeight="1">
      <c r="A964" s="208"/>
      <c r="B964" s="208"/>
      <c r="C964" s="207"/>
      <c r="D964" s="207"/>
      <c r="E964" s="207"/>
      <c r="F964" s="207"/>
      <c r="G964" s="207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</row>
    <row r="965" spans="1:23" ht="26.25" customHeight="1">
      <c r="A965" s="208"/>
      <c r="B965" s="208"/>
      <c r="C965" s="207"/>
      <c r="D965" s="207"/>
      <c r="E965" s="207"/>
      <c r="F965" s="207"/>
      <c r="G965" s="207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</row>
    <row r="966" spans="1:23" ht="26.25" customHeight="1">
      <c r="A966" s="208"/>
      <c r="B966" s="208"/>
      <c r="C966" s="207"/>
      <c r="D966" s="207"/>
      <c r="E966" s="207"/>
      <c r="F966" s="207"/>
      <c r="G966" s="207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</row>
    <row r="967" spans="1:23" ht="26.25" customHeight="1">
      <c r="A967" s="208"/>
      <c r="B967" s="208"/>
      <c r="C967" s="207"/>
      <c r="D967" s="207"/>
      <c r="E967" s="207"/>
      <c r="F967" s="207"/>
      <c r="G967" s="207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</row>
    <row r="968" spans="1:23" ht="26.25" customHeight="1">
      <c r="A968" s="208"/>
      <c r="B968" s="208"/>
      <c r="C968" s="207"/>
      <c r="D968" s="207"/>
      <c r="E968" s="207"/>
      <c r="F968" s="207"/>
      <c r="G968" s="207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</row>
    <row r="969" spans="1:23" ht="26.25" customHeight="1">
      <c r="A969" s="208"/>
      <c r="B969" s="208"/>
      <c r="C969" s="207"/>
      <c r="D969" s="207"/>
      <c r="E969" s="207"/>
      <c r="F969" s="207"/>
      <c r="G969" s="207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</row>
    <row r="970" spans="1:23" ht="26.25" customHeight="1">
      <c r="A970" s="208"/>
      <c r="B970" s="208"/>
      <c r="C970" s="207"/>
      <c r="D970" s="207"/>
      <c r="E970" s="207"/>
      <c r="F970" s="207"/>
      <c r="G970" s="207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26.25" customHeight="1">
      <c r="A971" s="208"/>
      <c r="B971" s="208"/>
      <c r="C971" s="207"/>
      <c r="D971" s="207"/>
      <c r="E971" s="207"/>
      <c r="F971" s="207"/>
      <c r="G971" s="207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</row>
    <row r="972" spans="1:23" ht="26.25" customHeight="1">
      <c r="A972" s="208"/>
      <c r="B972" s="208"/>
      <c r="C972" s="207"/>
      <c r="D972" s="207"/>
      <c r="E972" s="207"/>
      <c r="F972" s="207"/>
      <c r="G972" s="207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</row>
    <row r="973" spans="1:23" ht="26.25" customHeight="1">
      <c r="A973" s="208"/>
      <c r="B973" s="208"/>
      <c r="C973" s="207"/>
      <c r="D973" s="207"/>
      <c r="E973" s="207"/>
      <c r="F973" s="207"/>
      <c r="G973" s="207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</row>
    <row r="974" spans="1:23" ht="26.25" customHeight="1">
      <c r="A974" s="208"/>
      <c r="B974" s="208"/>
      <c r="C974" s="207"/>
      <c r="D974" s="207"/>
      <c r="E974" s="207"/>
      <c r="F974" s="207"/>
      <c r="G974" s="207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</row>
    <row r="975" spans="1:23" ht="26.25" customHeight="1">
      <c r="A975" s="208"/>
      <c r="B975" s="208"/>
      <c r="C975" s="207"/>
      <c r="D975" s="207"/>
      <c r="E975" s="207"/>
      <c r="F975" s="207"/>
      <c r="G975" s="207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</row>
    <row r="976" spans="1:23" ht="26.25" customHeight="1">
      <c r="A976" s="208"/>
      <c r="B976" s="208"/>
      <c r="C976" s="207"/>
      <c r="D976" s="207"/>
      <c r="E976" s="207"/>
      <c r="F976" s="207"/>
      <c r="G976" s="207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</row>
    <row r="977" spans="1:23" ht="26.25" customHeight="1">
      <c r="A977" s="208"/>
      <c r="B977" s="208"/>
      <c r="C977" s="207"/>
      <c r="D977" s="207"/>
      <c r="E977" s="207"/>
      <c r="F977" s="207"/>
      <c r="G977" s="207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</row>
    <row r="978" spans="1:23" ht="26.25" customHeight="1">
      <c r="A978" s="208"/>
      <c r="B978" s="208"/>
      <c r="C978" s="207"/>
      <c r="D978" s="207"/>
      <c r="E978" s="207"/>
      <c r="F978" s="207"/>
      <c r="G978" s="207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</row>
    <row r="979" spans="1:23" ht="26.25" customHeight="1">
      <c r="A979" s="208"/>
      <c r="B979" s="208"/>
      <c r="C979" s="207"/>
      <c r="D979" s="207"/>
      <c r="E979" s="207"/>
      <c r="F979" s="207"/>
      <c r="G979" s="207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</row>
    <row r="980" spans="1:23" ht="26.25" customHeight="1">
      <c r="A980" s="208"/>
      <c r="B980" s="208"/>
      <c r="C980" s="207"/>
      <c r="D980" s="207"/>
      <c r="E980" s="207"/>
      <c r="F980" s="207"/>
      <c r="G980" s="207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</row>
  </sheetData>
  <autoFilter ref="A1:G66" xr:uid="{00000000-0009-0000-0000-000024000000}"/>
  <conditionalFormatting sqref="G1:G65 G67:G980">
    <cfRule type="cellIs" dxfId="1" priority="1" operator="greaterThanOrEqual">
      <formula>5000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Z65"/>
  <sheetViews>
    <sheetView workbookViewId="0"/>
  </sheetViews>
  <sheetFormatPr baseColWidth="10" defaultColWidth="14.5" defaultRowHeight="15" customHeight="1"/>
  <cols>
    <col min="2" max="2" width="64.33203125" customWidth="1"/>
  </cols>
  <sheetData>
    <row r="1" spans="1:26">
      <c r="A1" s="209" t="s">
        <v>438</v>
      </c>
      <c r="B1" s="210" t="s">
        <v>439</v>
      </c>
      <c r="C1" s="184" t="s">
        <v>440</v>
      </c>
      <c r="D1" s="184" t="s">
        <v>441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>
      <c r="A2" s="41" t="s">
        <v>24</v>
      </c>
      <c r="B2" s="211" t="s">
        <v>442</v>
      </c>
      <c r="C2" s="40" t="s">
        <v>443</v>
      </c>
      <c r="D2" s="40" t="s">
        <v>443</v>
      </c>
    </row>
    <row r="3" spans="1:26">
      <c r="A3" s="41" t="s">
        <v>26</v>
      </c>
      <c r="B3" s="211" t="s">
        <v>444</v>
      </c>
    </row>
    <row r="4" spans="1:26">
      <c r="A4" s="212" t="s">
        <v>29</v>
      </c>
      <c r="B4" s="211" t="s">
        <v>30</v>
      </c>
      <c r="C4" s="40" t="s">
        <v>443</v>
      </c>
      <c r="D4" s="40" t="s">
        <v>445</v>
      </c>
    </row>
    <row r="5" spans="1:26">
      <c r="A5" s="212" t="s">
        <v>32</v>
      </c>
      <c r="B5" s="211" t="s">
        <v>33</v>
      </c>
      <c r="C5" s="40" t="s">
        <v>443</v>
      </c>
      <c r="D5" s="40" t="s">
        <v>445</v>
      </c>
    </row>
    <row r="6" spans="1:26">
      <c r="A6" s="41" t="s">
        <v>35</v>
      </c>
      <c r="B6" s="213" t="s">
        <v>446</v>
      </c>
    </row>
    <row r="7" spans="1:26">
      <c r="A7" s="41" t="s">
        <v>37</v>
      </c>
      <c r="B7" s="211" t="s">
        <v>447</v>
      </c>
      <c r="C7" s="40" t="s">
        <v>443</v>
      </c>
      <c r="D7" s="40" t="s">
        <v>445</v>
      </c>
    </row>
    <row r="8" spans="1:26">
      <c r="A8" s="41" t="s">
        <v>40</v>
      </c>
      <c r="B8" s="213" t="s">
        <v>41</v>
      </c>
      <c r="C8" s="40" t="s">
        <v>443</v>
      </c>
      <c r="D8" s="40" t="s">
        <v>445</v>
      </c>
    </row>
    <row r="9" spans="1:26">
      <c r="A9" s="41" t="s">
        <v>43</v>
      </c>
      <c r="B9" s="211" t="s">
        <v>448</v>
      </c>
      <c r="C9" s="40" t="s">
        <v>443</v>
      </c>
      <c r="D9" s="40" t="s">
        <v>445</v>
      </c>
    </row>
    <row r="10" spans="1:26">
      <c r="A10" s="212" t="s">
        <v>46</v>
      </c>
      <c r="B10" s="211" t="s">
        <v>380</v>
      </c>
      <c r="C10" s="40" t="s">
        <v>443</v>
      </c>
      <c r="D10" s="40" t="s">
        <v>445</v>
      </c>
    </row>
    <row r="11" spans="1:26">
      <c r="A11" s="41" t="s">
        <v>49</v>
      </c>
      <c r="B11" s="211" t="s">
        <v>50</v>
      </c>
      <c r="C11" s="40" t="s">
        <v>443</v>
      </c>
      <c r="D11" s="40" t="s">
        <v>445</v>
      </c>
    </row>
    <row r="12" spans="1:26">
      <c r="A12" s="212" t="s">
        <v>52</v>
      </c>
      <c r="B12" s="211" t="s">
        <v>449</v>
      </c>
      <c r="C12" s="40" t="s">
        <v>443</v>
      </c>
      <c r="D12" s="40" t="s">
        <v>445</v>
      </c>
    </row>
    <row r="13" spans="1:26">
      <c r="A13" s="41" t="s">
        <v>55</v>
      </c>
      <c r="B13" s="211" t="s">
        <v>450</v>
      </c>
      <c r="C13" s="40" t="s">
        <v>443</v>
      </c>
      <c r="D13" s="40" t="s">
        <v>445</v>
      </c>
    </row>
    <row r="14" spans="1:26">
      <c r="A14" s="41" t="s">
        <v>58</v>
      </c>
      <c r="B14" s="211" t="s">
        <v>451</v>
      </c>
      <c r="C14" s="40" t="s">
        <v>443</v>
      </c>
      <c r="D14" s="40" t="s">
        <v>445</v>
      </c>
    </row>
    <row r="15" spans="1:26">
      <c r="A15" s="41" t="s">
        <v>61</v>
      </c>
      <c r="B15" s="211" t="s">
        <v>62</v>
      </c>
      <c r="C15" s="40" t="s">
        <v>443</v>
      </c>
      <c r="D15" s="40" t="s">
        <v>445</v>
      </c>
    </row>
    <row r="16" spans="1:26">
      <c r="A16" s="212" t="s">
        <v>63</v>
      </c>
      <c r="B16" s="213" t="s">
        <v>452</v>
      </c>
      <c r="C16" s="40" t="s">
        <v>443</v>
      </c>
      <c r="D16" s="40" t="s">
        <v>445</v>
      </c>
    </row>
    <row r="17" spans="1:4">
      <c r="A17" s="41" t="s">
        <v>65</v>
      </c>
      <c r="B17" s="211" t="s">
        <v>66</v>
      </c>
    </row>
    <row r="18" spans="1:4">
      <c r="A18" s="41" t="s">
        <v>67</v>
      </c>
      <c r="B18" s="211" t="s">
        <v>68</v>
      </c>
      <c r="C18" s="40" t="s">
        <v>443</v>
      </c>
      <c r="D18" s="40" t="s">
        <v>445</v>
      </c>
    </row>
    <row r="19" spans="1:4">
      <c r="A19" s="212" t="s">
        <v>69</v>
      </c>
      <c r="B19" s="211" t="s">
        <v>453</v>
      </c>
      <c r="C19" s="40" t="s">
        <v>443</v>
      </c>
      <c r="D19" s="40" t="s">
        <v>445</v>
      </c>
    </row>
    <row r="20" spans="1:4">
      <c r="A20" s="212" t="s">
        <v>71</v>
      </c>
      <c r="B20" s="211" t="s">
        <v>72</v>
      </c>
      <c r="C20" s="40" t="s">
        <v>443</v>
      </c>
      <c r="D20" s="40" t="s">
        <v>445</v>
      </c>
    </row>
    <row r="21" spans="1:4">
      <c r="A21" s="41" t="s">
        <v>73</v>
      </c>
      <c r="B21" s="211" t="s">
        <v>74</v>
      </c>
      <c r="C21" s="40" t="s">
        <v>443</v>
      </c>
      <c r="D21" s="40" t="s">
        <v>445</v>
      </c>
    </row>
    <row r="22" spans="1:4">
      <c r="A22" s="41" t="s">
        <v>75</v>
      </c>
      <c r="B22" s="213" t="s">
        <v>454</v>
      </c>
    </row>
    <row r="23" spans="1:4">
      <c r="A23" s="41" t="s">
        <v>77</v>
      </c>
      <c r="B23" s="211" t="s">
        <v>393</v>
      </c>
    </row>
    <row r="24" spans="1:4">
      <c r="A24" s="212" t="s">
        <v>79</v>
      </c>
      <c r="B24" s="211" t="s">
        <v>80</v>
      </c>
      <c r="C24" s="40" t="s">
        <v>443</v>
      </c>
      <c r="D24" s="40" t="s">
        <v>445</v>
      </c>
    </row>
    <row r="25" spans="1:4">
      <c r="A25" s="41" t="s">
        <v>81</v>
      </c>
      <c r="B25" s="213" t="s">
        <v>455</v>
      </c>
    </row>
    <row r="26" spans="1:4">
      <c r="A26" s="41" t="s">
        <v>83</v>
      </c>
      <c r="B26" s="211" t="s">
        <v>456</v>
      </c>
      <c r="C26" s="40" t="s">
        <v>443</v>
      </c>
      <c r="D26" s="40" t="s">
        <v>445</v>
      </c>
    </row>
    <row r="27" spans="1:4">
      <c r="A27" s="41" t="s">
        <v>85</v>
      </c>
      <c r="B27" s="213" t="s">
        <v>398</v>
      </c>
      <c r="C27" s="40" t="s">
        <v>443</v>
      </c>
      <c r="D27" s="40" t="s">
        <v>445</v>
      </c>
    </row>
    <row r="28" spans="1:4">
      <c r="A28" s="41" t="s">
        <v>87</v>
      </c>
      <c r="B28" s="211" t="s">
        <v>399</v>
      </c>
    </row>
    <row r="29" spans="1:4">
      <c r="A29" s="41" t="s">
        <v>89</v>
      </c>
      <c r="B29" s="211" t="s">
        <v>90</v>
      </c>
    </row>
    <row r="30" spans="1:4">
      <c r="A30" s="41" t="s">
        <v>91</v>
      </c>
      <c r="B30" s="211" t="s">
        <v>457</v>
      </c>
    </row>
    <row r="31" spans="1:4">
      <c r="A31" s="41" t="s">
        <v>93</v>
      </c>
      <c r="B31" s="211" t="s">
        <v>94</v>
      </c>
      <c r="C31" s="40" t="s">
        <v>443</v>
      </c>
      <c r="D31" s="40" t="s">
        <v>445</v>
      </c>
    </row>
    <row r="32" spans="1:4">
      <c r="A32" s="212" t="s">
        <v>95</v>
      </c>
      <c r="B32" s="213" t="s">
        <v>458</v>
      </c>
      <c r="C32" s="40" t="s">
        <v>443</v>
      </c>
      <c r="D32" s="40" t="s">
        <v>445</v>
      </c>
    </row>
    <row r="33" spans="1:4">
      <c r="A33" s="41" t="s">
        <v>97</v>
      </c>
      <c r="B33" s="211" t="s">
        <v>459</v>
      </c>
      <c r="C33" s="40" t="s">
        <v>445</v>
      </c>
    </row>
    <row r="34" spans="1:4">
      <c r="A34" s="41" t="s">
        <v>99</v>
      </c>
      <c r="B34" s="211" t="s">
        <v>100</v>
      </c>
      <c r="C34" s="40" t="s">
        <v>445</v>
      </c>
      <c r="D34" s="40" t="s">
        <v>443</v>
      </c>
    </row>
    <row r="35" spans="1:4">
      <c r="A35" s="41" t="s">
        <v>101</v>
      </c>
      <c r="B35" s="211" t="s">
        <v>340</v>
      </c>
    </row>
    <row r="36" spans="1:4">
      <c r="A36" s="41" t="s">
        <v>103</v>
      </c>
      <c r="B36" s="213" t="s">
        <v>460</v>
      </c>
    </row>
    <row r="37" spans="1:4">
      <c r="A37" s="41" t="s">
        <v>105</v>
      </c>
      <c r="B37" s="211" t="s">
        <v>461</v>
      </c>
      <c r="C37" s="40" t="s">
        <v>443</v>
      </c>
      <c r="D37" s="40" t="s">
        <v>445</v>
      </c>
    </row>
    <row r="38" spans="1:4">
      <c r="A38" s="41" t="s">
        <v>107</v>
      </c>
      <c r="B38" s="213" t="s">
        <v>108</v>
      </c>
      <c r="C38" s="40" t="s">
        <v>443</v>
      </c>
      <c r="D38" s="40" t="s">
        <v>445</v>
      </c>
    </row>
    <row r="39" spans="1:4">
      <c r="A39" s="41" t="s">
        <v>109</v>
      </c>
      <c r="B39" s="211" t="s">
        <v>462</v>
      </c>
      <c r="C39" s="40" t="s">
        <v>443</v>
      </c>
      <c r="D39" s="40" t="s">
        <v>445</v>
      </c>
    </row>
    <row r="40" spans="1:4">
      <c r="A40" s="41" t="s">
        <v>111</v>
      </c>
      <c r="B40" s="211" t="s">
        <v>112</v>
      </c>
      <c r="C40" s="40" t="s">
        <v>443</v>
      </c>
      <c r="D40" s="40" t="s">
        <v>445</v>
      </c>
    </row>
    <row r="41" spans="1:4">
      <c r="A41" s="41" t="s">
        <v>113</v>
      </c>
      <c r="B41" s="211" t="s">
        <v>114</v>
      </c>
      <c r="C41" s="40" t="s">
        <v>443</v>
      </c>
      <c r="D41" s="40" t="s">
        <v>443</v>
      </c>
    </row>
    <row r="42" spans="1:4">
      <c r="A42" s="41" t="s">
        <v>115</v>
      </c>
      <c r="B42" s="211" t="s">
        <v>116</v>
      </c>
      <c r="C42" s="40" t="s">
        <v>443</v>
      </c>
      <c r="D42" s="40" t="s">
        <v>443</v>
      </c>
    </row>
    <row r="43" spans="1:4">
      <c r="A43" s="41" t="s">
        <v>117</v>
      </c>
      <c r="B43" s="213" t="s">
        <v>463</v>
      </c>
    </row>
    <row r="44" spans="1:4" ht="15" customHeight="1">
      <c r="A44" s="41" t="s">
        <v>119</v>
      </c>
      <c r="B44" s="214" t="s">
        <v>120</v>
      </c>
    </row>
    <row r="45" spans="1:4">
      <c r="A45" s="41" t="s">
        <v>121</v>
      </c>
      <c r="B45" s="211" t="s">
        <v>122</v>
      </c>
    </row>
    <row r="46" spans="1:4">
      <c r="A46" s="41" t="s">
        <v>123</v>
      </c>
      <c r="B46" s="211" t="s">
        <v>416</v>
      </c>
      <c r="C46" s="40" t="s">
        <v>443</v>
      </c>
      <c r="D46" s="40" t="s">
        <v>445</v>
      </c>
    </row>
    <row r="47" spans="1:4">
      <c r="A47" s="41" t="s">
        <v>125</v>
      </c>
      <c r="B47" s="211" t="s">
        <v>464</v>
      </c>
      <c r="C47" s="40" t="s">
        <v>443</v>
      </c>
      <c r="D47" s="40" t="s">
        <v>443</v>
      </c>
    </row>
    <row r="48" spans="1:4">
      <c r="A48" s="41" t="s">
        <v>127</v>
      </c>
      <c r="B48" s="211" t="s">
        <v>128</v>
      </c>
      <c r="C48" s="40" t="s">
        <v>443</v>
      </c>
      <c r="D48" s="40" t="s">
        <v>445</v>
      </c>
    </row>
    <row r="49" spans="1:4">
      <c r="A49" s="41" t="s">
        <v>129</v>
      </c>
      <c r="B49" s="211" t="s">
        <v>465</v>
      </c>
      <c r="C49" s="40" t="s">
        <v>443</v>
      </c>
      <c r="D49" s="40" t="s">
        <v>445</v>
      </c>
    </row>
    <row r="50" spans="1:4">
      <c r="A50" s="212" t="s">
        <v>131</v>
      </c>
      <c r="B50" s="211" t="s">
        <v>132</v>
      </c>
      <c r="C50" s="40" t="s">
        <v>443</v>
      </c>
      <c r="D50" s="40" t="s">
        <v>445</v>
      </c>
    </row>
    <row r="51" spans="1:4">
      <c r="A51" s="212" t="s">
        <v>133</v>
      </c>
      <c r="B51" s="211" t="s">
        <v>466</v>
      </c>
      <c r="C51" s="40" t="s">
        <v>443</v>
      </c>
      <c r="D51" s="40" t="s">
        <v>445</v>
      </c>
    </row>
    <row r="52" spans="1:4">
      <c r="A52" s="41" t="s">
        <v>135</v>
      </c>
      <c r="B52" s="211" t="s">
        <v>136</v>
      </c>
      <c r="C52" s="40" t="s">
        <v>443</v>
      </c>
      <c r="D52" s="40" t="s">
        <v>445</v>
      </c>
    </row>
    <row r="53" spans="1:4">
      <c r="A53" s="41" t="s">
        <v>137</v>
      </c>
      <c r="B53" s="211" t="s">
        <v>467</v>
      </c>
      <c r="C53" s="40" t="s">
        <v>443</v>
      </c>
      <c r="D53" s="40" t="s">
        <v>445</v>
      </c>
    </row>
    <row r="54" spans="1:4">
      <c r="A54" s="41" t="s">
        <v>139</v>
      </c>
      <c r="B54" s="211" t="s">
        <v>468</v>
      </c>
      <c r="C54" s="40" t="s">
        <v>443</v>
      </c>
      <c r="D54" s="40" t="s">
        <v>445</v>
      </c>
    </row>
    <row r="55" spans="1:4">
      <c r="A55" s="41" t="s">
        <v>141</v>
      </c>
      <c r="B55" s="211" t="s">
        <v>142</v>
      </c>
      <c r="C55" s="40" t="s">
        <v>443</v>
      </c>
      <c r="D55" s="40" t="s">
        <v>445</v>
      </c>
    </row>
    <row r="56" spans="1:4">
      <c r="A56" s="212" t="s">
        <v>143</v>
      </c>
      <c r="B56" s="211" t="s">
        <v>469</v>
      </c>
      <c r="C56" s="40" t="s">
        <v>443</v>
      </c>
      <c r="D56" s="40" t="s">
        <v>445</v>
      </c>
    </row>
    <row r="57" spans="1:4">
      <c r="A57" s="41" t="s">
        <v>145</v>
      </c>
      <c r="B57" s="213" t="s">
        <v>470</v>
      </c>
    </row>
    <row r="58" spans="1:4">
      <c r="A58" s="41" t="s">
        <v>147</v>
      </c>
      <c r="B58" s="213" t="s">
        <v>471</v>
      </c>
      <c r="C58" s="40" t="s">
        <v>443</v>
      </c>
      <c r="D58" s="40" t="s">
        <v>443</v>
      </c>
    </row>
    <row r="59" spans="1:4">
      <c r="A59" s="212" t="s">
        <v>149</v>
      </c>
      <c r="B59" s="211" t="s">
        <v>433</v>
      </c>
      <c r="C59" s="40" t="s">
        <v>443</v>
      </c>
      <c r="D59" s="40" t="s">
        <v>445</v>
      </c>
    </row>
    <row r="60" spans="1:4">
      <c r="A60" s="41" t="s">
        <v>150</v>
      </c>
      <c r="B60" s="211" t="s">
        <v>472</v>
      </c>
      <c r="C60" s="40" t="s">
        <v>443</v>
      </c>
      <c r="D60" s="40" t="s">
        <v>443</v>
      </c>
    </row>
    <row r="61" spans="1:4">
      <c r="A61" s="41" t="s">
        <v>152</v>
      </c>
      <c r="B61" s="213" t="s">
        <v>473</v>
      </c>
      <c r="C61" s="40" t="s">
        <v>443</v>
      </c>
      <c r="D61" s="40" t="s">
        <v>443</v>
      </c>
    </row>
    <row r="62" spans="1:4">
      <c r="A62" s="41" t="s">
        <v>154</v>
      </c>
      <c r="B62" s="213" t="s">
        <v>436</v>
      </c>
    </row>
    <row r="63" spans="1:4">
      <c r="A63" s="41" t="s">
        <v>156</v>
      </c>
      <c r="B63" s="213" t="s">
        <v>474</v>
      </c>
      <c r="C63" s="40" t="s">
        <v>443</v>
      </c>
      <c r="D63" s="40" t="s">
        <v>445</v>
      </c>
    </row>
    <row r="64" spans="1:4">
      <c r="A64" s="41" t="s">
        <v>158</v>
      </c>
      <c r="B64" s="211" t="s">
        <v>159</v>
      </c>
      <c r="C64" s="40" t="s">
        <v>443</v>
      </c>
      <c r="D64" s="40" t="s">
        <v>445</v>
      </c>
    </row>
    <row r="65" spans="1:2">
      <c r="A65" s="41" t="s">
        <v>160</v>
      </c>
      <c r="B65" s="211" t="s">
        <v>161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  <pageSetUpPr fitToPage="1"/>
  </sheetPr>
  <dimension ref="A1:X1002"/>
  <sheetViews>
    <sheetView workbookViewId="0"/>
  </sheetViews>
  <sheetFormatPr baseColWidth="10" defaultColWidth="14.5" defaultRowHeight="15" customHeight="1"/>
  <cols>
    <col min="1" max="1" width="11.5" customWidth="1"/>
    <col min="2" max="2" width="16.83203125" customWidth="1"/>
    <col min="3" max="3" width="22.1640625" customWidth="1"/>
    <col min="4" max="4" width="22.83203125" customWidth="1"/>
    <col min="5" max="5" width="14.5" customWidth="1"/>
    <col min="6" max="6" width="28.33203125" customWidth="1"/>
    <col min="7" max="7" width="14.5" hidden="1"/>
    <col min="8" max="8" width="15" customWidth="1"/>
    <col min="9" max="10" width="11.5" customWidth="1"/>
    <col min="11" max="11" width="15" customWidth="1"/>
  </cols>
  <sheetData>
    <row r="1" spans="1:24">
      <c r="A1" s="263" t="s">
        <v>475</v>
      </c>
      <c r="B1" s="253"/>
      <c r="C1" s="253"/>
      <c r="D1" s="253"/>
      <c r="E1" s="216" t="s">
        <v>476</v>
      </c>
      <c r="F1" s="217" t="s">
        <v>477</v>
      </c>
      <c r="G1" s="218" t="s">
        <v>478</v>
      </c>
      <c r="H1" s="219" t="s">
        <v>479</v>
      </c>
      <c r="I1" s="40"/>
      <c r="J1" s="215" t="s">
        <v>438</v>
      </c>
      <c r="K1" s="219" t="s">
        <v>479</v>
      </c>
      <c r="O1" s="110"/>
      <c r="P1" s="110"/>
    </row>
    <row r="2" spans="1:24">
      <c r="A2" s="220"/>
      <c r="B2" s="221" t="s">
        <v>480</v>
      </c>
      <c r="C2" s="221" t="s">
        <v>481</v>
      </c>
      <c r="D2" s="221" t="s">
        <v>482</v>
      </c>
      <c r="E2" s="221"/>
      <c r="F2" s="222"/>
      <c r="G2" s="184"/>
      <c r="H2" s="184"/>
      <c r="I2" s="220"/>
      <c r="J2" s="220"/>
      <c r="K2" s="184"/>
      <c r="L2" s="184"/>
      <c r="M2" s="184"/>
      <c r="N2" s="184"/>
      <c r="O2" s="109"/>
      <c r="P2" s="109"/>
      <c r="Q2" s="184"/>
      <c r="R2" s="184"/>
      <c r="S2" s="184"/>
      <c r="T2" s="184"/>
      <c r="U2" s="184"/>
      <c r="V2" s="184"/>
      <c r="W2" s="184"/>
      <c r="X2" s="184"/>
    </row>
    <row r="3" spans="1:24">
      <c r="A3" s="223"/>
      <c r="B3" s="224" t="s">
        <v>483</v>
      </c>
      <c r="C3" s="264" t="s">
        <v>484</v>
      </c>
      <c r="D3" s="253"/>
      <c r="E3" s="224" t="s">
        <v>483</v>
      </c>
      <c r="F3" s="225"/>
      <c r="G3" s="226" t="s">
        <v>485</v>
      </c>
      <c r="I3" s="223"/>
      <c r="J3" s="223"/>
      <c r="K3" s="226" t="s">
        <v>485</v>
      </c>
      <c r="O3" s="104"/>
      <c r="P3" s="104"/>
    </row>
    <row r="4" spans="1:24">
      <c r="A4" s="223" t="s">
        <v>486</v>
      </c>
      <c r="B4" s="40">
        <v>9004</v>
      </c>
      <c r="C4" s="46">
        <f>'INCOME-EXPENSE-CYCLES'!AH3+'INCOME-EXPENSE-CYCLES'!AL3+'INCOME-EXPENSE-CYCLES'!AP3+'INCOME-EXPENSE-CYCLES'!AT3+'INCOME-EXPENSE-CYCLES'!AX3</f>
        <v>26547.756278911744</v>
      </c>
      <c r="D4" s="46">
        <f>'INCOME-EXPENSE-CYCLES'!AG3+'INCOME-EXPENSE-CYCLES'!AK3+'INCOME-EXPENSE-CYCLES'!AO3+'INCOME-EXPENSE-CYCLES'!AS3+'INCOME-EXPENSE-CYCLES'!AW3</f>
        <v>28517</v>
      </c>
      <c r="E4" s="179">
        <v>10000</v>
      </c>
      <c r="F4" s="227">
        <f t="shared" ref="F4:F67" si="0">(D4-C4)+B4+E4</f>
        <v>20973.243721088256</v>
      </c>
      <c r="G4" s="184" t="str">
        <f ca="1">IFERROR(__xludf.DUMMYFUNCTION("IMPORTRANGE(""https://docs.google.com/spreadsheets/d/1fWBYxKVkH-hZRWFcQqynGDAsjpSwrIJaozXRb8KlvuE/edit?gid=1048737824"",""'INCOME-EXPENSE-CYCLES'!AU3:AU66"")"),"#REF!")</f>
        <v>#REF!</v>
      </c>
      <c r="H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I4" s="223"/>
      <c r="J4" s="223" t="s">
        <v>486</v>
      </c>
      <c r="K4" s="184" t="str">
        <f ca="1">IFERROR(__xludf.DUMMYFUNCTION("IMPORTRANGE(""https://docs.google.com/spreadsheets/d/1fWBYxKVkH-hZRWFcQqynGDAsjpSwrIJaozXRb8KlvuE/edit?gid=1048737824"",""'INCOME-EXPENSE-CYCLES'!AY3:AY66"")"),"#REF!")</f>
        <v>#REF!</v>
      </c>
      <c r="L4" s="46">
        <v>4944.511438202645</v>
      </c>
      <c r="O4" s="104"/>
      <c r="P4" s="104"/>
    </row>
    <row r="5" spans="1:24">
      <c r="A5" s="223" t="s">
        <v>487</v>
      </c>
      <c r="B5" s="40">
        <v>-26932</v>
      </c>
      <c r="C5" s="46">
        <f>'INCOME-EXPENSE-CYCLES'!AH4+'INCOME-EXPENSE-CYCLES'!AL4+'INCOME-EXPENSE-CYCLES'!AP4+'INCOME-EXPENSE-CYCLES'!AT4+'INCOME-EXPENSE-CYCLES'!AX4</f>
        <v>29442.420302894345</v>
      </c>
      <c r="D5" s="46">
        <f>'INCOME-EXPENSE-CYCLES'!AG4+'INCOME-EXPENSE-CYCLES'!AK4+'INCOME-EXPENSE-CYCLES'!AO4+'INCOME-EXPENSE-CYCLES'!AS4+'INCOME-EXPENSE-CYCLES'!AW4</f>
        <v>26087</v>
      </c>
      <c r="E5" s="179">
        <v>-8466</v>
      </c>
      <c r="F5" s="227">
        <f t="shared" si="0"/>
        <v>-38753.420302894345</v>
      </c>
      <c r="G5" s="184"/>
      <c r="I5" s="223"/>
      <c r="J5" s="223" t="s">
        <v>487</v>
      </c>
      <c r="K5" s="184"/>
      <c r="L5" s="46">
        <v>5673.0631301888216</v>
      </c>
      <c r="O5" s="104"/>
      <c r="P5" s="104"/>
    </row>
    <row r="6" spans="1:24">
      <c r="A6" s="223" t="s">
        <v>488</v>
      </c>
      <c r="B6" s="40">
        <v>-25783.54</v>
      </c>
      <c r="C6" s="46">
        <f>'INCOME-EXPENSE-CYCLES'!AH5+'INCOME-EXPENSE-CYCLES'!AL5+'INCOME-EXPENSE-CYCLES'!AP5+'INCOME-EXPENSE-CYCLES'!AT5+'INCOME-EXPENSE-CYCLES'!AX5</f>
        <v>35322.73745395388</v>
      </c>
      <c r="D6" s="46">
        <f>'INCOME-EXPENSE-CYCLES'!AG5+'INCOME-EXPENSE-CYCLES'!AK5+'INCOME-EXPENSE-CYCLES'!AO5+'INCOME-EXPENSE-CYCLES'!AS5+'INCOME-EXPENSE-CYCLES'!AW5</f>
        <v>30000</v>
      </c>
      <c r="E6" s="179">
        <v>28570.26</v>
      </c>
      <c r="F6" s="227">
        <f t="shared" si="0"/>
        <v>-2536.0174539538821</v>
      </c>
      <c r="G6" s="184"/>
      <c r="I6" s="223"/>
      <c r="J6" s="223" t="s">
        <v>488</v>
      </c>
      <c r="K6" s="184"/>
      <c r="L6" s="46">
        <v>6316.8734460265432</v>
      </c>
      <c r="O6" s="104"/>
      <c r="P6" s="104"/>
    </row>
    <row r="7" spans="1:24">
      <c r="A7" s="223" t="s">
        <v>489</v>
      </c>
      <c r="B7" s="40">
        <v>-5066.0600000000004</v>
      </c>
      <c r="C7" s="46">
        <f>'INCOME-EXPENSE-CYCLES'!AH6+'INCOME-EXPENSE-CYCLES'!AL6+'INCOME-EXPENSE-CYCLES'!AP6+'INCOME-EXPENSE-CYCLES'!AT6+'INCOME-EXPENSE-CYCLES'!AX6</f>
        <v>27381.39665395307</v>
      </c>
      <c r="D7" s="46">
        <f>'INCOME-EXPENSE-CYCLES'!AG6+'INCOME-EXPENSE-CYCLES'!AK6+'INCOME-EXPENSE-CYCLES'!AO6+'INCOME-EXPENSE-CYCLES'!AS6+'INCOME-EXPENSE-CYCLES'!AW6</f>
        <v>28660</v>
      </c>
      <c r="E7" s="179">
        <v>10000.26</v>
      </c>
      <c r="F7" s="227">
        <f t="shared" si="0"/>
        <v>6212.8033460469296</v>
      </c>
      <c r="G7" s="184"/>
      <c r="I7" s="223"/>
      <c r="J7" s="223" t="s">
        <v>489</v>
      </c>
      <c r="K7" s="184"/>
      <c r="L7" s="46">
        <v>4955.394915231288</v>
      </c>
      <c r="O7" s="104"/>
      <c r="P7" s="104"/>
    </row>
    <row r="8" spans="1:24">
      <c r="A8" s="223" t="s">
        <v>490</v>
      </c>
      <c r="B8" s="40">
        <v>1648.57</v>
      </c>
      <c r="C8" s="46">
        <f>'INCOME-EXPENSE-CYCLES'!AH7+'INCOME-EXPENSE-CYCLES'!AL7+'INCOME-EXPENSE-CYCLES'!AP7+'INCOME-EXPENSE-CYCLES'!AT7+'INCOME-EXPENSE-CYCLES'!AX7</f>
        <v>27208.630474185447</v>
      </c>
      <c r="D8" s="46">
        <f>'INCOME-EXPENSE-CYCLES'!AG7+'INCOME-EXPENSE-CYCLES'!AK7+'INCOME-EXPENSE-CYCLES'!AO7+'INCOME-EXPENSE-CYCLES'!AS7+'INCOME-EXPENSE-CYCLES'!AW7</f>
        <v>28383.41</v>
      </c>
      <c r="E8" s="179">
        <v>-7566</v>
      </c>
      <c r="F8" s="227">
        <f t="shared" si="0"/>
        <v>-4742.6504741854478</v>
      </c>
      <c r="G8" s="184"/>
      <c r="I8" s="223"/>
      <c r="J8" s="223" t="s">
        <v>490</v>
      </c>
      <c r="K8" s="184"/>
      <c r="L8" s="46">
        <v>7348.7105664097508</v>
      </c>
      <c r="O8" s="104"/>
      <c r="P8" s="104"/>
    </row>
    <row r="9" spans="1:24">
      <c r="A9" s="223" t="s">
        <v>491</v>
      </c>
      <c r="B9" s="40">
        <v>-11231.3</v>
      </c>
      <c r="C9" s="46">
        <f>'INCOME-EXPENSE-CYCLES'!AH8+'INCOME-EXPENSE-CYCLES'!AL8+'INCOME-EXPENSE-CYCLES'!AP8+'INCOME-EXPENSE-CYCLES'!AT8+'INCOME-EXPENSE-CYCLES'!AX8</f>
        <v>26965.162193095824</v>
      </c>
      <c r="D9" s="46">
        <f>'INCOME-EXPENSE-CYCLES'!AG8+'INCOME-EXPENSE-CYCLES'!AK8+'INCOME-EXPENSE-CYCLES'!AO8+'INCOME-EXPENSE-CYCLES'!AS8+'INCOME-EXPENSE-CYCLES'!AW8</f>
        <v>23430.809999999998</v>
      </c>
      <c r="E9" s="179">
        <v>10000.26</v>
      </c>
      <c r="F9" s="227">
        <f t="shared" si="0"/>
        <v>-4765.3921930958259</v>
      </c>
      <c r="G9" s="184"/>
      <c r="I9" s="223"/>
      <c r="J9" s="223" t="s">
        <v>491</v>
      </c>
      <c r="K9" s="184"/>
      <c r="L9" s="46">
        <v>4870.8281472638901</v>
      </c>
      <c r="O9" s="104"/>
      <c r="P9" s="104"/>
    </row>
    <row r="10" spans="1:24">
      <c r="A10" s="223" t="s">
        <v>492</v>
      </c>
      <c r="B10" s="40">
        <v>-8058.39</v>
      </c>
      <c r="C10" s="46">
        <f>'INCOME-EXPENSE-CYCLES'!AH9+'INCOME-EXPENSE-CYCLES'!AL9+'INCOME-EXPENSE-CYCLES'!AP9+'INCOME-EXPENSE-CYCLES'!AT9+'INCOME-EXPENSE-CYCLES'!AX9</f>
        <v>28873.654432527685</v>
      </c>
      <c r="D10" s="46">
        <f>'INCOME-EXPENSE-CYCLES'!AG9+'INCOME-EXPENSE-CYCLES'!AK9+'INCOME-EXPENSE-CYCLES'!AO9+'INCOME-EXPENSE-CYCLES'!AS9+'INCOME-EXPENSE-CYCLES'!AW9</f>
        <v>29076.92</v>
      </c>
      <c r="E10" s="179">
        <v>32400</v>
      </c>
      <c r="F10" s="227">
        <f t="shared" si="0"/>
        <v>24544.875567472314</v>
      </c>
      <c r="G10" s="184"/>
      <c r="I10" s="223"/>
      <c r="J10" s="223" t="s">
        <v>492</v>
      </c>
      <c r="K10" s="184"/>
      <c r="L10" s="46">
        <v>5465.3029725989818</v>
      </c>
      <c r="O10" s="104"/>
      <c r="P10" s="104"/>
    </row>
    <row r="11" spans="1:24">
      <c r="A11" s="223" t="s">
        <v>493</v>
      </c>
      <c r="B11" s="40">
        <v>14025.48</v>
      </c>
      <c r="C11" s="46">
        <f>'INCOME-EXPENSE-CYCLES'!AH10+'INCOME-EXPENSE-CYCLES'!AL10+'INCOME-EXPENSE-CYCLES'!AP10+'INCOME-EXPENSE-CYCLES'!AT10+'INCOME-EXPENSE-CYCLES'!AX10</f>
        <v>32702.456033056995</v>
      </c>
      <c r="D11" s="46">
        <f>'INCOME-EXPENSE-CYCLES'!AG10+'INCOME-EXPENSE-CYCLES'!AK10+'INCOME-EXPENSE-CYCLES'!AO10+'INCOME-EXPENSE-CYCLES'!AS10+'INCOME-EXPENSE-CYCLES'!AW10</f>
        <v>32828</v>
      </c>
      <c r="E11" s="179">
        <v>10001</v>
      </c>
      <c r="F11" s="227">
        <f t="shared" si="0"/>
        <v>24152.023966943005</v>
      </c>
      <c r="G11" s="184"/>
      <c r="I11" s="223"/>
      <c r="J11" s="223" t="s">
        <v>493</v>
      </c>
      <c r="K11" s="184"/>
      <c r="L11" s="46">
        <v>4603.4182707262835</v>
      </c>
      <c r="O11" s="104"/>
      <c r="P11" s="104"/>
    </row>
    <row r="12" spans="1:24">
      <c r="A12" s="223" t="s">
        <v>494</v>
      </c>
      <c r="B12" s="40">
        <v>15099.41</v>
      </c>
      <c r="C12" s="46">
        <f>'INCOME-EXPENSE-CYCLES'!AH11+'INCOME-EXPENSE-CYCLES'!AL11+'INCOME-EXPENSE-CYCLES'!AP11+'INCOME-EXPENSE-CYCLES'!AT11+'INCOME-EXPENSE-CYCLES'!AX11</f>
        <v>26575.191196077907</v>
      </c>
      <c r="D12" s="46">
        <f>'INCOME-EXPENSE-CYCLES'!AG11+'INCOME-EXPENSE-CYCLES'!AK11+'INCOME-EXPENSE-CYCLES'!AO11+'INCOME-EXPENSE-CYCLES'!AS11+'INCOME-EXPENSE-CYCLES'!AW11</f>
        <v>28069</v>
      </c>
      <c r="E12" s="179">
        <v>10000</v>
      </c>
      <c r="F12" s="227">
        <f t="shared" si="0"/>
        <v>26593.218803922093</v>
      </c>
      <c r="G12" s="184"/>
      <c r="I12" s="223"/>
      <c r="J12" s="223" t="s">
        <v>494</v>
      </c>
      <c r="K12" s="184"/>
      <c r="L12" s="46">
        <v>4943.4289791431011</v>
      </c>
      <c r="O12" s="104"/>
      <c r="P12" s="104"/>
    </row>
    <row r="13" spans="1:24">
      <c r="A13" s="223" t="s">
        <v>495</v>
      </c>
      <c r="B13" s="40">
        <v>-9695</v>
      </c>
      <c r="C13" s="46">
        <f>'INCOME-EXPENSE-CYCLES'!AH12+'INCOME-EXPENSE-CYCLES'!AL12+'INCOME-EXPENSE-CYCLES'!AP12+'INCOME-EXPENSE-CYCLES'!AT12+'INCOME-EXPENSE-CYCLES'!AX12</f>
        <v>28084.416897395706</v>
      </c>
      <c r="D13" s="46">
        <f>'INCOME-EXPENSE-CYCLES'!AG12+'INCOME-EXPENSE-CYCLES'!AK12+'INCOME-EXPENSE-CYCLES'!AO12+'INCOME-EXPENSE-CYCLES'!AS12+'INCOME-EXPENSE-CYCLES'!AW12</f>
        <v>11728</v>
      </c>
      <c r="E13" s="179">
        <v>10001</v>
      </c>
      <c r="F13" s="227">
        <f t="shared" si="0"/>
        <v>-16050.416897395706</v>
      </c>
      <c r="G13" s="184"/>
      <c r="I13" s="223"/>
      <c r="J13" s="223" t="s">
        <v>495</v>
      </c>
      <c r="K13" s="184"/>
      <c r="L13" s="46">
        <v>4624.1506947507351</v>
      </c>
      <c r="O13" s="104"/>
      <c r="P13" s="104"/>
    </row>
    <row r="14" spans="1:24">
      <c r="A14" s="223" t="s">
        <v>496</v>
      </c>
      <c r="B14" s="40">
        <v>9019.39</v>
      </c>
      <c r="C14" s="46">
        <f>'INCOME-EXPENSE-CYCLES'!AH13+'INCOME-EXPENSE-CYCLES'!AL13+'INCOME-EXPENSE-CYCLES'!AP13+'INCOME-EXPENSE-CYCLES'!AT13+'INCOME-EXPENSE-CYCLES'!AX13</f>
        <v>25469.388223066082</v>
      </c>
      <c r="D14" s="46">
        <f>'INCOME-EXPENSE-CYCLES'!AG13+'INCOME-EXPENSE-CYCLES'!AK13+'INCOME-EXPENSE-CYCLES'!AO13+'INCOME-EXPENSE-CYCLES'!AS13+'INCOME-EXPENSE-CYCLES'!AW13</f>
        <v>26959</v>
      </c>
      <c r="E14" s="179">
        <v>0.26</v>
      </c>
      <c r="F14" s="227">
        <f t="shared" si="0"/>
        <v>10509.261776933918</v>
      </c>
      <c r="G14" s="184"/>
      <c r="I14" s="223"/>
      <c r="J14" s="223" t="s">
        <v>496</v>
      </c>
      <c r="K14" s="184"/>
      <c r="L14" s="46">
        <v>4630.4856020915395</v>
      </c>
      <c r="O14" s="104"/>
      <c r="P14" s="104"/>
    </row>
    <row r="15" spans="1:24">
      <c r="A15" s="223" t="s">
        <v>497</v>
      </c>
      <c r="B15" s="40">
        <v>715</v>
      </c>
      <c r="C15" s="46">
        <f>'INCOME-EXPENSE-CYCLES'!AH14+'INCOME-EXPENSE-CYCLES'!AL14+'INCOME-EXPENSE-CYCLES'!AP14+'INCOME-EXPENSE-CYCLES'!AT14+'INCOME-EXPENSE-CYCLES'!AX14</f>
        <v>27244.171923998194</v>
      </c>
      <c r="D15" s="46">
        <f>'INCOME-EXPENSE-CYCLES'!AG14+'INCOME-EXPENSE-CYCLES'!AK14+'INCOME-EXPENSE-CYCLES'!AO14+'INCOME-EXPENSE-CYCLES'!AS14+'INCOME-EXPENSE-CYCLES'!AW14</f>
        <v>27944</v>
      </c>
      <c r="E15" s="179">
        <v>19690</v>
      </c>
      <c r="F15" s="227">
        <f t="shared" si="0"/>
        <v>21104.828076001806</v>
      </c>
      <c r="G15" s="184"/>
      <c r="I15" s="223"/>
      <c r="J15" s="223" t="s">
        <v>497</v>
      </c>
      <c r="K15" s="184"/>
      <c r="L15" s="46">
        <v>4603.0023424665333</v>
      </c>
      <c r="O15" s="104"/>
      <c r="P15" s="104"/>
    </row>
    <row r="16" spans="1:24">
      <c r="A16" s="223" t="s">
        <v>498</v>
      </c>
      <c r="B16" s="40">
        <v>-24747.07</v>
      </c>
      <c r="C16" s="46">
        <f>'INCOME-EXPENSE-CYCLES'!AH15+'INCOME-EXPENSE-CYCLES'!AL15+'INCOME-EXPENSE-CYCLES'!AP15+'INCOME-EXPENSE-CYCLES'!AT15+'INCOME-EXPENSE-CYCLES'!AX15</f>
        <v>26870.766128879139</v>
      </c>
      <c r="D16" s="46">
        <f>'INCOME-EXPENSE-CYCLES'!AG15+'INCOME-EXPENSE-CYCLES'!AK15+'INCOME-EXPENSE-CYCLES'!AO15+'INCOME-EXPENSE-CYCLES'!AS15+'INCOME-EXPENSE-CYCLES'!AW15</f>
        <v>28249.87</v>
      </c>
      <c r="E16" s="179">
        <v>10310</v>
      </c>
      <c r="F16" s="227">
        <f t="shared" si="0"/>
        <v>-13057.966128879139</v>
      </c>
      <c r="G16" s="184"/>
      <c r="I16" s="223"/>
      <c r="J16" s="223" t="s">
        <v>498</v>
      </c>
      <c r="K16" s="184"/>
      <c r="L16" s="46">
        <v>4730.0257874099307</v>
      </c>
      <c r="O16" s="104"/>
      <c r="P16" s="104"/>
    </row>
    <row r="17" spans="1:16">
      <c r="A17" s="223" t="s">
        <v>499</v>
      </c>
      <c r="B17" s="40">
        <v>-21756.03</v>
      </c>
      <c r="C17" s="46">
        <f>'INCOME-EXPENSE-CYCLES'!AH16+'INCOME-EXPENSE-CYCLES'!AL16+'INCOME-EXPENSE-CYCLES'!AP16+'INCOME-EXPENSE-CYCLES'!AT16+'INCOME-EXPENSE-CYCLES'!AX16</f>
        <v>28790.276192622085</v>
      </c>
      <c r="D17" s="46">
        <f>'INCOME-EXPENSE-CYCLES'!AG16+'INCOME-EXPENSE-CYCLES'!AK16+'INCOME-EXPENSE-CYCLES'!AO16+'INCOME-EXPENSE-CYCLES'!AS16+'INCOME-EXPENSE-CYCLES'!AW16</f>
        <v>17147</v>
      </c>
      <c r="E17" s="179">
        <v>33114</v>
      </c>
      <c r="F17" s="227">
        <f t="shared" si="0"/>
        <v>-285.30619262208347</v>
      </c>
      <c r="G17" s="184"/>
      <c r="I17" s="223"/>
      <c r="J17" s="223" t="s">
        <v>499</v>
      </c>
      <c r="K17" s="184"/>
      <c r="L17" s="46">
        <v>5726.6712454415665</v>
      </c>
      <c r="O17" s="104"/>
      <c r="P17" s="104"/>
    </row>
    <row r="18" spans="1:16">
      <c r="A18" s="223" t="s">
        <v>500</v>
      </c>
      <c r="B18" s="40">
        <v>3262</v>
      </c>
      <c r="C18" s="46">
        <f>'INCOME-EXPENSE-CYCLES'!AH17+'INCOME-EXPENSE-CYCLES'!AL17+'INCOME-EXPENSE-CYCLES'!AP17+'INCOME-EXPENSE-CYCLES'!AT17+'INCOME-EXPENSE-CYCLES'!AX17</f>
        <v>30773.159292171007</v>
      </c>
      <c r="D18" s="46">
        <f>'INCOME-EXPENSE-CYCLES'!AG17+'INCOME-EXPENSE-CYCLES'!AK17+'INCOME-EXPENSE-CYCLES'!AO17+'INCOME-EXPENSE-CYCLES'!AS17+'INCOME-EXPENSE-CYCLES'!AW17</f>
        <v>32071.43</v>
      </c>
      <c r="E18" s="179">
        <v>10001</v>
      </c>
      <c r="F18" s="227">
        <f t="shared" si="0"/>
        <v>14561.270707828993</v>
      </c>
      <c r="G18" s="184"/>
      <c r="I18" s="223"/>
      <c r="J18" s="223" t="s">
        <v>500</v>
      </c>
      <c r="K18" s="184"/>
      <c r="L18" s="46">
        <v>5709.3302364581514</v>
      </c>
      <c r="O18" s="104"/>
      <c r="P18" s="104"/>
    </row>
    <row r="19" spans="1:16">
      <c r="A19" s="223" t="s">
        <v>501</v>
      </c>
      <c r="B19" s="40">
        <v>59984.74</v>
      </c>
      <c r="C19" s="46">
        <f>'INCOME-EXPENSE-CYCLES'!AH18+'INCOME-EXPENSE-CYCLES'!AL18+'INCOME-EXPENSE-CYCLES'!AP18+'INCOME-EXPENSE-CYCLES'!AT18+'INCOME-EXPENSE-CYCLES'!AX18</f>
        <v>32454.167953689317</v>
      </c>
      <c r="D19" s="46">
        <f>'INCOME-EXPENSE-CYCLES'!AG18+'INCOME-EXPENSE-CYCLES'!AK18+'INCOME-EXPENSE-CYCLES'!AO18+'INCOME-EXPENSE-CYCLES'!AS18+'INCOME-EXPENSE-CYCLES'!AW18</f>
        <v>20561.03</v>
      </c>
      <c r="E19" s="179">
        <v>0.26</v>
      </c>
      <c r="F19" s="227">
        <f t="shared" si="0"/>
        <v>48091.862046310685</v>
      </c>
      <c r="G19" s="184"/>
      <c r="I19" s="223"/>
      <c r="J19" s="223" t="s">
        <v>501</v>
      </c>
      <c r="K19" s="184"/>
      <c r="L19" s="46">
        <v>5265.2241209512658</v>
      </c>
      <c r="O19" s="104"/>
      <c r="P19" s="104"/>
    </row>
    <row r="20" spans="1:16">
      <c r="A20" s="223" t="s">
        <v>502</v>
      </c>
      <c r="B20" s="40">
        <v>-32528.67</v>
      </c>
      <c r="C20" s="46">
        <f>'INCOME-EXPENSE-CYCLES'!AH19+'INCOME-EXPENSE-CYCLES'!AL19+'INCOME-EXPENSE-CYCLES'!AP19+'INCOME-EXPENSE-CYCLES'!AT19+'INCOME-EXPENSE-CYCLES'!AX19</f>
        <v>30961.873545289225</v>
      </c>
      <c r="D20" s="46">
        <f>'INCOME-EXPENSE-CYCLES'!AG19+'INCOME-EXPENSE-CYCLES'!AK19+'INCOME-EXPENSE-CYCLES'!AO19+'INCOME-EXPENSE-CYCLES'!AS19+'INCOME-EXPENSE-CYCLES'!AW19</f>
        <v>31764</v>
      </c>
      <c r="E20" s="179">
        <v>30000.26</v>
      </c>
      <c r="F20" s="227">
        <f t="shared" si="0"/>
        <v>-1726.283545289225</v>
      </c>
      <c r="G20" s="184"/>
      <c r="I20" s="223"/>
      <c r="J20" s="223" t="s">
        <v>502</v>
      </c>
      <c r="K20" s="184"/>
      <c r="L20" s="46">
        <v>5139.421819617708</v>
      </c>
      <c r="O20" s="104"/>
      <c r="P20" s="104"/>
    </row>
    <row r="21" spans="1:16">
      <c r="A21" s="223" t="s">
        <v>503</v>
      </c>
      <c r="B21" s="40">
        <v>-30028.25</v>
      </c>
      <c r="C21" s="46">
        <f>'INCOME-EXPENSE-CYCLES'!AH20+'INCOME-EXPENSE-CYCLES'!AL20+'INCOME-EXPENSE-CYCLES'!AP20+'INCOME-EXPENSE-CYCLES'!AT20+'INCOME-EXPENSE-CYCLES'!AX20</f>
        <v>31688.218660493199</v>
      </c>
      <c r="D21" s="46">
        <f>'INCOME-EXPENSE-CYCLES'!AG20+'INCOME-EXPENSE-CYCLES'!AK20+'INCOME-EXPENSE-CYCLES'!AO20+'INCOME-EXPENSE-CYCLES'!AS20+'INCOME-EXPENSE-CYCLES'!AW20</f>
        <v>31880.639999999999</v>
      </c>
      <c r="E21" s="179">
        <v>33674</v>
      </c>
      <c r="F21" s="227">
        <f t="shared" si="0"/>
        <v>3838.1713395068</v>
      </c>
      <c r="G21" s="184"/>
      <c r="I21" s="223"/>
      <c r="J21" s="223" t="s">
        <v>503</v>
      </c>
      <c r="K21" s="184"/>
      <c r="L21" s="46">
        <v>5645.6438595268528</v>
      </c>
      <c r="O21" s="104"/>
      <c r="P21" s="104"/>
    </row>
    <row r="22" spans="1:16">
      <c r="A22" s="223" t="s">
        <v>504</v>
      </c>
      <c r="B22" s="40">
        <v>-5673</v>
      </c>
      <c r="C22" s="46">
        <f>'INCOME-EXPENSE-CYCLES'!AH21+'INCOME-EXPENSE-CYCLES'!AL21+'INCOME-EXPENSE-CYCLES'!AP21+'INCOME-EXPENSE-CYCLES'!AT21+'INCOME-EXPENSE-CYCLES'!AX21</f>
        <v>30023.129568391661</v>
      </c>
      <c r="D22" s="46">
        <f>'INCOME-EXPENSE-CYCLES'!AG21+'INCOME-EXPENSE-CYCLES'!AK21+'INCOME-EXPENSE-CYCLES'!AO21+'INCOME-EXPENSE-CYCLES'!AS21+'INCOME-EXPENSE-CYCLES'!AW21</f>
        <v>31041</v>
      </c>
      <c r="E22" s="179">
        <v>4501</v>
      </c>
      <c r="F22" s="227">
        <f t="shared" si="0"/>
        <v>-154.12956839166145</v>
      </c>
      <c r="G22" s="184"/>
      <c r="I22" s="223"/>
      <c r="J22" s="223" t="s">
        <v>504</v>
      </c>
      <c r="K22" s="184"/>
      <c r="L22" s="46">
        <v>5363.9644442316758</v>
      </c>
      <c r="O22" s="104"/>
      <c r="P22" s="104"/>
    </row>
    <row r="23" spans="1:16">
      <c r="A23" s="223" t="s">
        <v>505</v>
      </c>
      <c r="B23" s="40">
        <v>4424</v>
      </c>
      <c r="C23" s="46">
        <f>'INCOME-EXPENSE-CYCLES'!AH22+'INCOME-EXPENSE-CYCLES'!AL22+'INCOME-EXPENSE-CYCLES'!AP22+'INCOME-EXPENSE-CYCLES'!AT22+'INCOME-EXPENSE-CYCLES'!AX22</f>
        <v>31813.916622887504</v>
      </c>
      <c r="D23" s="46">
        <f>'INCOME-EXPENSE-CYCLES'!AG22+'INCOME-EXPENSE-CYCLES'!AK22+'INCOME-EXPENSE-CYCLES'!AO22+'INCOME-EXPENSE-CYCLES'!AS22+'INCOME-EXPENSE-CYCLES'!AW22</f>
        <v>32524</v>
      </c>
      <c r="E23" s="179">
        <v>32833</v>
      </c>
      <c r="F23" s="227">
        <f t="shared" si="0"/>
        <v>37967.083377112496</v>
      </c>
      <c r="G23" s="184"/>
      <c r="I23" s="223"/>
      <c r="J23" s="223" t="s">
        <v>505</v>
      </c>
      <c r="K23" s="184"/>
      <c r="L23" s="46">
        <v>5440.1752992104484</v>
      </c>
      <c r="O23" s="104"/>
      <c r="P23" s="104"/>
    </row>
    <row r="24" spans="1:16">
      <c r="A24" s="223" t="s">
        <v>506</v>
      </c>
      <c r="B24" s="40">
        <v>13239.23</v>
      </c>
      <c r="C24" s="46">
        <f>'INCOME-EXPENSE-CYCLES'!AH23+'INCOME-EXPENSE-CYCLES'!AL23+'INCOME-EXPENSE-CYCLES'!AP23+'INCOME-EXPENSE-CYCLES'!AT23+'INCOME-EXPENSE-CYCLES'!AX23</f>
        <v>29593.22075853905</v>
      </c>
      <c r="D24" s="46">
        <f>'INCOME-EXPENSE-CYCLES'!AG23+'INCOME-EXPENSE-CYCLES'!AK23+'INCOME-EXPENSE-CYCLES'!AO23+'INCOME-EXPENSE-CYCLES'!AS23+'INCOME-EXPENSE-CYCLES'!AW23</f>
        <v>33114</v>
      </c>
      <c r="E24" s="179">
        <v>0.26</v>
      </c>
      <c r="F24" s="227">
        <f t="shared" si="0"/>
        <v>16760.269241460948</v>
      </c>
      <c r="G24" s="184"/>
      <c r="I24" s="223"/>
      <c r="J24" s="223" t="s">
        <v>506</v>
      </c>
      <c r="K24" s="184"/>
      <c r="L24" s="46">
        <v>4886.665415615902</v>
      </c>
      <c r="O24" s="104"/>
      <c r="P24" s="104"/>
    </row>
    <row r="25" spans="1:16">
      <c r="A25" s="223" t="s">
        <v>507</v>
      </c>
      <c r="B25" s="40">
        <v>-103011.03</v>
      </c>
      <c r="C25" s="46">
        <f>'INCOME-EXPENSE-CYCLES'!AH24+'INCOME-EXPENSE-CYCLES'!AL24+'INCOME-EXPENSE-CYCLES'!AP24+'INCOME-EXPENSE-CYCLES'!AT24+'INCOME-EXPENSE-CYCLES'!AX24</f>
        <v>28732.885228619154</v>
      </c>
      <c r="D25" s="46">
        <f>'INCOME-EXPENSE-CYCLES'!AG24+'INCOME-EXPENSE-CYCLES'!AK24+'INCOME-EXPENSE-CYCLES'!AO24+'INCOME-EXPENSE-CYCLES'!AS24+'INCOME-EXPENSE-CYCLES'!AW24</f>
        <v>29394</v>
      </c>
      <c r="E25" s="179">
        <v>10034</v>
      </c>
      <c r="F25" s="227">
        <f t="shared" si="0"/>
        <v>-92315.915228619153</v>
      </c>
      <c r="G25" s="184"/>
      <c r="I25" s="223"/>
      <c r="J25" s="223" t="s">
        <v>507</v>
      </c>
      <c r="K25" s="184"/>
      <c r="L25" s="46">
        <v>5217.8402938213067</v>
      </c>
      <c r="O25" s="104"/>
      <c r="P25" s="104"/>
    </row>
    <row r="26" spans="1:16">
      <c r="A26" s="223" t="s">
        <v>508</v>
      </c>
      <c r="B26" s="40">
        <v>29470.49</v>
      </c>
      <c r="C26" s="46">
        <f>'INCOME-EXPENSE-CYCLES'!AH25+'INCOME-EXPENSE-CYCLES'!AL25+'INCOME-EXPENSE-CYCLES'!AP25+'INCOME-EXPENSE-CYCLES'!AT25+'INCOME-EXPENSE-CYCLES'!AX25</f>
        <v>26828.623062324528</v>
      </c>
      <c r="D26" s="46">
        <f>'INCOME-EXPENSE-CYCLES'!AG25+'INCOME-EXPENSE-CYCLES'!AK25+'INCOME-EXPENSE-CYCLES'!AO25+'INCOME-EXPENSE-CYCLES'!AS25+'INCOME-EXPENSE-CYCLES'!AW25</f>
        <v>18352</v>
      </c>
      <c r="E26" s="179">
        <v>10001</v>
      </c>
      <c r="F26" s="227">
        <f t="shared" si="0"/>
        <v>30994.866937675473</v>
      </c>
      <c r="G26" s="184"/>
      <c r="I26" s="223"/>
      <c r="J26" s="223" t="s">
        <v>508</v>
      </c>
      <c r="K26" s="184"/>
      <c r="L26" s="46">
        <v>5134.5906529083068</v>
      </c>
      <c r="O26" s="104"/>
      <c r="P26" s="104"/>
    </row>
    <row r="27" spans="1:16">
      <c r="A27" s="223" t="s">
        <v>509</v>
      </c>
      <c r="B27" s="40">
        <v>-6627</v>
      </c>
      <c r="C27" s="46">
        <f>'INCOME-EXPENSE-CYCLES'!AH26+'INCOME-EXPENSE-CYCLES'!AL26+'INCOME-EXPENSE-CYCLES'!AP26+'INCOME-EXPENSE-CYCLES'!AT26+'INCOME-EXPENSE-CYCLES'!AX26</f>
        <v>28582.077464248563</v>
      </c>
      <c r="D27" s="46">
        <f>'INCOME-EXPENSE-CYCLES'!AG26+'INCOME-EXPENSE-CYCLES'!AK26+'INCOME-EXPENSE-CYCLES'!AO26+'INCOME-EXPENSE-CYCLES'!AS26+'INCOME-EXPENSE-CYCLES'!AW26</f>
        <v>37573</v>
      </c>
      <c r="E27" s="179">
        <v>10001</v>
      </c>
      <c r="F27" s="227">
        <f t="shared" si="0"/>
        <v>12364.922535751437</v>
      </c>
      <c r="G27" s="184"/>
      <c r="I27" s="223"/>
      <c r="J27" s="223" t="s">
        <v>509</v>
      </c>
      <c r="K27" s="184"/>
      <c r="L27" s="46">
        <v>5334.1722286251761</v>
      </c>
      <c r="O27" s="104"/>
      <c r="P27" s="104"/>
    </row>
    <row r="28" spans="1:16">
      <c r="A28" s="223" t="s">
        <v>510</v>
      </c>
      <c r="B28" s="40">
        <v>32450</v>
      </c>
      <c r="C28" s="46">
        <f>'INCOME-EXPENSE-CYCLES'!AH27+'INCOME-EXPENSE-CYCLES'!AL27+'INCOME-EXPENSE-CYCLES'!AP27+'INCOME-EXPENSE-CYCLES'!AT27+'INCOME-EXPENSE-CYCLES'!AX27</f>
        <v>29020.151819255872</v>
      </c>
      <c r="D28" s="46">
        <f>'INCOME-EXPENSE-CYCLES'!AG27+'INCOME-EXPENSE-CYCLES'!AK27+'INCOME-EXPENSE-CYCLES'!AO27+'INCOME-EXPENSE-CYCLES'!AS27+'INCOME-EXPENSE-CYCLES'!AW27</f>
        <v>29866</v>
      </c>
      <c r="E28" s="179">
        <v>7876</v>
      </c>
      <c r="F28" s="227">
        <f t="shared" si="0"/>
        <v>41171.848180744128</v>
      </c>
      <c r="G28" s="184"/>
      <c r="I28" s="223"/>
      <c r="J28" s="223" t="s">
        <v>510</v>
      </c>
      <c r="K28" s="184"/>
      <c r="L28" s="46">
        <v>5202.9735665390908</v>
      </c>
      <c r="O28" s="104"/>
      <c r="P28" s="104"/>
    </row>
    <row r="29" spans="1:16">
      <c r="A29" s="223" t="s">
        <v>511</v>
      </c>
      <c r="B29" s="40">
        <v>26686</v>
      </c>
      <c r="C29" s="46">
        <f>'INCOME-EXPENSE-CYCLES'!AH28+'INCOME-EXPENSE-CYCLES'!AL28+'INCOME-EXPENSE-CYCLES'!AP28+'INCOME-EXPENSE-CYCLES'!AT28+'INCOME-EXPENSE-CYCLES'!AX28</f>
        <v>28047.84482778571</v>
      </c>
      <c r="D29" s="46">
        <f>'INCOME-EXPENSE-CYCLES'!AG28+'INCOME-EXPENSE-CYCLES'!AK28+'INCOME-EXPENSE-CYCLES'!AO28+'INCOME-EXPENSE-CYCLES'!AS28+'INCOME-EXPENSE-CYCLES'!AW28</f>
        <v>29347.27</v>
      </c>
      <c r="E29" s="179">
        <v>12000</v>
      </c>
      <c r="F29" s="227">
        <f t="shared" si="0"/>
        <v>39985.425172214294</v>
      </c>
      <c r="G29" s="184"/>
      <c r="I29" s="223"/>
      <c r="J29" s="223" t="s">
        <v>511</v>
      </c>
      <c r="K29" s="184"/>
      <c r="L29" s="46">
        <v>4963.4201767805016</v>
      </c>
      <c r="O29" s="104"/>
      <c r="P29" s="104"/>
    </row>
    <row r="30" spans="1:16">
      <c r="A30" s="223" t="s">
        <v>512</v>
      </c>
      <c r="B30" s="40">
        <v>17012.73</v>
      </c>
      <c r="C30" s="46">
        <f>'INCOME-EXPENSE-CYCLES'!AH29+'INCOME-EXPENSE-CYCLES'!AL29+'INCOME-EXPENSE-CYCLES'!AP29+'INCOME-EXPENSE-CYCLES'!AT29+'INCOME-EXPENSE-CYCLES'!AX29</f>
        <v>25761.066856045076</v>
      </c>
      <c r="D30" s="46">
        <f>'INCOME-EXPENSE-CYCLES'!AG29+'INCOME-EXPENSE-CYCLES'!AK29+'INCOME-EXPENSE-CYCLES'!AO29+'INCOME-EXPENSE-CYCLES'!AS29+'INCOME-EXPENSE-CYCLES'!AW29</f>
        <v>6114</v>
      </c>
      <c r="E30" s="179">
        <v>1</v>
      </c>
      <c r="F30" s="227">
        <f t="shared" si="0"/>
        <v>-2633.3368560450763</v>
      </c>
      <c r="G30" s="184"/>
      <c r="I30" s="223"/>
      <c r="J30" s="223" t="s">
        <v>512</v>
      </c>
      <c r="K30" s="184"/>
      <c r="L30" s="46">
        <v>4688.7475529380326</v>
      </c>
      <c r="O30" s="104"/>
      <c r="P30" s="104"/>
    </row>
    <row r="31" spans="1:16">
      <c r="A31" s="223" t="s">
        <v>513</v>
      </c>
      <c r="B31" s="40">
        <v>-14030</v>
      </c>
      <c r="C31" s="46">
        <f>'INCOME-EXPENSE-CYCLES'!AH30+'INCOME-EXPENSE-CYCLES'!AL30+'INCOME-EXPENSE-CYCLES'!AP30+'INCOME-EXPENSE-CYCLES'!AT30+'INCOME-EXPENSE-CYCLES'!AX30</f>
        <v>30470.736898743016</v>
      </c>
      <c r="D31" s="46">
        <f>'INCOME-EXPENSE-CYCLES'!AG30+'INCOME-EXPENSE-CYCLES'!AK30+'INCOME-EXPENSE-CYCLES'!AO30+'INCOME-EXPENSE-CYCLES'!AS30+'INCOME-EXPENSE-CYCLES'!AW30</f>
        <v>14050</v>
      </c>
      <c r="E31" s="179">
        <v>1</v>
      </c>
      <c r="F31" s="227">
        <f t="shared" si="0"/>
        <v>-30449.736898743016</v>
      </c>
      <c r="G31" s="184"/>
      <c r="I31" s="223"/>
      <c r="J31" s="223" t="s">
        <v>513</v>
      </c>
      <c r="K31" s="184"/>
      <c r="L31" s="46">
        <v>4867.7566770380454</v>
      </c>
      <c r="O31" s="104"/>
      <c r="P31" s="104"/>
    </row>
    <row r="32" spans="1:16">
      <c r="A32" s="223" t="s">
        <v>514</v>
      </c>
      <c r="B32" s="40">
        <v>-2173.09</v>
      </c>
      <c r="C32" s="46">
        <f>'INCOME-EXPENSE-CYCLES'!AH31+'INCOME-EXPENSE-CYCLES'!AL31+'INCOME-EXPENSE-CYCLES'!AP31+'INCOME-EXPENSE-CYCLES'!AT31+'INCOME-EXPENSE-CYCLES'!AX31</f>
        <v>28989.684101202984</v>
      </c>
      <c r="D32" s="46">
        <f>'INCOME-EXPENSE-CYCLES'!AG31+'INCOME-EXPENSE-CYCLES'!AK31+'INCOME-EXPENSE-CYCLES'!AO31+'INCOME-EXPENSE-CYCLES'!AS31+'INCOME-EXPENSE-CYCLES'!AW31</f>
        <v>22000</v>
      </c>
      <c r="E32" s="179">
        <v>10000</v>
      </c>
      <c r="F32" s="227">
        <f t="shared" si="0"/>
        <v>837.22589879701627</v>
      </c>
      <c r="G32" s="184"/>
      <c r="I32" s="223"/>
      <c r="J32" s="223" t="s">
        <v>514</v>
      </c>
      <c r="K32" s="184"/>
      <c r="L32" s="46">
        <v>4858.675597598698</v>
      </c>
      <c r="O32" s="104"/>
      <c r="P32" s="104"/>
    </row>
    <row r="33" spans="1:16">
      <c r="A33" s="223" t="s">
        <v>515</v>
      </c>
      <c r="B33" s="40">
        <v>927</v>
      </c>
      <c r="C33" s="46">
        <f>'INCOME-EXPENSE-CYCLES'!AH32+'INCOME-EXPENSE-CYCLES'!AL32+'INCOME-EXPENSE-CYCLES'!AP32+'INCOME-EXPENSE-CYCLES'!AT32+'INCOME-EXPENSE-CYCLES'!AX32</f>
        <v>30043.392887644728</v>
      </c>
      <c r="D33" s="46">
        <f>'INCOME-EXPENSE-CYCLES'!AG32+'INCOME-EXPENSE-CYCLES'!AK32+'INCOME-EXPENSE-CYCLES'!AO32+'INCOME-EXPENSE-CYCLES'!AS32+'INCOME-EXPENSE-CYCLES'!AW32</f>
        <v>30385.97</v>
      </c>
      <c r="E33" s="179">
        <v>23695</v>
      </c>
      <c r="F33" s="227">
        <f t="shared" si="0"/>
        <v>24964.577112355273</v>
      </c>
      <c r="G33" s="184"/>
      <c r="I33" s="223"/>
      <c r="J33" s="223" t="s">
        <v>515</v>
      </c>
      <c r="K33" s="184"/>
      <c r="L33" s="46">
        <v>5081.4211779354791</v>
      </c>
      <c r="O33" s="104"/>
      <c r="P33" s="104"/>
    </row>
    <row r="34" spans="1:16">
      <c r="A34" s="223" t="s">
        <v>516</v>
      </c>
      <c r="B34" s="40">
        <v>17220.740000000002</v>
      </c>
      <c r="C34" s="46">
        <f>'INCOME-EXPENSE-CYCLES'!AH33+'INCOME-EXPENSE-CYCLES'!AL33+'INCOME-EXPENSE-CYCLES'!AP33+'INCOME-EXPENSE-CYCLES'!AT33+'INCOME-EXPENSE-CYCLES'!AX33</f>
        <v>28113.108091337075</v>
      </c>
      <c r="D34" s="46">
        <f>'INCOME-EXPENSE-CYCLES'!AG33+'INCOME-EXPENSE-CYCLES'!AK33+'INCOME-EXPENSE-CYCLES'!AO33+'INCOME-EXPENSE-CYCLES'!AS33+'INCOME-EXPENSE-CYCLES'!AW33</f>
        <v>22105.17</v>
      </c>
      <c r="E34" s="179">
        <v>10000.26</v>
      </c>
      <c r="F34" s="227">
        <f t="shared" si="0"/>
        <v>21213.061908662923</v>
      </c>
      <c r="G34" s="184"/>
      <c r="I34" s="223"/>
      <c r="J34" s="223" t="s">
        <v>516</v>
      </c>
      <c r="K34" s="184"/>
      <c r="L34" s="46">
        <v>4935.1744029111433</v>
      </c>
      <c r="O34" s="104"/>
      <c r="P34" s="104"/>
    </row>
    <row r="35" spans="1:16">
      <c r="A35" s="223" t="s">
        <v>517</v>
      </c>
      <c r="B35" s="40">
        <v>-18587.07</v>
      </c>
      <c r="C35" s="46">
        <f>'INCOME-EXPENSE-CYCLES'!AH34+'INCOME-EXPENSE-CYCLES'!AL34+'INCOME-EXPENSE-CYCLES'!AP34+'INCOME-EXPENSE-CYCLES'!AT34+'INCOME-EXPENSE-CYCLES'!AX34</f>
        <v>27166.115326810694</v>
      </c>
      <c r="D35" s="46">
        <f>'INCOME-EXPENSE-CYCLES'!AG34+'INCOME-EXPENSE-CYCLES'!AK34+'INCOME-EXPENSE-CYCLES'!AO34+'INCOME-EXPENSE-CYCLES'!AS34+'INCOME-EXPENSE-CYCLES'!AW34</f>
        <v>28542.66</v>
      </c>
      <c r="E35" s="179">
        <v>0.26</v>
      </c>
      <c r="F35" s="227">
        <f t="shared" si="0"/>
        <v>-17210.265326810695</v>
      </c>
      <c r="G35" s="184"/>
      <c r="I35" s="223"/>
      <c r="J35" s="223" t="s">
        <v>517</v>
      </c>
      <c r="K35" s="184"/>
      <c r="L35" s="46">
        <v>4802.8718685170752</v>
      </c>
      <c r="O35" s="104"/>
      <c r="P35" s="104"/>
    </row>
    <row r="36" spans="1:16">
      <c r="A36" s="223" t="s">
        <v>518</v>
      </c>
      <c r="B36" s="40">
        <v>-48775.25</v>
      </c>
      <c r="C36" s="46">
        <f>'INCOME-EXPENSE-CYCLES'!AH35+'INCOME-EXPENSE-CYCLES'!AL35+'INCOME-EXPENSE-CYCLES'!AP35+'INCOME-EXPENSE-CYCLES'!AT35+'INCOME-EXPENSE-CYCLES'!AX35</f>
        <v>26713.05932651422</v>
      </c>
      <c r="D36" s="46">
        <f>'INCOME-EXPENSE-CYCLES'!AG35+'INCOME-EXPENSE-CYCLES'!AK35+'INCOME-EXPENSE-CYCLES'!AO35+'INCOME-EXPENSE-CYCLES'!AS35+'INCOME-EXPENSE-CYCLES'!AW35</f>
        <v>28018.79</v>
      </c>
      <c r="E36" s="179">
        <v>22073</v>
      </c>
      <c r="F36" s="227">
        <f t="shared" si="0"/>
        <v>-25396.519326514215</v>
      </c>
      <c r="G36" s="184"/>
      <c r="I36" s="223"/>
      <c r="J36" s="223" t="s">
        <v>518</v>
      </c>
      <c r="K36" s="184"/>
      <c r="L36" s="46">
        <v>4592.1242187500002</v>
      </c>
      <c r="O36" s="104"/>
      <c r="P36" s="104"/>
    </row>
    <row r="37" spans="1:16">
      <c r="A37" s="223" t="s">
        <v>519</v>
      </c>
      <c r="B37" s="40">
        <v>-89919.89</v>
      </c>
      <c r="C37" s="46">
        <f>'INCOME-EXPENSE-CYCLES'!AH36+'INCOME-EXPENSE-CYCLES'!AL36+'INCOME-EXPENSE-CYCLES'!AP36+'INCOME-EXPENSE-CYCLES'!AT36+'INCOME-EXPENSE-CYCLES'!AX36</f>
        <v>33173.049326905879</v>
      </c>
      <c r="D37" s="46">
        <f>'INCOME-EXPENSE-CYCLES'!AG36+'INCOME-EXPENSE-CYCLES'!AK36+'INCOME-EXPENSE-CYCLES'!AO36+'INCOME-EXPENSE-CYCLES'!AS36+'INCOME-EXPENSE-CYCLES'!AW36</f>
        <v>17854.25</v>
      </c>
      <c r="E37" s="179">
        <v>1224.26</v>
      </c>
      <c r="F37" s="227">
        <f t="shared" si="0"/>
        <v>-104014.42932690588</v>
      </c>
      <c r="G37" s="184"/>
      <c r="I37" s="223"/>
      <c r="J37" s="223" t="s">
        <v>519</v>
      </c>
      <c r="K37" s="184"/>
      <c r="L37" s="46">
        <v>6651.3903860834071</v>
      </c>
      <c r="O37" s="104"/>
      <c r="P37" s="104"/>
    </row>
    <row r="38" spans="1:16">
      <c r="A38" s="223" t="s">
        <v>520</v>
      </c>
      <c r="B38" s="40">
        <v>-49273.64</v>
      </c>
      <c r="C38" s="46">
        <f>'INCOME-EXPENSE-CYCLES'!AH37+'INCOME-EXPENSE-CYCLES'!AL37+'INCOME-EXPENSE-CYCLES'!AP37+'INCOME-EXPENSE-CYCLES'!AT37+'INCOME-EXPENSE-CYCLES'!AX37</f>
        <v>27112.304003752659</v>
      </c>
      <c r="D38" s="46">
        <f>'INCOME-EXPENSE-CYCLES'!AG37+'INCOME-EXPENSE-CYCLES'!AK37+'INCOME-EXPENSE-CYCLES'!AO37+'INCOME-EXPENSE-CYCLES'!AS37+'INCOME-EXPENSE-CYCLES'!AW37</f>
        <v>23504</v>
      </c>
      <c r="E38" s="179">
        <v>0.23</v>
      </c>
      <c r="F38" s="227">
        <f t="shared" si="0"/>
        <v>-52881.714003752655</v>
      </c>
      <c r="G38" s="184"/>
      <c r="I38" s="223"/>
      <c r="J38" s="223" t="s">
        <v>520</v>
      </c>
      <c r="K38" s="184"/>
      <c r="L38" s="46">
        <v>5087.5001294241301</v>
      </c>
      <c r="O38" s="104"/>
      <c r="P38" s="104"/>
    </row>
    <row r="39" spans="1:16">
      <c r="A39" s="223" t="s">
        <v>521</v>
      </c>
      <c r="B39" s="40">
        <v>15117.23</v>
      </c>
      <c r="C39" s="46">
        <f>'INCOME-EXPENSE-CYCLES'!AH38+'INCOME-EXPENSE-CYCLES'!AL38+'INCOME-EXPENSE-CYCLES'!AP38+'INCOME-EXPENSE-CYCLES'!AT38+'INCOME-EXPENSE-CYCLES'!AX38</f>
        <v>30992.339939746373</v>
      </c>
      <c r="D39" s="46">
        <f>'INCOME-EXPENSE-CYCLES'!AG38+'INCOME-EXPENSE-CYCLES'!AK38+'INCOME-EXPENSE-CYCLES'!AO38+'INCOME-EXPENSE-CYCLES'!AS38+'INCOME-EXPENSE-CYCLES'!AW38</f>
        <v>17112</v>
      </c>
      <c r="E39" s="179">
        <v>-123.74</v>
      </c>
      <c r="F39" s="227">
        <f t="shared" si="0"/>
        <v>1113.1500602536269</v>
      </c>
      <c r="G39" s="184"/>
      <c r="I39" s="223"/>
      <c r="J39" s="223" t="s">
        <v>521</v>
      </c>
      <c r="K39" s="184"/>
      <c r="L39" s="46">
        <v>4768.1578560687267</v>
      </c>
      <c r="O39" s="104"/>
      <c r="P39" s="104"/>
    </row>
    <row r="40" spans="1:16">
      <c r="A40" s="223" t="s">
        <v>522</v>
      </c>
      <c r="B40" s="40">
        <v>4804.8999999999996</v>
      </c>
      <c r="C40" s="46">
        <f>'INCOME-EXPENSE-CYCLES'!AH39+'INCOME-EXPENSE-CYCLES'!AL39+'INCOME-EXPENSE-CYCLES'!AP39+'INCOME-EXPENSE-CYCLES'!AT39+'INCOME-EXPENSE-CYCLES'!AX39</f>
        <v>26464.814954232541</v>
      </c>
      <c r="D40" s="46">
        <f>'INCOME-EXPENSE-CYCLES'!AG39+'INCOME-EXPENSE-CYCLES'!AK39+'INCOME-EXPENSE-CYCLES'!AO39+'INCOME-EXPENSE-CYCLES'!AS39+'INCOME-EXPENSE-CYCLES'!AW39</f>
        <v>15625</v>
      </c>
      <c r="E40" s="179">
        <v>10000.26</v>
      </c>
      <c r="F40" s="227">
        <f t="shared" si="0"/>
        <v>3965.3450457674589</v>
      </c>
      <c r="G40" s="184"/>
      <c r="I40" s="223"/>
      <c r="J40" s="223" t="s">
        <v>522</v>
      </c>
      <c r="K40" s="184"/>
      <c r="L40" s="46">
        <v>5123.776518154812</v>
      </c>
      <c r="O40" s="104"/>
      <c r="P40" s="104"/>
    </row>
    <row r="41" spans="1:16">
      <c r="A41" s="223" t="s">
        <v>523</v>
      </c>
      <c r="B41" s="40">
        <v>4804.3599999999997</v>
      </c>
      <c r="C41" s="46">
        <f>'INCOME-EXPENSE-CYCLES'!AH40+'INCOME-EXPENSE-CYCLES'!AL40+'INCOME-EXPENSE-CYCLES'!AP40+'INCOME-EXPENSE-CYCLES'!AT40+'INCOME-EXPENSE-CYCLES'!AX40</f>
        <v>25735.761401094169</v>
      </c>
      <c r="D41" s="46">
        <f>'INCOME-EXPENSE-CYCLES'!AG40+'INCOME-EXPENSE-CYCLES'!AK40+'INCOME-EXPENSE-CYCLES'!AO40+'INCOME-EXPENSE-CYCLES'!AS40+'INCOME-EXPENSE-CYCLES'!AW40</f>
        <v>0</v>
      </c>
      <c r="E41" s="179">
        <v>1</v>
      </c>
      <c r="F41" s="227">
        <f t="shared" si="0"/>
        <v>-20930.401401094168</v>
      </c>
      <c r="G41" s="184"/>
      <c r="I41" s="223"/>
      <c r="J41" s="223" t="s">
        <v>523</v>
      </c>
      <c r="K41" s="184"/>
      <c r="L41" s="46">
        <v>4654.6414356385476</v>
      </c>
      <c r="O41" s="104"/>
      <c r="P41" s="104"/>
    </row>
    <row r="42" spans="1:16">
      <c r="A42" s="223" t="s">
        <v>524</v>
      </c>
      <c r="B42" s="40">
        <v>-14455.92</v>
      </c>
      <c r="C42" s="46">
        <f>'INCOME-EXPENSE-CYCLES'!AH41+'INCOME-EXPENSE-CYCLES'!AL41+'INCOME-EXPENSE-CYCLES'!AP41+'INCOME-EXPENSE-CYCLES'!AT41+'INCOME-EXPENSE-CYCLES'!AX41</f>
        <v>26347.805839783701</v>
      </c>
      <c r="D42" s="46">
        <f>'INCOME-EXPENSE-CYCLES'!AG41+'INCOME-EXPENSE-CYCLES'!AK41+'INCOME-EXPENSE-CYCLES'!AO41+'INCOME-EXPENSE-CYCLES'!AS41+'INCOME-EXPENSE-CYCLES'!AW41</f>
        <v>27607.13</v>
      </c>
      <c r="E42" s="179">
        <v>38976</v>
      </c>
      <c r="F42" s="227">
        <f t="shared" si="0"/>
        <v>25779.404160216298</v>
      </c>
      <c r="G42" s="184"/>
      <c r="I42" s="223"/>
      <c r="J42" s="223" t="s">
        <v>524</v>
      </c>
      <c r="K42" s="184"/>
      <c r="L42" s="46">
        <v>4676.5256609976914</v>
      </c>
      <c r="O42" s="104"/>
      <c r="P42" s="104"/>
    </row>
    <row r="43" spans="1:16">
      <c r="A43" s="223" t="s">
        <v>525</v>
      </c>
      <c r="B43" s="40">
        <v>21174.36</v>
      </c>
      <c r="C43" s="46">
        <f>'INCOME-EXPENSE-CYCLES'!AH42+'INCOME-EXPENSE-CYCLES'!AL42+'INCOME-EXPENSE-CYCLES'!AP42+'INCOME-EXPENSE-CYCLES'!AT42+'INCOME-EXPENSE-CYCLES'!AX42</f>
        <v>30736.651313577167</v>
      </c>
      <c r="D43" s="46">
        <f>'INCOME-EXPENSE-CYCLES'!AG42+'INCOME-EXPENSE-CYCLES'!AK42+'INCOME-EXPENSE-CYCLES'!AO42+'INCOME-EXPENSE-CYCLES'!AS42+'INCOME-EXPENSE-CYCLES'!AW42</f>
        <v>31495.43</v>
      </c>
      <c r="E43" s="179">
        <v>10001</v>
      </c>
      <c r="F43" s="227">
        <f t="shared" si="0"/>
        <v>31934.138686422833</v>
      </c>
      <c r="G43" s="184"/>
      <c r="I43" s="223"/>
      <c r="J43" s="223" t="s">
        <v>525</v>
      </c>
      <c r="K43" s="184"/>
      <c r="L43" s="46">
        <v>5993.9749066313525</v>
      </c>
      <c r="O43" s="104"/>
      <c r="P43" s="104"/>
    </row>
    <row r="44" spans="1:16">
      <c r="A44" s="223" t="s">
        <v>526</v>
      </c>
      <c r="B44" s="40">
        <v>-10107.42</v>
      </c>
      <c r="C44" s="46">
        <f>'INCOME-EXPENSE-CYCLES'!AH43+'INCOME-EXPENSE-CYCLES'!AL43+'INCOME-EXPENSE-CYCLES'!AP43+'INCOME-EXPENSE-CYCLES'!AT43+'INCOME-EXPENSE-CYCLES'!AX43</f>
        <v>29006.811475520728</v>
      </c>
      <c r="D44" s="46">
        <f>'INCOME-EXPENSE-CYCLES'!AG43+'INCOME-EXPENSE-CYCLES'!AK43+'INCOME-EXPENSE-CYCLES'!AO43+'INCOME-EXPENSE-CYCLES'!AS43+'INCOME-EXPENSE-CYCLES'!AW43</f>
        <v>30162</v>
      </c>
      <c r="E44" s="179">
        <v>1</v>
      </c>
      <c r="F44" s="227">
        <f t="shared" si="0"/>
        <v>-8951.2314755207281</v>
      </c>
      <c r="G44" s="184"/>
      <c r="I44" s="223"/>
      <c r="J44" s="223" t="s">
        <v>526</v>
      </c>
      <c r="K44" s="184"/>
      <c r="L44" s="46">
        <v>5351.7105578098162</v>
      </c>
      <c r="O44" s="104"/>
      <c r="P44" s="104"/>
    </row>
    <row r="45" spans="1:16">
      <c r="A45" s="223" t="s">
        <v>527</v>
      </c>
      <c r="B45" s="40">
        <v>3327.96</v>
      </c>
      <c r="C45" s="46">
        <f>'INCOME-EXPENSE-CYCLES'!AH44+'INCOME-EXPENSE-CYCLES'!AL44+'INCOME-EXPENSE-CYCLES'!AP44+'INCOME-EXPENSE-CYCLES'!AT44+'INCOME-EXPENSE-CYCLES'!AX44</f>
        <v>25254.235571693131</v>
      </c>
      <c r="D45" s="46">
        <f>'INCOME-EXPENSE-CYCLES'!AG44+'INCOME-EXPENSE-CYCLES'!AK44+'INCOME-EXPENSE-CYCLES'!AO44+'INCOME-EXPENSE-CYCLES'!AS44+'INCOME-EXPENSE-CYCLES'!AW44</f>
        <v>0</v>
      </c>
      <c r="E45" s="179">
        <v>7900</v>
      </c>
      <c r="F45" s="227">
        <f t="shared" si="0"/>
        <v>-14026.275571693131</v>
      </c>
      <c r="G45" s="184"/>
      <c r="I45" s="223"/>
      <c r="J45" s="223" t="s">
        <v>527</v>
      </c>
      <c r="K45" s="184"/>
      <c r="L45" s="46">
        <v>4634.6128902075188</v>
      </c>
      <c r="O45" s="104"/>
      <c r="P45" s="104"/>
    </row>
    <row r="46" spans="1:16">
      <c r="A46" s="223" t="s">
        <v>528</v>
      </c>
      <c r="B46" s="40">
        <v>-57668.95</v>
      </c>
      <c r="C46" s="46">
        <f>'INCOME-EXPENSE-CYCLES'!AH45+'INCOME-EXPENSE-CYCLES'!AL45+'INCOME-EXPENSE-CYCLES'!AP45+'INCOME-EXPENSE-CYCLES'!AT45+'INCOME-EXPENSE-CYCLES'!AX45</f>
        <v>27963.580989509508</v>
      </c>
      <c r="D46" s="46">
        <f>'INCOME-EXPENSE-CYCLES'!AG45+'INCOME-EXPENSE-CYCLES'!AK45+'INCOME-EXPENSE-CYCLES'!AO45+'INCOME-EXPENSE-CYCLES'!AS45+'INCOME-EXPENSE-CYCLES'!AW45</f>
        <v>29015</v>
      </c>
      <c r="E46" s="179">
        <v>23413</v>
      </c>
      <c r="F46" s="227">
        <f t="shared" si="0"/>
        <v>-33204.530989509505</v>
      </c>
      <c r="G46" s="184"/>
      <c r="I46" s="223"/>
      <c r="J46" s="223" t="s">
        <v>528</v>
      </c>
      <c r="K46" s="184"/>
      <c r="L46" s="46">
        <v>4685.4521213415528</v>
      </c>
      <c r="O46" s="104"/>
      <c r="P46" s="104"/>
    </row>
    <row r="47" spans="1:16">
      <c r="A47" s="223" t="s">
        <v>529</v>
      </c>
      <c r="B47" s="40">
        <v>118233.71</v>
      </c>
      <c r="C47" s="46">
        <f>'INCOME-EXPENSE-CYCLES'!AH46+'INCOME-EXPENSE-CYCLES'!AL46+'INCOME-EXPENSE-CYCLES'!AP46+'INCOME-EXPENSE-CYCLES'!AT46+'INCOME-EXPENSE-CYCLES'!AX46</f>
        <v>27173.958463751223</v>
      </c>
      <c r="D47" s="46">
        <f>'INCOME-EXPENSE-CYCLES'!AG46+'INCOME-EXPENSE-CYCLES'!AK46+'INCOME-EXPENSE-CYCLES'!AO46+'INCOME-EXPENSE-CYCLES'!AS46+'INCOME-EXPENSE-CYCLES'!AW46</f>
        <v>24045.089999999997</v>
      </c>
      <c r="E47" s="179">
        <v>-15566</v>
      </c>
      <c r="F47" s="227">
        <f t="shared" si="0"/>
        <v>99538.841536248772</v>
      </c>
      <c r="G47" s="184"/>
      <c r="I47" s="223"/>
      <c r="J47" s="223" t="s">
        <v>529</v>
      </c>
      <c r="K47" s="184"/>
      <c r="L47" s="46">
        <v>5269.6073649193986</v>
      </c>
      <c r="O47" s="104"/>
      <c r="P47" s="104"/>
    </row>
    <row r="48" spans="1:16">
      <c r="A48" s="223" t="s">
        <v>530</v>
      </c>
      <c r="B48" s="40">
        <v>-30444.13</v>
      </c>
      <c r="C48" s="46">
        <f>'INCOME-EXPENSE-CYCLES'!AH47+'INCOME-EXPENSE-CYCLES'!AL47+'INCOME-EXPENSE-CYCLES'!AP47+'INCOME-EXPENSE-CYCLES'!AT47+'INCOME-EXPENSE-CYCLES'!AX47</f>
        <v>26242.135536259972</v>
      </c>
      <c r="D48" s="46">
        <f>'INCOME-EXPENSE-CYCLES'!AG47+'INCOME-EXPENSE-CYCLES'!AK47+'INCOME-EXPENSE-CYCLES'!AO47+'INCOME-EXPENSE-CYCLES'!AS47+'INCOME-EXPENSE-CYCLES'!AW47</f>
        <v>27636.19</v>
      </c>
      <c r="E48" s="179">
        <v>10310</v>
      </c>
      <c r="F48" s="227">
        <f t="shared" si="0"/>
        <v>-18740.075536259974</v>
      </c>
      <c r="G48" s="184"/>
      <c r="I48" s="223"/>
      <c r="J48" s="223" t="s">
        <v>530</v>
      </c>
      <c r="K48" s="184"/>
      <c r="L48" s="46">
        <v>4807.8683609461832</v>
      </c>
      <c r="O48" s="104"/>
      <c r="P48" s="104"/>
    </row>
    <row r="49" spans="1:16">
      <c r="A49" s="223" t="s">
        <v>531</v>
      </c>
      <c r="B49" s="40">
        <v>-40052.44</v>
      </c>
      <c r="C49" s="46">
        <f>'INCOME-EXPENSE-CYCLES'!AH48+'INCOME-EXPENSE-CYCLES'!AL48+'INCOME-EXPENSE-CYCLES'!AP48+'INCOME-EXPENSE-CYCLES'!AT48+'INCOME-EXPENSE-CYCLES'!AX48</f>
        <v>27165.115587747659</v>
      </c>
      <c r="D49" s="46">
        <f>'INCOME-EXPENSE-CYCLES'!AG48+'INCOME-EXPENSE-CYCLES'!AK48+'INCOME-EXPENSE-CYCLES'!AO48+'INCOME-EXPENSE-CYCLES'!AS48+'INCOME-EXPENSE-CYCLES'!AW48</f>
        <v>23264</v>
      </c>
      <c r="E49" s="179">
        <v>31879.26</v>
      </c>
      <c r="F49" s="227">
        <f t="shared" si="0"/>
        <v>-12074.29558774766</v>
      </c>
      <c r="G49" s="184"/>
      <c r="I49" s="223"/>
      <c r="J49" s="223" t="s">
        <v>531</v>
      </c>
      <c r="K49" s="184"/>
      <c r="L49" s="46">
        <v>4802.5892714955125</v>
      </c>
      <c r="O49" s="104"/>
      <c r="P49" s="104"/>
    </row>
    <row r="50" spans="1:16">
      <c r="A50" s="223" t="s">
        <v>532</v>
      </c>
      <c r="B50" s="40">
        <v>-494</v>
      </c>
      <c r="C50" s="46">
        <f>'INCOME-EXPENSE-CYCLES'!AH49+'INCOME-EXPENSE-CYCLES'!AL49+'INCOME-EXPENSE-CYCLES'!AP49+'INCOME-EXPENSE-CYCLES'!AT49+'INCOME-EXPENSE-CYCLES'!AX49</f>
        <v>32020.69287900503</v>
      </c>
      <c r="D50" s="46">
        <f>'INCOME-EXPENSE-CYCLES'!AG49+'INCOME-EXPENSE-CYCLES'!AK49+'INCOME-EXPENSE-CYCLES'!AO49+'INCOME-EXPENSE-CYCLES'!AS49+'INCOME-EXPENSE-CYCLES'!AW49</f>
        <v>18479</v>
      </c>
      <c r="E50" s="179">
        <v>0.26</v>
      </c>
      <c r="F50" s="227">
        <f t="shared" si="0"/>
        <v>-14035.432879005029</v>
      </c>
      <c r="G50" s="184"/>
      <c r="I50" s="223"/>
      <c r="J50" s="223" t="s">
        <v>532</v>
      </c>
      <c r="K50" s="184"/>
      <c r="L50" s="46">
        <v>6074.0499670691552</v>
      </c>
      <c r="O50" s="104"/>
      <c r="P50" s="104"/>
    </row>
    <row r="51" spans="1:16">
      <c r="A51" s="223" t="s">
        <v>533</v>
      </c>
      <c r="B51" s="40">
        <v>-25599.5</v>
      </c>
      <c r="C51" s="46">
        <f>'INCOME-EXPENSE-CYCLES'!AH50+'INCOME-EXPENSE-CYCLES'!AL50+'INCOME-EXPENSE-CYCLES'!AP50+'INCOME-EXPENSE-CYCLES'!AT50+'INCOME-EXPENSE-CYCLES'!AX50</f>
        <v>27036.861260225178</v>
      </c>
      <c r="D51" s="46">
        <f>'INCOME-EXPENSE-CYCLES'!AG50+'INCOME-EXPENSE-CYCLES'!AK50+'INCOME-EXPENSE-CYCLES'!AO50+'INCOME-EXPENSE-CYCLES'!AS50+'INCOME-EXPENSE-CYCLES'!AW50</f>
        <v>28432</v>
      </c>
      <c r="E51" s="179">
        <v>20001</v>
      </c>
      <c r="F51" s="227">
        <f t="shared" si="0"/>
        <v>-4203.3612602251778</v>
      </c>
      <c r="G51" s="184"/>
      <c r="I51" s="223"/>
      <c r="J51" s="223" t="s">
        <v>533</v>
      </c>
      <c r="K51" s="184"/>
      <c r="L51" s="46">
        <v>4877.0030821970995</v>
      </c>
      <c r="O51" s="104"/>
      <c r="P51" s="104"/>
    </row>
    <row r="52" spans="1:16">
      <c r="A52" s="223" t="s">
        <v>534</v>
      </c>
      <c r="B52" s="40">
        <v>-5867.75</v>
      </c>
      <c r="C52" s="46">
        <f>'INCOME-EXPENSE-CYCLES'!AH51+'INCOME-EXPENSE-CYCLES'!AL51+'INCOME-EXPENSE-CYCLES'!AP51+'INCOME-EXPENSE-CYCLES'!AT51+'INCOME-EXPENSE-CYCLES'!AX51</f>
        <v>31845.903880394933</v>
      </c>
      <c r="D52" s="46">
        <f>'INCOME-EXPENSE-CYCLES'!AG51+'INCOME-EXPENSE-CYCLES'!AK51+'INCOME-EXPENSE-CYCLES'!AO51+'INCOME-EXPENSE-CYCLES'!AS51+'INCOME-EXPENSE-CYCLES'!AW51</f>
        <v>32163</v>
      </c>
      <c r="E52" s="179">
        <v>10001</v>
      </c>
      <c r="F52" s="227">
        <f t="shared" si="0"/>
        <v>4450.3461196050666</v>
      </c>
      <c r="G52" s="184"/>
      <c r="I52" s="223"/>
      <c r="J52" s="223" t="s">
        <v>534</v>
      </c>
      <c r="K52" s="184"/>
      <c r="L52" s="46">
        <v>5820.0724194575087</v>
      </c>
      <c r="O52" s="104"/>
      <c r="P52" s="104"/>
    </row>
    <row r="53" spans="1:16">
      <c r="A53" s="223" t="s">
        <v>535</v>
      </c>
      <c r="B53" s="40">
        <v>-58508.56</v>
      </c>
      <c r="C53" s="46">
        <f>'INCOME-EXPENSE-CYCLES'!AH52+'INCOME-EXPENSE-CYCLES'!AL52+'INCOME-EXPENSE-CYCLES'!AP52+'INCOME-EXPENSE-CYCLES'!AT52+'INCOME-EXPENSE-CYCLES'!AX52</f>
        <v>31631.804007451363</v>
      </c>
      <c r="D53" s="46">
        <f>'INCOME-EXPENSE-CYCLES'!AG52+'INCOME-EXPENSE-CYCLES'!AK52+'INCOME-EXPENSE-CYCLES'!AO52+'INCOME-EXPENSE-CYCLES'!AS52+'INCOME-EXPENSE-CYCLES'!AW52</f>
        <v>6231</v>
      </c>
      <c r="E53" s="179">
        <v>10034</v>
      </c>
      <c r="F53" s="227">
        <f t="shared" si="0"/>
        <v>-73875.364007451368</v>
      </c>
      <c r="G53" s="184"/>
      <c r="I53" s="223"/>
      <c r="J53" s="223" t="s">
        <v>535</v>
      </c>
      <c r="K53" s="184"/>
      <c r="L53" s="46">
        <v>5771.5741387864873</v>
      </c>
      <c r="O53" s="104"/>
      <c r="P53" s="104"/>
    </row>
    <row r="54" spans="1:16">
      <c r="A54" s="223" t="s">
        <v>536</v>
      </c>
      <c r="B54" s="40">
        <v>-21760.51</v>
      </c>
      <c r="C54" s="46">
        <f>'INCOME-EXPENSE-CYCLES'!AH53+'INCOME-EXPENSE-CYCLES'!AL53+'INCOME-EXPENSE-CYCLES'!AP53+'INCOME-EXPENSE-CYCLES'!AT53+'INCOME-EXPENSE-CYCLES'!AX53</f>
        <v>28220.963412345907</v>
      </c>
      <c r="D54" s="46">
        <f>'INCOME-EXPENSE-CYCLES'!AG53+'INCOME-EXPENSE-CYCLES'!AK53+'INCOME-EXPENSE-CYCLES'!AO53+'INCOME-EXPENSE-CYCLES'!AS53+'INCOME-EXPENSE-CYCLES'!AW53</f>
        <v>29102.69</v>
      </c>
      <c r="E54" s="179">
        <v>16511.259999999998</v>
      </c>
      <c r="F54" s="227">
        <f t="shared" si="0"/>
        <v>-4367.5234123459086</v>
      </c>
      <c r="G54" s="184"/>
      <c r="I54" s="223"/>
      <c r="J54" s="223" t="s">
        <v>536</v>
      </c>
      <c r="K54" s="184"/>
      <c r="L54" s="46">
        <v>4978.1429915914505</v>
      </c>
      <c r="O54" s="104"/>
      <c r="P54" s="104"/>
    </row>
    <row r="55" spans="1:16">
      <c r="A55" s="223" t="s">
        <v>537</v>
      </c>
      <c r="B55" s="40">
        <v>-36565.01</v>
      </c>
      <c r="C55" s="46">
        <f>'INCOME-EXPENSE-CYCLES'!AH54+'INCOME-EXPENSE-CYCLES'!AL54+'INCOME-EXPENSE-CYCLES'!AP54+'INCOME-EXPENSE-CYCLES'!AT54+'INCOME-EXPENSE-CYCLES'!AX54</f>
        <v>29079.425195324271</v>
      </c>
      <c r="D55" s="46">
        <f>'INCOME-EXPENSE-CYCLES'!AG54+'INCOME-EXPENSE-CYCLES'!AK54+'INCOME-EXPENSE-CYCLES'!AO54+'INCOME-EXPENSE-CYCLES'!AS54+'INCOME-EXPENSE-CYCLES'!AW54</f>
        <v>6231</v>
      </c>
      <c r="E55" s="179">
        <v>47255.56</v>
      </c>
      <c r="F55" s="227">
        <f t="shared" si="0"/>
        <v>-12157.875195324275</v>
      </c>
      <c r="G55" s="184"/>
      <c r="I55" s="223"/>
      <c r="J55" s="223" t="s">
        <v>537</v>
      </c>
      <c r="K55" s="184"/>
      <c r="L55" s="46">
        <v>5267.0531597099707</v>
      </c>
      <c r="O55" s="104"/>
      <c r="P55" s="104"/>
    </row>
    <row r="56" spans="1:16">
      <c r="A56" s="223" t="s">
        <v>538</v>
      </c>
      <c r="B56" s="40">
        <v>4040</v>
      </c>
      <c r="C56" s="46">
        <f>'INCOME-EXPENSE-CYCLES'!AH55+'INCOME-EXPENSE-CYCLES'!AL55+'INCOME-EXPENSE-CYCLES'!AP55+'INCOME-EXPENSE-CYCLES'!AT55+'INCOME-EXPENSE-CYCLES'!AX55</f>
        <v>26006.90838291093</v>
      </c>
      <c r="D56" s="46">
        <f>'INCOME-EXPENSE-CYCLES'!AG55+'INCOME-EXPENSE-CYCLES'!AK55+'INCOME-EXPENSE-CYCLES'!AO55+'INCOME-EXPENSE-CYCLES'!AS55+'INCOME-EXPENSE-CYCLES'!AW55</f>
        <v>16359</v>
      </c>
      <c r="E56" s="179">
        <v>10001</v>
      </c>
      <c r="F56" s="227">
        <f t="shared" si="0"/>
        <v>4393.0916170890705</v>
      </c>
      <c r="G56" s="184"/>
      <c r="I56" s="223"/>
      <c r="J56" s="223" t="s">
        <v>538</v>
      </c>
      <c r="K56" s="184"/>
      <c r="L56" s="46">
        <v>4996.0865424116209</v>
      </c>
      <c r="O56" s="104"/>
      <c r="P56" s="104"/>
    </row>
    <row r="57" spans="1:16">
      <c r="A57" s="223" t="s">
        <v>539</v>
      </c>
      <c r="B57" s="40">
        <v>-2730.85</v>
      </c>
      <c r="C57" s="46">
        <f>'INCOME-EXPENSE-CYCLES'!AH56+'INCOME-EXPENSE-CYCLES'!AL56+'INCOME-EXPENSE-CYCLES'!AP56+'INCOME-EXPENSE-CYCLES'!AT56+'INCOME-EXPENSE-CYCLES'!AX56</f>
        <v>31129.377245547003</v>
      </c>
      <c r="D57" s="46">
        <f>'INCOME-EXPENSE-CYCLES'!AG56+'INCOME-EXPENSE-CYCLES'!AK56+'INCOME-EXPENSE-CYCLES'!AO56+'INCOME-EXPENSE-CYCLES'!AS56+'INCOME-EXPENSE-CYCLES'!AW56</f>
        <v>19462.61</v>
      </c>
      <c r="E57" s="179">
        <v>10000.26</v>
      </c>
      <c r="F57" s="227">
        <f t="shared" si="0"/>
        <v>-4397.3572455470021</v>
      </c>
      <c r="G57" s="184"/>
      <c r="I57" s="223"/>
      <c r="J57" s="223" t="s">
        <v>539</v>
      </c>
      <c r="K57" s="184"/>
      <c r="L57" s="46">
        <v>5499.3597367088878</v>
      </c>
      <c r="O57" s="104"/>
      <c r="P57" s="104"/>
    </row>
    <row r="58" spans="1:16">
      <c r="A58" s="223" t="s">
        <v>540</v>
      </c>
      <c r="B58" s="40">
        <v>18634.21</v>
      </c>
      <c r="C58" s="46">
        <f>'INCOME-EXPENSE-CYCLES'!AH57+'INCOME-EXPENSE-CYCLES'!AL57+'INCOME-EXPENSE-CYCLES'!AP57+'INCOME-EXPENSE-CYCLES'!AT57+'INCOME-EXPENSE-CYCLES'!AX57</f>
        <v>25985.157380163892</v>
      </c>
      <c r="D58" s="46">
        <f>'INCOME-EXPENSE-CYCLES'!AG57+'INCOME-EXPENSE-CYCLES'!AK57+'INCOME-EXPENSE-CYCLES'!AO57+'INCOME-EXPENSE-CYCLES'!AS57+'INCOME-EXPENSE-CYCLES'!AW57</f>
        <v>27458.22</v>
      </c>
      <c r="E58" s="179">
        <v>8467.26</v>
      </c>
      <c r="F58" s="227">
        <f t="shared" si="0"/>
        <v>28574.532619836107</v>
      </c>
      <c r="G58" s="184"/>
      <c r="I58" s="223"/>
      <c r="J58" s="223" t="s">
        <v>540</v>
      </c>
      <c r="K58" s="184"/>
      <c r="L58" s="46">
        <v>4642.4835326612456</v>
      </c>
      <c r="O58" s="104"/>
      <c r="P58" s="104"/>
    </row>
    <row r="59" spans="1:16">
      <c r="A59" s="223" t="s">
        <v>541</v>
      </c>
      <c r="B59" s="40">
        <v>18779.05</v>
      </c>
      <c r="C59" s="46">
        <f>'INCOME-EXPENSE-CYCLES'!AH58+'INCOME-EXPENSE-CYCLES'!AL58+'INCOME-EXPENSE-CYCLES'!AP58+'INCOME-EXPENSE-CYCLES'!AT58+'INCOME-EXPENSE-CYCLES'!AX58</f>
        <v>26406.719345270183</v>
      </c>
      <c r="D59" s="46">
        <f>'INCOME-EXPENSE-CYCLES'!AG58+'INCOME-EXPENSE-CYCLES'!AK58+'INCOME-EXPENSE-CYCLES'!AO58+'INCOME-EXPENSE-CYCLES'!AS58+'INCOME-EXPENSE-CYCLES'!AW58</f>
        <v>20995.42</v>
      </c>
      <c r="E59" s="179">
        <v>17350.259999999998</v>
      </c>
      <c r="F59" s="227">
        <f t="shared" si="0"/>
        <v>30718.010654729813</v>
      </c>
      <c r="G59" s="184"/>
      <c r="I59" s="223"/>
      <c r="J59" s="223" t="s">
        <v>541</v>
      </c>
      <c r="K59" s="184"/>
      <c r="L59" s="46">
        <v>5448.744466945489</v>
      </c>
      <c r="O59" s="104"/>
      <c r="P59" s="104"/>
    </row>
    <row r="60" spans="1:16">
      <c r="A60" s="223" t="s">
        <v>542</v>
      </c>
      <c r="B60" s="40">
        <v>5263.25</v>
      </c>
      <c r="C60" s="46">
        <f>'INCOME-EXPENSE-CYCLES'!AH59+'INCOME-EXPENSE-CYCLES'!AL59+'INCOME-EXPENSE-CYCLES'!AP59+'INCOME-EXPENSE-CYCLES'!AT59+'INCOME-EXPENSE-CYCLES'!AX59</f>
        <v>27412.584307017492</v>
      </c>
      <c r="D60" s="46">
        <f>'INCOME-EXPENSE-CYCLES'!AG59+'INCOME-EXPENSE-CYCLES'!AK59+'INCOME-EXPENSE-CYCLES'!AO59+'INCOME-EXPENSE-CYCLES'!AS59+'INCOME-EXPENSE-CYCLES'!AW59</f>
        <v>28939.690000000002</v>
      </c>
      <c r="E60" s="179">
        <v>10000</v>
      </c>
      <c r="F60" s="227">
        <f t="shared" si="0"/>
        <v>16790.35569298251</v>
      </c>
      <c r="G60" s="184"/>
      <c r="I60" s="223"/>
      <c r="J60" s="223" t="s">
        <v>542</v>
      </c>
      <c r="K60" s="184"/>
      <c r="L60" s="46">
        <v>5255.0232346587454</v>
      </c>
      <c r="O60" s="104"/>
      <c r="P60" s="104"/>
    </row>
    <row r="61" spans="1:16">
      <c r="A61" s="223" t="s">
        <v>543</v>
      </c>
      <c r="B61" s="40">
        <v>-12530</v>
      </c>
      <c r="C61" s="46">
        <f>'INCOME-EXPENSE-CYCLES'!AH60+'INCOME-EXPENSE-CYCLES'!AL60+'INCOME-EXPENSE-CYCLES'!AP60+'INCOME-EXPENSE-CYCLES'!AT60+'INCOME-EXPENSE-CYCLES'!AX60</f>
        <v>31166.606883305787</v>
      </c>
      <c r="D61" s="46">
        <f>'INCOME-EXPENSE-CYCLES'!AG60+'INCOME-EXPENSE-CYCLES'!AK60+'INCOME-EXPENSE-CYCLES'!AO60+'INCOME-EXPENSE-CYCLES'!AS60+'INCOME-EXPENSE-CYCLES'!AW60</f>
        <v>26541</v>
      </c>
      <c r="E61" s="179">
        <v>19142</v>
      </c>
      <c r="F61" s="227">
        <f t="shared" si="0"/>
        <v>1986.3931166942129</v>
      </c>
      <c r="G61" s="184"/>
      <c r="I61" s="223"/>
      <c r="J61" s="223" t="s">
        <v>543</v>
      </c>
      <c r="K61" s="184"/>
      <c r="L61" s="46">
        <v>5753.6692345316751</v>
      </c>
      <c r="O61" s="104"/>
      <c r="P61" s="104"/>
    </row>
    <row r="62" spans="1:16">
      <c r="A62" s="223" t="s">
        <v>544</v>
      </c>
      <c r="B62" s="40">
        <v>-37004.410000000003</v>
      </c>
      <c r="C62" s="46">
        <f>'INCOME-EXPENSE-CYCLES'!AH61+'INCOME-EXPENSE-CYCLES'!AL61+'INCOME-EXPENSE-CYCLES'!AP61+'INCOME-EXPENSE-CYCLES'!AT61+'INCOME-EXPENSE-CYCLES'!AX61</f>
        <v>27180.275789240288</v>
      </c>
      <c r="D62" s="46">
        <f>'INCOME-EXPENSE-CYCLES'!AG61+'INCOME-EXPENSE-CYCLES'!AK61+'INCOME-EXPENSE-CYCLES'!AO61+'INCOME-EXPENSE-CYCLES'!AS61+'INCOME-EXPENSE-CYCLES'!AW61</f>
        <v>23171.119999999999</v>
      </c>
      <c r="E62" s="179">
        <v>24488</v>
      </c>
      <c r="F62" s="227">
        <f t="shared" si="0"/>
        <v>-16525.565789240296</v>
      </c>
      <c r="G62" s="184"/>
      <c r="I62" s="223"/>
      <c r="J62" s="223" t="s">
        <v>544</v>
      </c>
      <c r="K62" s="184"/>
      <c r="L62" s="46">
        <v>4809.4627317100339</v>
      </c>
      <c r="O62" s="104"/>
      <c r="P62" s="104"/>
    </row>
    <row r="63" spans="1:16">
      <c r="A63" s="223" t="s">
        <v>545</v>
      </c>
      <c r="B63" s="40">
        <v>-27353</v>
      </c>
      <c r="C63" s="46">
        <f>'INCOME-EXPENSE-CYCLES'!AH62+'INCOME-EXPENSE-CYCLES'!AL62+'INCOME-EXPENSE-CYCLES'!AP62+'INCOME-EXPENSE-CYCLES'!AT62+'INCOME-EXPENSE-CYCLES'!AX62</f>
        <v>26267.755459332468</v>
      </c>
      <c r="D63" s="46">
        <f>'INCOME-EXPENSE-CYCLES'!AG62+'INCOME-EXPENSE-CYCLES'!AK62+'INCOME-EXPENSE-CYCLES'!AO62+'INCOME-EXPENSE-CYCLES'!AS62+'INCOME-EXPENSE-CYCLES'!AW62</f>
        <v>27657.739999999998</v>
      </c>
      <c r="E63" s="179">
        <v>2001</v>
      </c>
      <c r="F63" s="227">
        <f t="shared" si="0"/>
        <v>-23962.01545933247</v>
      </c>
      <c r="G63" s="184"/>
      <c r="I63" s="223"/>
      <c r="J63" s="223" t="s">
        <v>545</v>
      </c>
      <c r="K63" s="184"/>
      <c r="L63" s="46">
        <v>4667.4712227277532</v>
      </c>
      <c r="O63" s="104"/>
      <c r="P63" s="104"/>
    </row>
    <row r="64" spans="1:16">
      <c r="A64" s="223" t="s">
        <v>546</v>
      </c>
      <c r="B64" s="40">
        <v>-9168</v>
      </c>
      <c r="C64" s="46">
        <f>'INCOME-EXPENSE-CYCLES'!AH63+'INCOME-EXPENSE-CYCLES'!AL63+'INCOME-EXPENSE-CYCLES'!AP63+'INCOME-EXPENSE-CYCLES'!AT63+'INCOME-EXPENSE-CYCLES'!AX63</f>
        <v>28540.934267889636</v>
      </c>
      <c r="D64" s="46">
        <f>'INCOME-EXPENSE-CYCLES'!AG63+'INCOME-EXPENSE-CYCLES'!AK63+'INCOME-EXPENSE-CYCLES'!AO63+'INCOME-EXPENSE-CYCLES'!AS63+'INCOME-EXPENSE-CYCLES'!AW63</f>
        <v>36000</v>
      </c>
      <c r="E64" s="179">
        <v>-9690</v>
      </c>
      <c r="F64" s="227">
        <f t="shared" si="0"/>
        <v>-11398.934267889636</v>
      </c>
      <c r="G64" s="184"/>
      <c r="I64" s="223"/>
      <c r="J64" s="223" t="s">
        <v>546</v>
      </c>
      <c r="K64" s="184"/>
      <c r="L64" s="46">
        <v>4814.267257250026</v>
      </c>
      <c r="O64" s="104"/>
      <c r="P64" s="104"/>
    </row>
    <row r="65" spans="1:16">
      <c r="A65" s="223" t="s">
        <v>547</v>
      </c>
      <c r="B65" s="40">
        <v>-12042.99</v>
      </c>
      <c r="C65" s="46">
        <f>'INCOME-EXPENSE-CYCLES'!AH64+'INCOME-EXPENSE-CYCLES'!AL64+'INCOME-EXPENSE-CYCLES'!AP64+'INCOME-EXPENSE-CYCLES'!AT64+'INCOME-EXPENSE-CYCLES'!AX64</f>
        <v>27753.740859771304</v>
      </c>
      <c r="D65" s="46">
        <f>'INCOME-EXPENSE-CYCLES'!AG64+'INCOME-EXPENSE-CYCLES'!AK64+'INCOME-EXPENSE-CYCLES'!AO64+'INCOME-EXPENSE-CYCLES'!AS64+'INCOME-EXPENSE-CYCLES'!AW64</f>
        <v>23952</v>
      </c>
      <c r="E65" s="179">
        <v>7500</v>
      </c>
      <c r="F65" s="227">
        <f t="shared" si="0"/>
        <v>-8344.7308597713036</v>
      </c>
      <c r="G65" s="184"/>
      <c r="I65" s="223"/>
      <c r="J65" s="223" t="s">
        <v>547</v>
      </c>
      <c r="K65" s="184"/>
      <c r="L65" s="46">
        <v>5851.53</v>
      </c>
      <c r="O65" s="104"/>
      <c r="P65" s="104"/>
    </row>
    <row r="66" spans="1:16">
      <c r="A66" s="223" t="s">
        <v>548</v>
      </c>
      <c r="B66" s="40">
        <v>37535.040000000001</v>
      </c>
      <c r="C66" s="46">
        <f>'INCOME-EXPENSE-CYCLES'!AH65+'INCOME-EXPENSE-CYCLES'!AL65+'INCOME-EXPENSE-CYCLES'!AP65+'INCOME-EXPENSE-CYCLES'!AT65+'INCOME-EXPENSE-CYCLES'!AX65</f>
        <v>35567.137333733597</v>
      </c>
      <c r="D66" s="46">
        <f>'INCOME-EXPENSE-CYCLES'!AG65+'INCOME-EXPENSE-CYCLES'!AK65+'INCOME-EXPENSE-CYCLES'!AO65+'INCOME-EXPENSE-CYCLES'!AS65+'INCOME-EXPENSE-CYCLES'!AW65</f>
        <v>17844</v>
      </c>
      <c r="E66" s="179">
        <v>-7999</v>
      </c>
      <c r="F66" s="227">
        <f t="shared" si="0"/>
        <v>11812.902666266404</v>
      </c>
      <c r="G66" s="184"/>
      <c r="I66" s="223"/>
      <c r="J66" s="223" t="s">
        <v>548</v>
      </c>
      <c r="K66" s="184"/>
      <c r="L66" s="46">
        <v>5358.9413106331585</v>
      </c>
      <c r="O66" s="104"/>
      <c r="P66" s="104"/>
    </row>
    <row r="67" spans="1:16">
      <c r="A67" s="223" t="s">
        <v>549</v>
      </c>
      <c r="B67" s="40">
        <v>-3242</v>
      </c>
      <c r="C67" s="46">
        <f>'INCOME-EXPENSE-CYCLES'!AH66+'INCOME-EXPENSE-CYCLES'!AL66+'INCOME-EXPENSE-CYCLES'!AP66+'INCOME-EXPENSE-CYCLES'!AT66+'INCOME-EXPENSE-CYCLES'!AX66</f>
        <v>28585.990901885376</v>
      </c>
      <c r="D67" s="46">
        <f>'INCOME-EXPENSE-CYCLES'!AG66+'INCOME-EXPENSE-CYCLES'!AK66+'INCOME-EXPENSE-CYCLES'!AO66+'INCOME-EXPENSE-CYCLES'!AS66+'INCOME-EXPENSE-CYCLES'!AW66</f>
        <v>22327</v>
      </c>
      <c r="E67" s="179">
        <v>10001</v>
      </c>
      <c r="F67" s="227">
        <f t="shared" si="0"/>
        <v>500.00909811462407</v>
      </c>
      <c r="G67" s="184"/>
      <c r="I67" s="223"/>
      <c r="J67" s="223" t="s">
        <v>549</v>
      </c>
      <c r="K67" s="184"/>
      <c r="L67" s="46">
        <v>5136.7022886885752</v>
      </c>
      <c r="O67" s="104"/>
      <c r="P67" s="104"/>
    </row>
    <row r="68" spans="1:16">
      <c r="F68" s="222"/>
      <c r="O68" s="104"/>
      <c r="P68" s="104"/>
    </row>
    <row r="69" spans="1:16">
      <c r="F69" s="222"/>
      <c r="O69" s="104"/>
      <c r="P69" s="104"/>
    </row>
    <row r="70" spans="1:16">
      <c r="F70" s="222"/>
    </row>
    <row r="71" spans="1:16">
      <c r="F71" s="222"/>
    </row>
    <row r="72" spans="1:16">
      <c r="F72" s="222"/>
    </row>
    <row r="73" spans="1:16">
      <c r="F73" s="222"/>
    </row>
    <row r="74" spans="1:16">
      <c r="F74" s="222"/>
    </row>
    <row r="75" spans="1:16">
      <c r="F75" s="222"/>
    </row>
    <row r="76" spans="1:16">
      <c r="F76" s="222"/>
    </row>
    <row r="77" spans="1:16">
      <c r="F77" s="222"/>
    </row>
    <row r="78" spans="1:16">
      <c r="F78" s="222"/>
    </row>
    <row r="79" spans="1:16">
      <c r="F79" s="222"/>
    </row>
    <row r="80" spans="1:16">
      <c r="F80" s="222"/>
    </row>
    <row r="81" spans="6:6">
      <c r="F81" s="222"/>
    </row>
    <row r="82" spans="6:6">
      <c r="F82" s="222"/>
    </row>
    <row r="83" spans="6:6">
      <c r="F83" s="222"/>
    </row>
    <row r="84" spans="6:6">
      <c r="F84" s="222"/>
    </row>
    <row r="85" spans="6:6">
      <c r="F85" s="222"/>
    </row>
    <row r="86" spans="6:6">
      <c r="F86" s="222"/>
    </row>
    <row r="87" spans="6:6">
      <c r="F87" s="222"/>
    </row>
    <row r="88" spans="6:6">
      <c r="F88" s="222"/>
    </row>
    <row r="89" spans="6:6">
      <c r="F89" s="222"/>
    </row>
    <row r="90" spans="6:6">
      <c r="F90" s="222"/>
    </row>
    <row r="91" spans="6:6">
      <c r="F91" s="222"/>
    </row>
    <row r="92" spans="6:6">
      <c r="F92" s="222"/>
    </row>
    <row r="93" spans="6:6">
      <c r="F93" s="222"/>
    </row>
    <row r="94" spans="6:6">
      <c r="F94" s="222"/>
    </row>
    <row r="95" spans="6:6">
      <c r="F95" s="222"/>
    </row>
    <row r="96" spans="6:6">
      <c r="F96" s="222"/>
    </row>
    <row r="97" spans="6:6">
      <c r="F97" s="222"/>
    </row>
    <row r="98" spans="6:6">
      <c r="F98" s="222"/>
    </row>
    <row r="99" spans="6:6">
      <c r="F99" s="222"/>
    </row>
    <row r="100" spans="6:6">
      <c r="F100" s="222"/>
    </row>
    <row r="101" spans="6:6">
      <c r="F101" s="222"/>
    </row>
    <row r="102" spans="6:6">
      <c r="F102" s="222"/>
    </row>
    <row r="103" spans="6:6">
      <c r="F103" s="222"/>
    </row>
    <row r="104" spans="6:6">
      <c r="F104" s="222"/>
    </row>
    <row r="105" spans="6:6">
      <c r="F105" s="222"/>
    </row>
    <row r="106" spans="6:6">
      <c r="F106" s="222"/>
    </row>
    <row r="107" spans="6:6">
      <c r="F107" s="222"/>
    </row>
    <row r="108" spans="6:6">
      <c r="F108" s="222"/>
    </row>
    <row r="109" spans="6:6">
      <c r="F109" s="222"/>
    </row>
    <row r="110" spans="6:6">
      <c r="F110" s="222"/>
    </row>
    <row r="111" spans="6:6">
      <c r="F111" s="222"/>
    </row>
    <row r="112" spans="6:6">
      <c r="F112" s="222"/>
    </row>
    <row r="113" spans="6:6">
      <c r="F113" s="222"/>
    </row>
    <row r="114" spans="6:6">
      <c r="F114" s="222"/>
    </row>
    <row r="115" spans="6:6">
      <c r="F115" s="222"/>
    </row>
    <row r="116" spans="6:6">
      <c r="F116" s="222"/>
    </row>
    <row r="117" spans="6:6">
      <c r="F117" s="222"/>
    </row>
    <row r="118" spans="6:6">
      <c r="F118" s="222"/>
    </row>
    <row r="119" spans="6:6">
      <c r="F119" s="222"/>
    </row>
    <row r="120" spans="6:6">
      <c r="F120" s="222"/>
    </row>
    <row r="121" spans="6:6">
      <c r="F121" s="222"/>
    </row>
    <row r="122" spans="6:6">
      <c r="F122" s="222"/>
    </row>
    <row r="123" spans="6:6">
      <c r="F123" s="222"/>
    </row>
    <row r="124" spans="6:6">
      <c r="F124" s="222"/>
    </row>
    <row r="125" spans="6:6">
      <c r="F125" s="222"/>
    </row>
    <row r="126" spans="6:6">
      <c r="F126" s="222"/>
    </row>
    <row r="127" spans="6:6">
      <c r="F127" s="222"/>
    </row>
    <row r="128" spans="6:6">
      <c r="F128" s="222"/>
    </row>
    <row r="129" spans="6:6">
      <c r="F129" s="222"/>
    </row>
    <row r="130" spans="6:6">
      <c r="F130" s="222"/>
    </row>
    <row r="131" spans="6:6">
      <c r="F131" s="222"/>
    </row>
    <row r="132" spans="6:6">
      <c r="F132" s="222"/>
    </row>
    <row r="133" spans="6:6">
      <c r="F133" s="222"/>
    </row>
    <row r="134" spans="6:6">
      <c r="F134" s="222"/>
    </row>
    <row r="135" spans="6:6">
      <c r="F135" s="222"/>
    </row>
    <row r="136" spans="6:6">
      <c r="F136" s="222"/>
    </row>
    <row r="137" spans="6:6">
      <c r="F137" s="222"/>
    </row>
    <row r="138" spans="6:6">
      <c r="F138" s="222"/>
    </row>
    <row r="139" spans="6:6">
      <c r="F139" s="222"/>
    </row>
    <row r="140" spans="6:6">
      <c r="F140" s="222"/>
    </row>
    <row r="141" spans="6:6">
      <c r="F141" s="222"/>
    </row>
    <row r="142" spans="6:6">
      <c r="F142" s="222"/>
    </row>
    <row r="143" spans="6:6">
      <c r="F143" s="222"/>
    </row>
    <row r="144" spans="6:6">
      <c r="F144" s="222"/>
    </row>
    <row r="145" spans="6:6">
      <c r="F145" s="222"/>
    </row>
    <row r="146" spans="6:6">
      <c r="F146" s="222"/>
    </row>
    <row r="147" spans="6:6">
      <c r="F147" s="222"/>
    </row>
    <row r="148" spans="6:6">
      <c r="F148" s="222"/>
    </row>
    <row r="149" spans="6:6">
      <c r="F149" s="222"/>
    </row>
    <row r="150" spans="6:6">
      <c r="F150" s="222"/>
    </row>
    <row r="151" spans="6:6">
      <c r="F151" s="222"/>
    </row>
    <row r="152" spans="6:6">
      <c r="F152" s="222"/>
    </row>
    <row r="153" spans="6:6">
      <c r="F153" s="222"/>
    </row>
    <row r="154" spans="6:6">
      <c r="F154" s="222"/>
    </row>
    <row r="155" spans="6:6">
      <c r="F155" s="222"/>
    </row>
    <row r="156" spans="6:6">
      <c r="F156" s="222"/>
    </row>
    <row r="157" spans="6:6">
      <c r="F157" s="222"/>
    </row>
    <row r="158" spans="6:6">
      <c r="F158" s="222"/>
    </row>
    <row r="159" spans="6:6">
      <c r="F159" s="222"/>
    </row>
    <row r="160" spans="6:6">
      <c r="F160" s="222"/>
    </row>
    <row r="161" spans="6:6">
      <c r="F161" s="222"/>
    </row>
    <row r="162" spans="6:6">
      <c r="F162" s="222"/>
    </row>
    <row r="163" spans="6:6">
      <c r="F163" s="222"/>
    </row>
    <row r="164" spans="6:6">
      <c r="F164" s="222"/>
    </row>
    <row r="165" spans="6:6">
      <c r="F165" s="222"/>
    </row>
    <row r="166" spans="6:6">
      <c r="F166" s="222"/>
    </row>
    <row r="167" spans="6:6">
      <c r="F167" s="222"/>
    </row>
    <row r="168" spans="6:6">
      <c r="F168" s="222"/>
    </row>
    <row r="169" spans="6:6">
      <c r="F169" s="222"/>
    </row>
    <row r="170" spans="6:6">
      <c r="F170" s="222"/>
    </row>
    <row r="171" spans="6:6">
      <c r="F171" s="222"/>
    </row>
    <row r="172" spans="6:6">
      <c r="F172" s="222"/>
    </row>
    <row r="173" spans="6:6">
      <c r="F173" s="222"/>
    </row>
    <row r="174" spans="6:6">
      <c r="F174" s="222"/>
    </row>
    <row r="175" spans="6:6">
      <c r="F175" s="222"/>
    </row>
    <row r="176" spans="6:6">
      <c r="F176" s="222"/>
    </row>
    <row r="177" spans="6:6">
      <c r="F177" s="222"/>
    </row>
    <row r="178" spans="6:6">
      <c r="F178" s="222"/>
    </row>
    <row r="179" spans="6:6">
      <c r="F179" s="222"/>
    </row>
    <row r="180" spans="6:6">
      <c r="F180" s="222"/>
    </row>
    <row r="181" spans="6:6">
      <c r="F181" s="222"/>
    </row>
    <row r="182" spans="6:6">
      <c r="F182" s="222"/>
    </row>
    <row r="183" spans="6:6">
      <c r="F183" s="222"/>
    </row>
    <row r="184" spans="6:6">
      <c r="F184" s="222"/>
    </row>
    <row r="185" spans="6:6">
      <c r="F185" s="222"/>
    </row>
    <row r="186" spans="6:6">
      <c r="F186" s="222"/>
    </row>
    <row r="187" spans="6:6">
      <c r="F187" s="222"/>
    </row>
    <row r="188" spans="6:6">
      <c r="F188" s="222"/>
    </row>
    <row r="189" spans="6:6">
      <c r="F189" s="222"/>
    </row>
    <row r="190" spans="6:6">
      <c r="F190" s="222"/>
    </row>
    <row r="191" spans="6:6">
      <c r="F191" s="222"/>
    </row>
    <row r="192" spans="6:6">
      <c r="F192" s="222"/>
    </row>
    <row r="193" spans="6:6">
      <c r="F193" s="222"/>
    </row>
    <row r="194" spans="6:6">
      <c r="F194" s="222"/>
    </row>
    <row r="195" spans="6:6">
      <c r="F195" s="222"/>
    </row>
    <row r="196" spans="6:6">
      <c r="F196" s="222"/>
    </row>
    <row r="197" spans="6:6">
      <c r="F197" s="222"/>
    </row>
    <row r="198" spans="6:6">
      <c r="F198" s="222"/>
    </row>
    <row r="199" spans="6:6">
      <c r="F199" s="222"/>
    </row>
    <row r="200" spans="6:6">
      <c r="F200" s="222"/>
    </row>
    <row r="201" spans="6:6">
      <c r="F201" s="222"/>
    </row>
    <row r="202" spans="6:6">
      <c r="F202" s="222"/>
    </row>
    <row r="203" spans="6:6">
      <c r="F203" s="222"/>
    </row>
    <row r="204" spans="6:6">
      <c r="F204" s="222"/>
    </row>
    <row r="205" spans="6:6">
      <c r="F205" s="222"/>
    </row>
    <row r="206" spans="6:6">
      <c r="F206" s="222"/>
    </row>
    <row r="207" spans="6:6">
      <c r="F207" s="222"/>
    </row>
    <row r="208" spans="6:6">
      <c r="F208" s="222"/>
    </row>
    <row r="209" spans="6:6">
      <c r="F209" s="222"/>
    </row>
    <row r="210" spans="6:6">
      <c r="F210" s="222"/>
    </row>
    <row r="211" spans="6:6">
      <c r="F211" s="222"/>
    </row>
    <row r="212" spans="6:6">
      <c r="F212" s="222"/>
    </row>
    <row r="213" spans="6:6">
      <c r="F213" s="222"/>
    </row>
    <row r="214" spans="6:6">
      <c r="F214" s="222"/>
    </row>
    <row r="215" spans="6:6">
      <c r="F215" s="222"/>
    </row>
    <row r="216" spans="6:6">
      <c r="F216" s="222"/>
    </row>
    <row r="217" spans="6:6">
      <c r="F217" s="222"/>
    </row>
    <row r="218" spans="6:6">
      <c r="F218" s="222"/>
    </row>
    <row r="219" spans="6:6">
      <c r="F219" s="222"/>
    </row>
    <row r="220" spans="6:6">
      <c r="F220" s="222"/>
    </row>
    <row r="221" spans="6:6">
      <c r="F221" s="222"/>
    </row>
    <row r="222" spans="6:6">
      <c r="F222" s="222"/>
    </row>
    <row r="223" spans="6:6">
      <c r="F223" s="222"/>
    </row>
    <row r="224" spans="6:6">
      <c r="F224" s="222"/>
    </row>
    <row r="225" spans="6:6">
      <c r="F225" s="222"/>
    </row>
    <row r="226" spans="6:6">
      <c r="F226" s="222"/>
    </row>
    <row r="227" spans="6:6">
      <c r="F227" s="222"/>
    </row>
    <row r="228" spans="6:6">
      <c r="F228" s="222"/>
    </row>
    <row r="229" spans="6:6">
      <c r="F229" s="222"/>
    </row>
    <row r="230" spans="6:6">
      <c r="F230" s="222"/>
    </row>
    <row r="231" spans="6:6">
      <c r="F231" s="222"/>
    </row>
    <row r="232" spans="6:6">
      <c r="F232" s="222"/>
    </row>
    <row r="233" spans="6:6">
      <c r="F233" s="222"/>
    </row>
    <row r="234" spans="6:6">
      <c r="F234" s="222"/>
    </row>
    <row r="235" spans="6:6">
      <c r="F235" s="222"/>
    </row>
    <row r="236" spans="6:6">
      <c r="F236" s="222"/>
    </row>
    <row r="237" spans="6:6">
      <c r="F237" s="222"/>
    </row>
    <row r="238" spans="6:6">
      <c r="F238" s="222"/>
    </row>
    <row r="239" spans="6:6">
      <c r="F239" s="222"/>
    </row>
    <row r="240" spans="6:6">
      <c r="F240" s="222"/>
    </row>
    <row r="241" spans="6:6">
      <c r="F241" s="222"/>
    </row>
    <row r="242" spans="6:6">
      <c r="F242" s="222"/>
    </row>
    <row r="243" spans="6:6">
      <c r="F243" s="222"/>
    </row>
    <row r="244" spans="6:6">
      <c r="F244" s="222"/>
    </row>
    <row r="245" spans="6:6">
      <c r="F245" s="222"/>
    </row>
    <row r="246" spans="6:6">
      <c r="F246" s="222"/>
    </row>
    <row r="247" spans="6:6">
      <c r="F247" s="222"/>
    </row>
    <row r="248" spans="6:6">
      <c r="F248" s="222"/>
    </row>
    <row r="249" spans="6:6">
      <c r="F249" s="222"/>
    </row>
    <row r="250" spans="6:6">
      <c r="F250" s="222"/>
    </row>
    <row r="251" spans="6:6">
      <c r="F251" s="222"/>
    </row>
    <row r="252" spans="6:6">
      <c r="F252" s="222"/>
    </row>
    <row r="253" spans="6:6">
      <c r="F253" s="222"/>
    </row>
    <row r="254" spans="6:6">
      <c r="F254" s="222"/>
    </row>
    <row r="255" spans="6:6">
      <c r="F255" s="222"/>
    </row>
    <row r="256" spans="6:6">
      <c r="F256" s="222"/>
    </row>
    <row r="257" spans="6:6">
      <c r="F257" s="222"/>
    </row>
    <row r="258" spans="6:6">
      <c r="F258" s="222"/>
    </row>
    <row r="259" spans="6:6">
      <c r="F259" s="222"/>
    </row>
    <row r="260" spans="6:6">
      <c r="F260" s="222"/>
    </row>
    <row r="261" spans="6:6">
      <c r="F261" s="222"/>
    </row>
    <row r="262" spans="6:6">
      <c r="F262" s="222"/>
    </row>
    <row r="263" spans="6:6">
      <c r="F263" s="222"/>
    </row>
    <row r="264" spans="6:6">
      <c r="F264" s="222"/>
    </row>
    <row r="265" spans="6:6">
      <c r="F265" s="222"/>
    </row>
    <row r="266" spans="6:6">
      <c r="F266" s="222"/>
    </row>
    <row r="267" spans="6:6">
      <c r="F267" s="222"/>
    </row>
    <row r="268" spans="6:6">
      <c r="F268" s="222"/>
    </row>
    <row r="269" spans="6:6">
      <c r="F269" s="222"/>
    </row>
    <row r="270" spans="6:6">
      <c r="F270" s="222"/>
    </row>
    <row r="271" spans="6:6">
      <c r="F271" s="222"/>
    </row>
    <row r="272" spans="6:6">
      <c r="F272" s="222"/>
    </row>
    <row r="273" spans="6:6">
      <c r="F273" s="222"/>
    </row>
    <row r="274" spans="6:6">
      <c r="F274" s="222"/>
    </row>
    <row r="275" spans="6:6">
      <c r="F275" s="222"/>
    </row>
    <row r="276" spans="6:6">
      <c r="F276" s="222"/>
    </row>
    <row r="277" spans="6:6">
      <c r="F277" s="222"/>
    </row>
    <row r="278" spans="6:6">
      <c r="F278" s="222"/>
    </row>
    <row r="279" spans="6:6">
      <c r="F279" s="222"/>
    </row>
    <row r="280" spans="6:6">
      <c r="F280" s="222"/>
    </row>
    <row r="281" spans="6:6">
      <c r="F281" s="222"/>
    </row>
    <row r="282" spans="6:6">
      <c r="F282" s="222"/>
    </row>
    <row r="283" spans="6:6">
      <c r="F283" s="222"/>
    </row>
    <row r="284" spans="6:6">
      <c r="F284" s="222"/>
    </row>
    <row r="285" spans="6:6">
      <c r="F285" s="222"/>
    </row>
    <row r="286" spans="6:6">
      <c r="F286" s="222"/>
    </row>
    <row r="287" spans="6:6">
      <c r="F287" s="222"/>
    </row>
    <row r="288" spans="6:6">
      <c r="F288" s="222"/>
    </row>
    <row r="289" spans="6:6">
      <c r="F289" s="222"/>
    </row>
    <row r="290" spans="6:6">
      <c r="F290" s="222"/>
    </row>
    <row r="291" spans="6:6">
      <c r="F291" s="222"/>
    </row>
    <row r="292" spans="6:6">
      <c r="F292" s="222"/>
    </row>
    <row r="293" spans="6:6">
      <c r="F293" s="222"/>
    </row>
    <row r="294" spans="6:6">
      <c r="F294" s="222"/>
    </row>
    <row r="295" spans="6:6">
      <c r="F295" s="222"/>
    </row>
    <row r="296" spans="6:6">
      <c r="F296" s="222"/>
    </row>
    <row r="297" spans="6:6">
      <c r="F297" s="222"/>
    </row>
    <row r="298" spans="6:6">
      <c r="F298" s="222"/>
    </row>
    <row r="299" spans="6:6">
      <c r="F299" s="222"/>
    </row>
    <row r="300" spans="6:6">
      <c r="F300" s="222"/>
    </row>
    <row r="301" spans="6:6">
      <c r="F301" s="222"/>
    </row>
    <row r="302" spans="6:6">
      <c r="F302" s="222"/>
    </row>
    <row r="303" spans="6:6">
      <c r="F303" s="222"/>
    </row>
    <row r="304" spans="6:6">
      <c r="F304" s="222"/>
    </row>
    <row r="305" spans="6:6">
      <c r="F305" s="222"/>
    </row>
    <row r="306" spans="6:6">
      <c r="F306" s="222"/>
    </row>
    <row r="307" spans="6:6">
      <c r="F307" s="222"/>
    </row>
    <row r="308" spans="6:6">
      <c r="F308" s="222"/>
    </row>
    <row r="309" spans="6:6">
      <c r="F309" s="222"/>
    </row>
    <row r="310" spans="6:6">
      <c r="F310" s="222"/>
    </row>
    <row r="311" spans="6:6">
      <c r="F311" s="222"/>
    </row>
    <row r="312" spans="6:6">
      <c r="F312" s="222"/>
    </row>
    <row r="313" spans="6:6">
      <c r="F313" s="222"/>
    </row>
    <row r="314" spans="6:6">
      <c r="F314" s="222"/>
    </row>
    <row r="315" spans="6:6">
      <c r="F315" s="222"/>
    </row>
    <row r="316" spans="6:6">
      <c r="F316" s="222"/>
    </row>
    <row r="317" spans="6:6">
      <c r="F317" s="222"/>
    </row>
    <row r="318" spans="6:6">
      <c r="F318" s="222"/>
    </row>
    <row r="319" spans="6:6">
      <c r="F319" s="222"/>
    </row>
    <row r="320" spans="6:6">
      <c r="F320" s="222"/>
    </row>
    <row r="321" spans="6:6">
      <c r="F321" s="222"/>
    </row>
    <row r="322" spans="6:6">
      <c r="F322" s="222"/>
    </row>
    <row r="323" spans="6:6">
      <c r="F323" s="222"/>
    </row>
    <row r="324" spans="6:6">
      <c r="F324" s="222"/>
    </row>
    <row r="325" spans="6:6">
      <c r="F325" s="222"/>
    </row>
    <row r="326" spans="6:6">
      <c r="F326" s="222"/>
    </row>
    <row r="327" spans="6:6">
      <c r="F327" s="222"/>
    </row>
    <row r="328" spans="6:6">
      <c r="F328" s="222"/>
    </row>
    <row r="329" spans="6:6">
      <c r="F329" s="222"/>
    </row>
    <row r="330" spans="6:6">
      <c r="F330" s="222"/>
    </row>
    <row r="331" spans="6:6">
      <c r="F331" s="222"/>
    </row>
    <row r="332" spans="6:6">
      <c r="F332" s="222"/>
    </row>
    <row r="333" spans="6:6">
      <c r="F333" s="222"/>
    </row>
    <row r="334" spans="6:6">
      <c r="F334" s="222"/>
    </row>
    <row r="335" spans="6:6">
      <c r="F335" s="222"/>
    </row>
    <row r="336" spans="6:6">
      <c r="F336" s="222"/>
    </row>
    <row r="337" spans="6:6">
      <c r="F337" s="222"/>
    </row>
    <row r="338" spans="6:6">
      <c r="F338" s="222"/>
    </row>
    <row r="339" spans="6:6">
      <c r="F339" s="222"/>
    </row>
    <row r="340" spans="6:6">
      <c r="F340" s="222"/>
    </row>
    <row r="341" spans="6:6">
      <c r="F341" s="222"/>
    </row>
    <row r="342" spans="6:6">
      <c r="F342" s="222"/>
    </row>
    <row r="343" spans="6:6">
      <c r="F343" s="222"/>
    </row>
    <row r="344" spans="6:6">
      <c r="F344" s="222"/>
    </row>
    <row r="345" spans="6:6">
      <c r="F345" s="222"/>
    </row>
    <row r="346" spans="6:6">
      <c r="F346" s="222"/>
    </row>
    <row r="347" spans="6:6">
      <c r="F347" s="222"/>
    </row>
    <row r="348" spans="6:6">
      <c r="F348" s="222"/>
    </row>
    <row r="349" spans="6:6">
      <c r="F349" s="222"/>
    </row>
    <row r="350" spans="6:6">
      <c r="F350" s="222"/>
    </row>
    <row r="351" spans="6:6">
      <c r="F351" s="222"/>
    </row>
    <row r="352" spans="6:6">
      <c r="F352" s="222"/>
    </row>
    <row r="353" spans="6:6">
      <c r="F353" s="222"/>
    </row>
    <row r="354" spans="6:6">
      <c r="F354" s="222"/>
    </row>
    <row r="355" spans="6:6">
      <c r="F355" s="222"/>
    </row>
    <row r="356" spans="6:6">
      <c r="F356" s="222"/>
    </row>
    <row r="357" spans="6:6">
      <c r="F357" s="222"/>
    </row>
    <row r="358" spans="6:6">
      <c r="F358" s="222"/>
    </row>
    <row r="359" spans="6:6">
      <c r="F359" s="222"/>
    </row>
    <row r="360" spans="6:6">
      <c r="F360" s="222"/>
    </row>
    <row r="361" spans="6:6">
      <c r="F361" s="222"/>
    </row>
    <row r="362" spans="6:6">
      <c r="F362" s="222"/>
    </row>
    <row r="363" spans="6:6">
      <c r="F363" s="222"/>
    </row>
    <row r="364" spans="6:6">
      <c r="F364" s="222"/>
    </row>
    <row r="365" spans="6:6">
      <c r="F365" s="222"/>
    </row>
    <row r="366" spans="6:6">
      <c r="F366" s="222"/>
    </row>
    <row r="367" spans="6:6">
      <c r="F367" s="222"/>
    </row>
    <row r="368" spans="6:6">
      <c r="F368" s="222"/>
    </row>
    <row r="369" spans="6:6">
      <c r="F369" s="222"/>
    </row>
    <row r="370" spans="6:6">
      <c r="F370" s="222"/>
    </row>
    <row r="371" spans="6:6">
      <c r="F371" s="222"/>
    </row>
    <row r="372" spans="6:6">
      <c r="F372" s="222"/>
    </row>
    <row r="373" spans="6:6">
      <c r="F373" s="222"/>
    </row>
    <row r="374" spans="6:6">
      <c r="F374" s="222"/>
    </row>
    <row r="375" spans="6:6">
      <c r="F375" s="222"/>
    </row>
    <row r="376" spans="6:6">
      <c r="F376" s="222"/>
    </row>
    <row r="377" spans="6:6">
      <c r="F377" s="222"/>
    </row>
    <row r="378" spans="6:6">
      <c r="F378" s="222"/>
    </row>
    <row r="379" spans="6:6">
      <c r="F379" s="222"/>
    </row>
    <row r="380" spans="6:6">
      <c r="F380" s="222"/>
    </row>
    <row r="381" spans="6:6">
      <c r="F381" s="222"/>
    </row>
    <row r="382" spans="6:6">
      <c r="F382" s="222"/>
    </row>
    <row r="383" spans="6:6">
      <c r="F383" s="222"/>
    </row>
    <row r="384" spans="6:6">
      <c r="F384" s="222"/>
    </row>
    <row r="385" spans="6:6">
      <c r="F385" s="222"/>
    </row>
    <row r="386" spans="6:6">
      <c r="F386" s="222"/>
    </row>
    <row r="387" spans="6:6">
      <c r="F387" s="222"/>
    </row>
    <row r="388" spans="6:6">
      <c r="F388" s="222"/>
    </row>
    <row r="389" spans="6:6">
      <c r="F389" s="222"/>
    </row>
    <row r="390" spans="6:6">
      <c r="F390" s="222"/>
    </row>
    <row r="391" spans="6:6">
      <c r="F391" s="222"/>
    </row>
    <row r="392" spans="6:6">
      <c r="F392" s="222"/>
    </row>
    <row r="393" spans="6:6">
      <c r="F393" s="222"/>
    </row>
    <row r="394" spans="6:6">
      <c r="F394" s="222"/>
    </row>
    <row r="395" spans="6:6">
      <c r="F395" s="222"/>
    </row>
    <row r="396" spans="6:6">
      <c r="F396" s="222"/>
    </row>
    <row r="397" spans="6:6">
      <c r="F397" s="222"/>
    </row>
    <row r="398" spans="6:6">
      <c r="F398" s="222"/>
    </row>
    <row r="399" spans="6:6">
      <c r="F399" s="222"/>
    </row>
    <row r="400" spans="6:6">
      <c r="F400" s="222"/>
    </row>
    <row r="401" spans="6:6">
      <c r="F401" s="222"/>
    </row>
    <row r="402" spans="6:6">
      <c r="F402" s="222"/>
    </row>
    <row r="403" spans="6:6">
      <c r="F403" s="222"/>
    </row>
    <row r="404" spans="6:6">
      <c r="F404" s="222"/>
    </row>
    <row r="405" spans="6:6">
      <c r="F405" s="222"/>
    </row>
    <row r="406" spans="6:6">
      <c r="F406" s="222"/>
    </row>
    <row r="407" spans="6:6">
      <c r="F407" s="222"/>
    </row>
    <row r="408" spans="6:6">
      <c r="F408" s="222"/>
    </row>
    <row r="409" spans="6:6">
      <c r="F409" s="222"/>
    </row>
    <row r="410" spans="6:6">
      <c r="F410" s="222"/>
    </row>
    <row r="411" spans="6:6">
      <c r="F411" s="222"/>
    </row>
    <row r="412" spans="6:6">
      <c r="F412" s="222"/>
    </row>
    <row r="413" spans="6:6">
      <c r="F413" s="222"/>
    </row>
    <row r="414" spans="6:6">
      <c r="F414" s="222"/>
    </row>
    <row r="415" spans="6:6">
      <c r="F415" s="222"/>
    </row>
    <row r="416" spans="6:6">
      <c r="F416" s="222"/>
    </row>
    <row r="417" spans="6:6">
      <c r="F417" s="222"/>
    </row>
    <row r="418" spans="6:6">
      <c r="F418" s="222"/>
    </row>
    <row r="419" spans="6:6">
      <c r="F419" s="222"/>
    </row>
    <row r="420" spans="6:6">
      <c r="F420" s="222"/>
    </row>
    <row r="421" spans="6:6">
      <c r="F421" s="222"/>
    </row>
    <row r="422" spans="6:6">
      <c r="F422" s="222"/>
    </row>
    <row r="423" spans="6:6">
      <c r="F423" s="222"/>
    </row>
    <row r="424" spans="6:6">
      <c r="F424" s="222"/>
    </row>
    <row r="425" spans="6:6">
      <c r="F425" s="222"/>
    </row>
    <row r="426" spans="6:6">
      <c r="F426" s="222"/>
    </row>
    <row r="427" spans="6:6">
      <c r="F427" s="222"/>
    </row>
    <row r="428" spans="6:6">
      <c r="F428" s="222"/>
    </row>
    <row r="429" spans="6:6">
      <c r="F429" s="222"/>
    </row>
    <row r="430" spans="6:6">
      <c r="F430" s="222"/>
    </row>
    <row r="431" spans="6:6">
      <c r="F431" s="222"/>
    </row>
    <row r="432" spans="6:6">
      <c r="F432" s="222"/>
    </row>
    <row r="433" spans="6:6">
      <c r="F433" s="222"/>
    </row>
    <row r="434" spans="6:6">
      <c r="F434" s="222"/>
    </row>
    <row r="435" spans="6:6">
      <c r="F435" s="222"/>
    </row>
    <row r="436" spans="6:6">
      <c r="F436" s="222"/>
    </row>
    <row r="437" spans="6:6">
      <c r="F437" s="222"/>
    </row>
    <row r="438" spans="6:6">
      <c r="F438" s="222"/>
    </row>
    <row r="439" spans="6:6">
      <c r="F439" s="222"/>
    </row>
    <row r="440" spans="6:6">
      <c r="F440" s="222"/>
    </row>
    <row r="441" spans="6:6">
      <c r="F441" s="222"/>
    </row>
    <row r="442" spans="6:6">
      <c r="F442" s="222"/>
    </row>
    <row r="443" spans="6:6">
      <c r="F443" s="222"/>
    </row>
    <row r="444" spans="6:6">
      <c r="F444" s="222"/>
    </row>
    <row r="445" spans="6:6">
      <c r="F445" s="222"/>
    </row>
    <row r="446" spans="6:6">
      <c r="F446" s="222"/>
    </row>
    <row r="447" spans="6:6">
      <c r="F447" s="222"/>
    </row>
    <row r="448" spans="6:6">
      <c r="F448" s="222"/>
    </row>
    <row r="449" spans="6:6">
      <c r="F449" s="222"/>
    </row>
    <row r="450" spans="6:6">
      <c r="F450" s="222"/>
    </row>
    <row r="451" spans="6:6">
      <c r="F451" s="222"/>
    </row>
    <row r="452" spans="6:6">
      <c r="F452" s="222"/>
    </row>
    <row r="453" spans="6:6">
      <c r="F453" s="222"/>
    </row>
    <row r="454" spans="6:6">
      <c r="F454" s="222"/>
    </row>
    <row r="455" spans="6:6">
      <c r="F455" s="222"/>
    </row>
    <row r="456" spans="6:6">
      <c r="F456" s="222"/>
    </row>
    <row r="457" spans="6:6">
      <c r="F457" s="222"/>
    </row>
    <row r="458" spans="6:6">
      <c r="F458" s="222"/>
    </row>
    <row r="459" spans="6:6">
      <c r="F459" s="222"/>
    </row>
    <row r="460" spans="6:6">
      <c r="F460" s="222"/>
    </row>
    <row r="461" spans="6:6">
      <c r="F461" s="222"/>
    </row>
    <row r="462" spans="6:6">
      <c r="F462" s="222"/>
    </row>
    <row r="463" spans="6:6">
      <c r="F463" s="222"/>
    </row>
    <row r="464" spans="6:6">
      <c r="F464" s="222"/>
    </row>
    <row r="465" spans="6:6">
      <c r="F465" s="222"/>
    </row>
    <row r="466" spans="6:6">
      <c r="F466" s="222"/>
    </row>
    <row r="467" spans="6:6">
      <c r="F467" s="222"/>
    </row>
    <row r="468" spans="6:6">
      <c r="F468" s="222"/>
    </row>
    <row r="469" spans="6:6">
      <c r="F469" s="222"/>
    </row>
    <row r="470" spans="6:6">
      <c r="F470" s="222"/>
    </row>
    <row r="471" spans="6:6">
      <c r="F471" s="222"/>
    </row>
    <row r="472" spans="6:6">
      <c r="F472" s="222"/>
    </row>
    <row r="473" spans="6:6">
      <c r="F473" s="222"/>
    </row>
    <row r="474" spans="6:6">
      <c r="F474" s="222"/>
    </row>
    <row r="475" spans="6:6">
      <c r="F475" s="222"/>
    </row>
    <row r="476" spans="6:6">
      <c r="F476" s="222"/>
    </row>
    <row r="477" spans="6:6">
      <c r="F477" s="222"/>
    </row>
    <row r="478" spans="6:6">
      <c r="F478" s="222"/>
    </row>
    <row r="479" spans="6:6">
      <c r="F479" s="222"/>
    </row>
    <row r="480" spans="6:6">
      <c r="F480" s="222"/>
    </row>
    <row r="481" spans="6:6">
      <c r="F481" s="222"/>
    </row>
    <row r="482" spans="6:6">
      <c r="F482" s="222"/>
    </row>
    <row r="483" spans="6:6">
      <c r="F483" s="222"/>
    </row>
    <row r="484" spans="6:6">
      <c r="F484" s="222"/>
    </row>
    <row r="485" spans="6:6">
      <c r="F485" s="222"/>
    </row>
    <row r="486" spans="6:6">
      <c r="F486" s="222"/>
    </row>
    <row r="487" spans="6:6">
      <c r="F487" s="222"/>
    </row>
    <row r="488" spans="6:6">
      <c r="F488" s="222"/>
    </row>
    <row r="489" spans="6:6">
      <c r="F489" s="222"/>
    </row>
    <row r="490" spans="6:6">
      <c r="F490" s="222"/>
    </row>
    <row r="491" spans="6:6">
      <c r="F491" s="222"/>
    </row>
    <row r="492" spans="6:6">
      <c r="F492" s="222"/>
    </row>
    <row r="493" spans="6:6">
      <c r="F493" s="222"/>
    </row>
    <row r="494" spans="6:6">
      <c r="F494" s="222"/>
    </row>
    <row r="495" spans="6:6">
      <c r="F495" s="222"/>
    </row>
    <row r="496" spans="6:6">
      <c r="F496" s="222"/>
    </row>
    <row r="497" spans="6:6">
      <c r="F497" s="222"/>
    </row>
    <row r="498" spans="6:6">
      <c r="F498" s="222"/>
    </row>
    <row r="499" spans="6:6">
      <c r="F499" s="222"/>
    </row>
    <row r="500" spans="6:6">
      <c r="F500" s="222"/>
    </row>
    <row r="501" spans="6:6">
      <c r="F501" s="222"/>
    </row>
    <row r="502" spans="6:6">
      <c r="F502" s="222"/>
    </row>
    <row r="503" spans="6:6">
      <c r="F503" s="222"/>
    </row>
    <row r="504" spans="6:6">
      <c r="F504" s="222"/>
    </row>
    <row r="505" spans="6:6">
      <c r="F505" s="222"/>
    </row>
    <row r="506" spans="6:6">
      <c r="F506" s="222"/>
    </row>
    <row r="507" spans="6:6">
      <c r="F507" s="222"/>
    </row>
    <row r="508" spans="6:6">
      <c r="F508" s="222"/>
    </row>
    <row r="509" spans="6:6">
      <c r="F509" s="222"/>
    </row>
    <row r="510" spans="6:6">
      <c r="F510" s="222"/>
    </row>
    <row r="511" spans="6:6">
      <c r="F511" s="222"/>
    </row>
    <row r="512" spans="6:6">
      <c r="F512" s="222"/>
    </row>
    <row r="513" spans="6:6">
      <c r="F513" s="222"/>
    </row>
    <row r="514" spans="6:6">
      <c r="F514" s="222"/>
    </row>
    <row r="515" spans="6:6">
      <c r="F515" s="222"/>
    </row>
    <row r="516" spans="6:6">
      <c r="F516" s="222"/>
    </row>
    <row r="517" spans="6:6">
      <c r="F517" s="222"/>
    </row>
    <row r="518" spans="6:6">
      <c r="F518" s="222"/>
    </row>
    <row r="519" spans="6:6">
      <c r="F519" s="222"/>
    </row>
    <row r="520" spans="6:6">
      <c r="F520" s="222"/>
    </row>
    <row r="521" spans="6:6">
      <c r="F521" s="222"/>
    </row>
    <row r="522" spans="6:6">
      <c r="F522" s="222"/>
    </row>
    <row r="523" spans="6:6">
      <c r="F523" s="222"/>
    </row>
    <row r="524" spans="6:6">
      <c r="F524" s="222"/>
    </row>
    <row r="525" spans="6:6">
      <c r="F525" s="222"/>
    </row>
    <row r="526" spans="6:6">
      <c r="F526" s="222"/>
    </row>
    <row r="527" spans="6:6">
      <c r="F527" s="222"/>
    </row>
    <row r="528" spans="6:6">
      <c r="F528" s="222"/>
    </row>
    <row r="529" spans="6:6">
      <c r="F529" s="222"/>
    </row>
    <row r="530" spans="6:6">
      <c r="F530" s="222"/>
    </row>
    <row r="531" spans="6:6">
      <c r="F531" s="222"/>
    </row>
    <row r="532" spans="6:6">
      <c r="F532" s="222"/>
    </row>
    <row r="533" spans="6:6">
      <c r="F533" s="222"/>
    </row>
    <row r="534" spans="6:6">
      <c r="F534" s="222"/>
    </row>
    <row r="535" spans="6:6">
      <c r="F535" s="222"/>
    </row>
    <row r="536" spans="6:6">
      <c r="F536" s="222"/>
    </row>
    <row r="537" spans="6:6">
      <c r="F537" s="222"/>
    </row>
    <row r="538" spans="6:6">
      <c r="F538" s="222"/>
    </row>
    <row r="539" spans="6:6">
      <c r="F539" s="222"/>
    </row>
    <row r="540" spans="6:6">
      <c r="F540" s="222"/>
    </row>
    <row r="541" spans="6:6">
      <c r="F541" s="222"/>
    </row>
    <row r="542" spans="6:6">
      <c r="F542" s="222"/>
    </row>
    <row r="543" spans="6:6">
      <c r="F543" s="222"/>
    </row>
    <row r="544" spans="6:6">
      <c r="F544" s="222"/>
    </row>
    <row r="545" spans="6:6">
      <c r="F545" s="222"/>
    </row>
    <row r="546" spans="6:6">
      <c r="F546" s="222"/>
    </row>
    <row r="547" spans="6:6">
      <c r="F547" s="222"/>
    </row>
    <row r="548" spans="6:6">
      <c r="F548" s="222"/>
    </row>
    <row r="549" spans="6:6">
      <c r="F549" s="222"/>
    </row>
    <row r="550" spans="6:6">
      <c r="F550" s="222"/>
    </row>
    <row r="551" spans="6:6">
      <c r="F551" s="222"/>
    </row>
    <row r="552" spans="6:6">
      <c r="F552" s="222"/>
    </row>
    <row r="553" spans="6:6">
      <c r="F553" s="222"/>
    </row>
    <row r="554" spans="6:6">
      <c r="F554" s="222"/>
    </row>
    <row r="555" spans="6:6">
      <c r="F555" s="222"/>
    </row>
    <row r="556" spans="6:6">
      <c r="F556" s="222"/>
    </row>
    <row r="557" spans="6:6">
      <c r="F557" s="222"/>
    </row>
    <row r="558" spans="6:6">
      <c r="F558" s="222"/>
    </row>
    <row r="559" spans="6:6">
      <c r="F559" s="222"/>
    </row>
    <row r="560" spans="6:6">
      <c r="F560" s="222"/>
    </row>
    <row r="561" spans="6:6">
      <c r="F561" s="222"/>
    </row>
    <row r="562" spans="6:6">
      <c r="F562" s="222"/>
    </row>
    <row r="563" spans="6:6">
      <c r="F563" s="222"/>
    </row>
    <row r="564" spans="6:6">
      <c r="F564" s="222"/>
    </row>
    <row r="565" spans="6:6">
      <c r="F565" s="222"/>
    </row>
    <row r="566" spans="6:6">
      <c r="F566" s="222"/>
    </row>
    <row r="567" spans="6:6">
      <c r="F567" s="222"/>
    </row>
    <row r="568" spans="6:6">
      <c r="F568" s="222"/>
    </row>
    <row r="569" spans="6:6">
      <c r="F569" s="222"/>
    </row>
    <row r="570" spans="6:6">
      <c r="F570" s="222"/>
    </row>
    <row r="571" spans="6:6">
      <c r="F571" s="222"/>
    </row>
    <row r="572" spans="6:6">
      <c r="F572" s="222"/>
    </row>
    <row r="573" spans="6:6">
      <c r="F573" s="222"/>
    </row>
    <row r="574" spans="6:6">
      <c r="F574" s="222"/>
    </row>
    <row r="575" spans="6:6">
      <c r="F575" s="222"/>
    </row>
    <row r="576" spans="6:6">
      <c r="F576" s="222"/>
    </row>
    <row r="577" spans="6:6">
      <c r="F577" s="222"/>
    </row>
    <row r="578" spans="6:6">
      <c r="F578" s="222"/>
    </row>
    <row r="579" spans="6:6">
      <c r="F579" s="222"/>
    </row>
    <row r="580" spans="6:6">
      <c r="F580" s="222"/>
    </row>
    <row r="581" spans="6:6">
      <c r="F581" s="222"/>
    </row>
    <row r="582" spans="6:6">
      <c r="F582" s="222"/>
    </row>
    <row r="583" spans="6:6">
      <c r="F583" s="222"/>
    </row>
    <row r="584" spans="6:6">
      <c r="F584" s="222"/>
    </row>
    <row r="585" spans="6:6">
      <c r="F585" s="222"/>
    </row>
    <row r="586" spans="6:6">
      <c r="F586" s="222"/>
    </row>
    <row r="587" spans="6:6">
      <c r="F587" s="222"/>
    </row>
    <row r="588" spans="6:6">
      <c r="F588" s="222"/>
    </row>
    <row r="589" spans="6:6">
      <c r="F589" s="222"/>
    </row>
    <row r="590" spans="6:6">
      <c r="F590" s="222"/>
    </row>
    <row r="591" spans="6:6">
      <c r="F591" s="222"/>
    </row>
    <row r="592" spans="6:6">
      <c r="F592" s="222"/>
    </row>
    <row r="593" spans="6:6">
      <c r="F593" s="222"/>
    </row>
    <row r="594" spans="6:6">
      <c r="F594" s="222"/>
    </row>
    <row r="595" spans="6:6">
      <c r="F595" s="222"/>
    </row>
    <row r="596" spans="6:6">
      <c r="F596" s="222"/>
    </row>
    <row r="597" spans="6:6">
      <c r="F597" s="222"/>
    </row>
    <row r="598" spans="6:6">
      <c r="F598" s="222"/>
    </row>
    <row r="599" spans="6:6">
      <c r="F599" s="222"/>
    </row>
    <row r="600" spans="6:6">
      <c r="F600" s="222"/>
    </row>
    <row r="601" spans="6:6">
      <c r="F601" s="222"/>
    </row>
    <row r="602" spans="6:6">
      <c r="F602" s="222"/>
    </row>
    <row r="603" spans="6:6">
      <c r="F603" s="222"/>
    </row>
    <row r="604" spans="6:6">
      <c r="F604" s="222"/>
    </row>
    <row r="605" spans="6:6">
      <c r="F605" s="222"/>
    </row>
    <row r="606" spans="6:6">
      <c r="F606" s="222"/>
    </row>
    <row r="607" spans="6:6">
      <c r="F607" s="222"/>
    </row>
    <row r="608" spans="6:6">
      <c r="F608" s="222"/>
    </row>
    <row r="609" spans="6:6">
      <c r="F609" s="222"/>
    </row>
    <row r="610" spans="6:6">
      <c r="F610" s="222"/>
    </row>
    <row r="611" spans="6:6">
      <c r="F611" s="222"/>
    </row>
    <row r="612" spans="6:6">
      <c r="F612" s="222"/>
    </row>
    <row r="613" spans="6:6">
      <c r="F613" s="222"/>
    </row>
    <row r="614" spans="6:6">
      <c r="F614" s="222"/>
    </row>
    <row r="615" spans="6:6">
      <c r="F615" s="222"/>
    </row>
    <row r="616" spans="6:6">
      <c r="F616" s="222"/>
    </row>
    <row r="617" spans="6:6">
      <c r="F617" s="222"/>
    </row>
    <row r="618" spans="6:6">
      <c r="F618" s="222"/>
    </row>
    <row r="619" spans="6:6">
      <c r="F619" s="222"/>
    </row>
    <row r="620" spans="6:6">
      <c r="F620" s="222"/>
    </row>
    <row r="621" spans="6:6">
      <c r="F621" s="222"/>
    </row>
    <row r="622" spans="6:6">
      <c r="F622" s="222"/>
    </row>
    <row r="623" spans="6:6">
      <c r="F623" s="222"/>
    </row>
    <row r="624" spans="6:6">
      <c r="F624" s="222"/>
    </row>
    <row r="625" spans="6:6">
      <c r="F625" s="222"/>
    </row>
    <row r="626" spans="6:6">
      <c r="F626" s="222"/>
    </row>
    <row r="627" spans="6:6">
      <c r="F627" s="222"/>
    </row>
    <row r="628" spans="6:6">
      <c r="F628" s="222"/>
    </row>
    <row r="629" spans="6:6">
      <c r="F629" s="222"/>
    </row>
    <row r="630" spans="6:6">
      <c r="F630" s="222"/>
    </row>
    <row r="631" spans="6:6">
      <c r="F631" s="222"/>
    </row>
    <row r="632" spans="6:6">
      <c r="F632" s="222"/>
    </row>
    <row r="633" spans="6:6">
      <c r="F633" s="222"/>
    </row>
    <row r="634" spans="6:6">
      <c r="F634" s="222"/>
    </row>
    <row r="635" spans="6:6">
      <c r="F635" s="222"/>
    </row>
    <row r="636" spans="6:6">
      <c r="F636" s="222"/>
    </row>
    <row r="637" spans="6:6">
      <c r="F637" s="222"/>
    </row>
    <row r="638" spans="6:6">
      <c r="F638" s="222"/>
    </row>
    <row r="639" spans="6:6">
      <c r="F639" s="222"/>
    </row>
    <row r="640" spans="6:6">
      <c r="F640" s="222"/>
    </row>
    <row r="641" spans="6:6">
      <c r="F641" s="222"/>
    </row>
    <row r="642" spans="6:6">
      <c r="F642" s="222"/>
    </row>
    <row r="643" spans="6:6">
      <c r="F643" s="222"/>
    </row>
    <row r="644" spans="6:6">
      <c r="F644" s="222"/>
    </row>
    <row r="645" spans="6:6">
      <c r="F645" s="222"/>
    </row>
    <row r="646" spans="6:6">
      <c r="F646" s="222"/>
    </row>
    <row r="647" spans="6:6">
      <c r="F647" s="222"/>
    </row>
    <row r="648" spans="6:6">
      <c r="F648" s="222"/>
    </row>
    <row r="649" spans="6:6">
      <c r="F649" s="222"/>
    </row>
    <row r="650" spans="6:6">
      <c r="F650" s="222"/>
    </row>
    <row r="651" spans="6:6">
      <c r="F651" s="222"/>
    </row>
    <row r="652" spans="6:6">
      <c r="F652" s="222"/>
    </row>
    <row r="653" spans="6:6">
      <c r="F653" s="222"/>
    </row>
    <row r="654" spans="6:6">
      <c r="F654" s="222"/>
    </row>
    <row r="655" spans="6:6">
      <c r="F655" s="222"/>
    </row>
    <row r="656" spans="6:6">
      <c r="F656" s="222"/>
    </row>
    <row r="657" spans="6:6">
      <c r="F657" s="222"/>
    </row>
    <row r="658" spans="6:6">
      <c r="F658" s="222"/>
    </row>
    <row r="659" spans="6:6">
      <c r="F659" s="222"/>
    </row>
    <row r="660" spans="6:6">
      <c r="F660" s="222"/>
    </row>
    <row r="661" spans="6:6">
      <c r="F661" s="222"/>
    </row>
    <row r="662" spans="6:6">
      <c r="F662" s="222"/>
    </row>
    <row r="663" spans="6:6">
      <c r="F663" s="222"/>
    </row>
    <row r="664" spans="6:6">
      <c r="F664" s="222"/>
    </row>
    <row r="665" spans="6:6">
      <c r="F665" s="222"/>
    </row>
    <row r="666" spans="6:6">
      <c r="F666" s="222"/>
    </row>
    <row r="667" spans="6:6">
      <c r="F667" s="222"/>
    </row>
    <row r="668" spans="6:6">
      <c r="F668" s="222"/>
    </row>
    <row r="669" spans="6:6">
      <c r="F669" s="222"/>
    </row>
    <row r="670" spans="6:6">
      <c r="F670" s="222"/>
    </row>
    <row r="671" spans="6:6">
      <c r="F671" s="222"/>
    </row>
    <row r="672" spans="6:6">
      <c r="F672" s="222"/>
    </row>
    <row r="673" spans="6:6">
      <c r="F673" s="222"/>
    </row>
    <row r="674" spans="6:6">
      <c r="F674" s="222"/>
    </row>
    <row r="675" spans="6:6">
      <c r="F675" s="222"/>
    </row>
    <row r="676" spans="6:6">
      <c r="F676" s="222"/>
    </row>
    <row r="677" spans="6:6">
      <c r="F677" s="222"/>
    </row>
    <row r="678" spans="6:6">
      <c r="F678" s="222"/>
    </row>
    <row r="679" spans="6:6">
      <c r="F679" s="222"/>
    </row>
    <row r="680" spans="6:6">
      <c r="F680" s="222"/>
    </row>
    <row r="681" spans="6:6">
      <c r="F681" s="222"/>
    </row>
    <row r="682" spans="6:6">
      <c r="F682" s="222"/>
    </row>
    <row r="683" spans="6:6">
      <c r="F683" s="222"/>
    </row>
    <row r="684" spans="6:6">
      <c r="F684" s="222"/>
    </row>
    <row r="685" spans="6:6">
      <c r="F685" s="222"/>
    </row>
    <row r="686" spans="6:6">
      <c r="F686" s="222"/>
    </row>
    <row r="687" spans="6:6">
      <c r="F687" s="222"/>
    </row>
    <row r="688" spans="6:6">
      <c r="F688" s="222"/>
    </row>
    <row r="689" spans="6:6">
      <c r="F689" s="222"/>
    </row>
    <row r="690" spans="6:6">
      <c r="F690" s="222"/>
    </row>
    <row r="691" spans="6:6">
      <c r="F691" s="222"/>
    </row>
    <row r="692" spans="6:6">
      <c r="F692" s="222"/>
    </row>
    <row r="693" spans="6:6">
      <c r="F693" s="222"/>
    </row>
    <row r="694" spans="6:6">
      <c r="F694" s="222"/>
    </row>
    <row r="695" spans="6:6">
      <c r="F695" s="222"/>
    </row>
    <row r="696" spans="6:6">
      <c r="F696" s="222"/>
    </row>
    <row r="697" spans="6:6">
      <c r="F697" s="222"/>
    </row>
    <row r="698" spans="6:6">
      <c r="F698" s="222"/>
    </row>
    <row r="699" spans="6:6">
      <c r="F699" s="222"/>
    </row>
    <row r="700" spans="6:6">
      <c r="F700" s="222"/>
    </row>
    <row r="701" spans="6:6">
      <c r="F701" s="222"/>
    </row>
    <row r="702" spans="6:6">
      <c r="F702" s="222"/>
    </row>
    <row r="703" spans="6:6">
      <c r="F703" s="222"/>
    </row>
    <row r="704" spans="6:6">
      <c r="F704" s="222"/>
    </row>
    <row r="705" spans="6:6">
      <c r="F705" s="222"/>
    </row>
    <row r="706" spans="6:6">
      <c r="F706" s="222"/>
    </row>
    <row r="707" spans="6:6">
      <c r="F707" s="222"/>
    </row>
    <row r="708" spans="6:6">
      <c r="F708" s="222"/>
    </row>
    <row r="709" spans="6:6">
      <c r="F709" s="222"/>
    </row>
    <row r="710" spans="6:6">
      <c r="F710" s="222"/>
    </row>
    <row r="711" spans="6:6">
      <c r="F711" s="222"/>
    </row>
    <row r="712" spans="6:6">
      <c r="F712" s="222"/>
    </row>
    <row r="713" spans="6:6">
      <c r="F713" s="222"/>
    </row>
    <row r="714" spans="6:6">
      <c r="F714" s="222"/>
    </row>
    <row r="715" spans="6:6">
      <c r="F715" s="222"/>
    </row>
    <row r="716" spans="6:6">
      <c r="F716" s="222"/>
    </row>
    <row r="717" spans="6:6">
      <c r="F717" s="222"/>
    </row>
    <row r="718" spans="6:6">
      <c r="F718" s="222"/>
    </row>
    <row r="719" spans="6:6">
      <c r="F719" s="222"/>
    </row>
    <row r="720" spans="6:6">
      <c r="F720" s="222"/>
    </row>
    <row r="721" spans="6:6">
      <c r="F721" s="222"/>
    </row>
    <row r="722" spans="6:6">
      <c r="F722" s="222"/>
    </row>
    <row r="723" spans="6:6">
      <c r="F723" s="222"/>
    </row>
    <row r="724" spans="6:6">
      <c r="F724" s="222"/>
    </row>
    <row r="725" spans="6:6">
      <c r="F725" s="222"/>
    </row>
    <row r="726" spans="6:6">
      <c r="F726" s="222"/>
    </row>
    <row r="727" spans="6:6">
      <c r="F727" s="222"/>
    </row>
    <row r="728" spans="6:6">
      <c r="F728" s="222"/>
    </row>
    <row r="729" spans="6:6">
      <c r="F729" s="222"/>
    </row>
    <row r="730" spans="6:6">
      <c r="F730" s="222"/>
    </row>
    <row r="731" spans="6:6">
      <c r="F731" s="222"/>
    </row>
    <row r="732" spans="6:6">
      <c r="F732" s="222"/>
    </row>
    <row r="733" spans="6:6">
      <c r="F733" s="222"/>
    </row>
    <row r="734" spans="6:6">
      <c r="F734" s="222"/>
    </row>
    <row r="735" spans="6:6">
      <c r="F735" s="222"/>
    </row>
    <row r="736" spans="6:6">
      <c r="F736" s="222"/>
    </row>
    <row r="737" spans="6:6">
      <c r="F737" s="222"/>
    </row>
    <row r="738" spans="6:6">
      <c r="F738" s="222"/>
    </row>
    <row r="739" spans="6:6">
      <c r="F739" s="222"/>
    </row>
    <row r="740" spans="6:6">
      <c r="F740" s="222"/>
    </row>
    <row r="741" spans="6:6">
      <c r="F741" s="222"/>
    </row>
    <row r="742" spans="6:6">
      <c r="F742" s="222"/>
    </row>
    <row r="743" spans="6:6">
      <c r="F743" s="222"/>
    </row>
    <row r="744" spans="6:6">
      <c r="F744" s="222"/>
    </row>
    <row r="745" spans="6:6">
      <c r="F745" s="222"/>
    </row>
    <row r="746" spans="6:6">
      <c r="F746" s="222"/>
    </row>
    <row r="747" spans="6:6">
      <c r="F747" s="222"/>
    </row>
    <row r="748" spans="6:6">
      <c r="F748" s="222"/>
    </row>
    <row r="749" spans="6:6">
      <c r="F749" s="222"/>
    </row>
    <row r="750" spans="6:6">
      <c r="F750" s="222"/>
    </row>
    <row r="751" spans="6:6">
      <c r="F751" s="222"/>
    </row>
    <row r="752" spans="6:6">
      <c r="F752" s="222"/>
    </row>
    <row r="753" spans="6:6">
      <c r="F753" s="222"/>
    </row>
    <row r="754" spans="6:6">
      <c r="F754" s="222"/>
    </row>
    <row r="755" spans="6:6">
      <c r="F755" s="222"/>
    </row>
    <row r="756" spans="6:6">
      <c r="F756" s="222"/>
    </row>
    <row r="757" spans="6:6">
      <c r="F757" s="222"/>
    </row>
    <row r="758" spans="6:6">
      <c r="F758" s="222"/>
    </row>
    <row r="759" spans="6:6">
      <c r="F759" s="222"/>
    </row>
    <row r="760" spans="6:6">
      <c r="F760" s="222"/>
    </row>
    <row r="761" spans="6:6">
      <c r="F761" s="222"/>
    </row>
    <row r="762" spans="6:6">
      <c r="F762" s="222"/>
    </row>
    <row r="763" spans="6:6">
      <c r="F763" s="222"/>
    </row>
    <row r="764" spans="6:6">
      <c r="F764" s="222"/>
    </row>
    <row r="765" spans="6:6">
      <c r="F765" s="222"/>
    </row>
    <row r="766" spans="6:6">
      <c r="F766" s="222"/>
    </row>
    <row r="767" spans="6:6">
      <c r="F767" s="222"/>
    </row>
    <row r="768" spans="6:6">
      <c r="F768" s="222"/>
    </row>
    <row r="769" spans="6:6">
      <c r="F769" s="222"/>
    </row>
    <row r="770" spans="6:6">
      <c r="F770" s="222"/>
    </row>
    <row r="771" spans="6:6">
      <c r="F771" s="222"/>
    </row>
    <row r="772" spans="6:6">
      <c r="F772" s="222"/>
    </row>
    <row r="773" spans="6:6">
      <c r="F773" s="222"/>
    </row>
    <row r="774" spans="6:6">
      <c r="F774" s="222"/>
    </row>
    <row r="775" spans="6:6">
      <c r="F775" s="222"/>
    </row>
    <row r="776" spans="6:6">
      <c r="F776" s="222"/>
    </row>
    <row r="777" spans="6:6">
      <c r="F777" s="222"/>
    </row>
    <row r="778" spans="6:6">
      <c r="F778" s="222"/>
    </row>
    <row r="779" spans="6:6">
      <c r="F779" s="222"/>
    </row>
    <row r="780" spans="6:6">
      <c r="F780" s="222"/>
    </row>
    <row r="781" spans="6:6">
      <c r="F781" s="222"/>
    </row>
    <row r="782" spans="6:6">
      <c r="F782" s="222"/>
    </row>
    <row r="783" spans="6:6">
      <c r="F783" s="222"/>
    </row>
    <row r="784" spans="6:6">
      <c r="F784" s="222"/>
    </row>
    <row r="785" spans="6:6">
      <c r="F785" s="222"/>
    </row>
    <row r="786" spans="6:6">
      <c r="F786" s="222"/>
    </row>
    <row r="787" spans="6:6">
      <c r="F787" s="222"/>
    </row>
    <row r="788" spans="6:6">
      <c r="F788" s="222"/>
    </row>
    <row r="789" spans="6:6">
      <c r="F789" s="222"/>
    </row>
    <row r="790" spans="6:6">
      <c r="F790" s="222"/>
    </row>
    <row r="791" spans="6:6">
      <c r="F791" s="222"/>
    </row>
    <row r="792" spans="6:6">
      <c r="F792" s="222"/>
    </row>
    <row r="793" spans="6:6">
      <c r="F793" s="222"/>
    </row>
    <row r="794" spans="6:6">
      <c r="F794" s="222"/>
    </row>
    <row r="795" spans="6:6">
      <c r="F795" s="222"/>
    </row>
    <row r="796" spans="6:6">
      <c r="F796" s="222"/>
    </row>
    <row r="797" spans="6:6">
      <c r="F797" s="222"/>
    </row>
    <row r="798" spans="6:6">
      <c r="F798" s="222"/>
    </row>
    <row r="799" spans="6:6">
      <c r="F799" s="222"/>
    </row>
    <row r="800" spans="6:6">
      <c r="F800" s="222"/>
    </row>
    <row r="801" spans="6:6">
      <c r="F801" s="222"/>
    </row>
    <row r="802" spans="6:6">
      <c r="F802" s="222"/>
    </row>
    <row r="803" spans="6:6">
      <c r="F803" s="222"/>
    </row>
    <row r="804" spans="6:6">
      <c r="F804" s="222"/>
    </row>
    <row r="805" spans="6:6">
      <c r="F805" s="222"/>
    </row>
    <row r="806" spans="6:6">
      <c r="F806" s="222"/>
    </row>
    <row r="807" spans="6:6">
      <c r="F807" s="222"/>
    </row>
    <row r="808" spans="6:6">
      <c r="F808" s="222"/>
    </row>
    <row r="809" spans="6:6">
      <c r="F809" s="222"/>
    </row>
    <row r="810" spans="6:6">
      <c r="F810" s="222"/>
    </row>
    <row r="811" spans="6:6">
      <c r="F811" s="222"/>
    </row>
    <row r="812" spans="6:6">
      <c r="F812" s="222"/>
    </row>
    <row r="813" spans="6:6">
      <c r="F813" s="222"/>
    </row>
    <row r="814" spans="6:6">
      <c r="F814" s="222"/>
    </row>
    <row r="815" spans="6:6">
      <c r="F815" s="222"/>
    </row>
    <row r="816" spans="6:6">
      <c r="F816" s="222"/>
    </row>
    <row r="817" spans="6:6">
      <c r="F817" s="222"/>
    </row>
    <row r="818" spans="6:6">
      <c r="F818" s="222"/>
    </row>
    <row r="819" spans="6:6">
      <c r="F819" s="222"/>
    </row>
    <row r="820" spans="6:6">
      <c r="F820" s="222"/>
    </row>
    <row r="821" spans="6:6">
      <c r="F821" s="222"/>
    </row>
    <row r="822" spans="6:6">
      <c r="F822" s="222"/>
    </row>
    <row r="823" spans="6:6">
      <c r="F823" s="222"/>
    </row>
    <row r="824" spans="6:6">
      <c r="F824" s="222"/>
    </row>
    <row r="825" spans="6:6">
      <c r="F825" s="222"/>
    </row>
    <row r="826" spans="6:6">
      <c r="F826" s="222"/>
    </row>
    <row r="827" spans="6:6">
      <c r="F827" s="222"/>
    </row>
    <row r="828" spans="6:6">
      <c r="F828" s="222"/>
    </row>
    <row r="829" spans="6:6">
      <c r="F829" s="222"/>
    </row>
    <row r="830" spans="6:6">
      <c r="F830" s="222"/>
    </row>
    <row r="831" spans="6:6">
      <c r="F831" s="222"/>
    </row>
    <row r="832" spans="6:6">
      <c r="F832" s="222"/>
    </row>
    <row r="833" spans="6:6">
      <c r="F833" s="222"/>
    </row>
    <row r="834" spans="6:6">
      <c r="F834" s="222"/>
    </row>
    <row r="835" spans="6:6">
      <c r="F835" s="222"/>
    </row>
    <row r="836" spans="6:6">
      <c r="F836" s="222"/>
    </row>
    <row r="837" spans="6:6">
      <c r="F837" s="222"/>
    </row>
    <row r="838" spans="6:6">
      <c r="F838" s="222"/>
    </row>
    <row r="839" spans="6:6">
      <c r="F839" s="222"/>
    </row>
    <row r="840" spans="6:6">
      <c r="F840" s="222"/>
    </row>
    <row r="841" spans="6:6">
      <c r="F841" s="222"/>
    </row>
    <row r="842" spans="6:6">
      <c r="F842" s="222"/>
    </row>
    <row r="843" spans="6:6">
      <c r="F843" s="222"/>
    </row>
    <row r="844" spans="6:6">
      <c r="F844" s="222"/>
    </row>
    <row r="845" spans="6:6">
      <c r="F845" s="222"/>
    </row>
    <row r="846" spans="6:6">
      <c r="F846" s="222"/>
    </row>
    <row r="847" spans="6:6">
      <c r="F847" s="222"/>
    </row>
    <row r="848" spans="6:6">
      <c r="F848" s="222"/>
    </row>
    <row r="849" spans="6:6">
      <c r="F849" s="222"/>
    </row>
    <row r="850" spans="6:6">
      <c r="F850" s="222"/>
    </row>
    <row r="851" spans="6:6">
      <c r="F851" s="222"/>
    </row>
    <row r="852" spans="6:6">
      <c r="F852" s="222"/>
    </row>
    <row r="853" spans="6:6">
      <c r="F853" s="222"/>
    </row>
    <row r="854" spans="6:6">
      <c r="F854" s="222"/>
    </row>
    <row r="855" spans="6:6">
      <c r="F855" s="222"/>
    </row>
    <row r="856" spans="6:6">
      <c r="F856" s="222"/>
    </row>
    <row r="857" spans="6:6">
      <c r="F857" s="222"/>
    </row>
    <row r="858" spans="6:6">
      <c r="F858" s="222"/>
    </row>
    <row r="859" spans="6:6">
      <c r="F859" s="222"/>
    </row>
    <row r="860" spans="6:6">
      <c r="F860" s="222"/>
    </row>
    <row r="861" spans="6:6">
      <c r="F861" s="222"/>
    </row>
    <row r="862" spans="6:6">
      <c r="F862" s="222"/>
    </row>
    <row r="863" spans="6:6">
      <c r="F863" s="222"/>
    </row>
    <row r="864" spans="6:6">
      <c r="F864" s="222"/>
    </row>
    <row r="865" spans="6:6">
      <c r="F865" s="222"/>
    </row>
    <row r="866" spans="6:6">
      <c r="F866" s="222"/>
    </row>
    <row r="867" spans="6:6">
      <c r="F867" s="222"/>
    </row>
    <row r="868" spans="6:6">
      <c r="F868" s="222"/>
    </row>
    <row r="869" spans="6:6">
      <c r="F869" s="222"/>
    </row>
    <row r="870" spans="6:6">
      <c r="F870" s="222"/>
    </row>
    <row r="871" spans="6:6">
      <c r="F871" s="222"/>
    </row>
    <row r="872" spans="6:6">
      <c r="F872" s="222"/>
    </row>
    <row r="873" spans="6:6">
      <c r="F873" s="222"/>
    </row>
    <row r="874" spans="6:6">
      <c r="F874" s="222"/>
    </row>
    <row r="875" spans="6:6">
      <c r="F875" s="222"/>
    </row>
    <row r="876" spans="6:6">
      <c r="F876" s="222"/>
    </row>
    <row r="877" spans="6:6">
      <c r="F877" s="222"/>
    </row>
    <row r="878" spans="6:6">
      <c r="F878" s="222"/>
    </row>
    <row r="879" spans="6:6">
      <c r="F879" s="222"/>
    </row>
    <row r="880" spans="6:6">
      <c r="F880" s="222"/>
    </row>
    <row r="881" spans="6:6">
      <c r="F881" s="222"/>
    </row>
    <row r="882" spans="6:6">
      <c r="F882" s="222"/>
    </row>
    <row r="883" spans="6:6">
      <c r="F883" s="222"/>
    </row>
    <row r="884" spans="6:6">
      <c r="F884" s="222"/>
    </row>
    <row r="885" spans="6:6">
      <c r="F885" s="222"/>
    </row>
    <row r="886" spans="6:6">
      <c r="F886" s="222"/>
    </row>
    <row r="887" spans="6:6">
      <c r="F887" s="222"/>
    </row>
    <row r="888" spans="6:6">
      <c r="F888" s="222"/>
    </row>
    <row r="889" spans="6:6">
      <c r="F889" s="222"/>
    </row>
    <row r="890" spans="6:6">
      <c r="F890" s="222"/>
    </row>
    <row r="891" spans="6:6">
      <c r="F891" s="222"/>
    </row>
    <row r="892" spans="6:6">
      <c r="F892" s="222"/>
    </row>
    <row r="893" spans="6:6">
      <c r="F893" s="222"/>
    </row>
    <row r="894" spans="6:6">
      <c r="F894" s="222"/>
    </row>
    <row r="895" spans="6:6">
      <c r="F895" s="222"/>
    </row>
    <row r="896" spans="6:6">
      <c r="F896" s="222"/>
    </row>
    <row r="897" spans="6:6">
      <c r="F897" s="222"/>
    </row>
    <row r="898" spans="6:6">
      <c r="F898" s="222"/>
    </row>
    <row r="899" spans="6:6">
      <c r="F899" s="222"/>
    </row>
    <row r="900" spans="6:6">
      <c r="F900" s="222"/>
    </row>
    <row r="901" spans="6:6">
      <c r="F901" s="222"/>
    </row>
    <row r="902" spans="6:6">
      <c r="F902" s="222"/>
    </row>
    <row r="903" spans="6:6">
      <c r="F903" s="222"/>
    </row>
    <row r="904" spans="6:6">
      <c r="F904" s="222"/>
    </row>
    <row r="905" spans="6:6">
      <c r="F905" s="222"/>
    </row>
    <row r="906" spans="6:6">
      <c r="F906" s="222"/>
    </row>
    <row r="907" spans="6:6">
      <c r="F907" s="222"/>
    </row>
    <row r="908" spans="6:6">
      <c r="F908" s="222"/>
    </row>
    <row r="909" spans="6:6">
      <c r="F909" s="222"/>
    </row>
    <row r="910" spans="6:6">
      <c r="F910" s="222"/>
    </row>
    <row r="911" spans="6:6">
      <c r="F911" s="222"/>
    </row>
    <row r="912" spans="6:6">
      <c r="F912" s="222"/>
    </row>
    <row r="913" spans="6:6">
      <c r="F913" s="222"/>
    </row>
    <row r="914" spans="6:6">
      <c r="F914" s="222"/>
    </row>
    <row r="915" spans="6:6">
      <c r="F915" s="222"/>
    </row>
    <row r="916" spans="6:6">
      <c r="F916" s="222"/>
    </row>
    <row r="917" spans="6:6">
      <c r="F917" s="222"/>
    </row>
    <row r="918" spans="6:6">
      <c r="F918" s="222"/>
    </row>
    <row r="919" spans="6:6">
      <c r="F919" s="222"/>
    </row>
    <row r="920" spans="6:6">
      <c r="F920" s="222"/>
    </row>
    <row r="921" spans="6:6">
      <c r="F921" s="222"/>
    </row>
    <row r="922" spans="6:6">
      <c r="F922" s="222"/>
    </row>
    <row r="923" spans="6:6">
      <c r="F923" s="222"/>
    </row>
    <row r="924" spans="6:6">
      <c r="F924" s="222"/>
    </row>
    <row r="925" spans="6:6">
      <c r="F925" s="222"/>
    </row>
    <row r="926" spans="6:6">
      <c r="F926" s="222"/>
    </row>
    <row r="927" spans="6:6">
      <c r="F927" s="222"/>
    </row>
    <row r="928" spans="6:6">
      <c r="F928" s="222"/>
    </row>
    <row r="929" spans="6:6">
      <c r="F929" s="222"/>
    </row>
    <row r="930" spans="6:6">
      <c r="F930" s="222"/>
    </row>
    <row r="931" spans="6:6">
      <c r="F931" s="222"/>
    </row>
    <row r="932" spans="6:6">
      <c r="F932" s="222"/>
    </row>
    <row r="933" spans="6:6">
      <c r="F933" s="222"/>
    </row>
    <row r="934" spans="6:6">
      <c r="F934" s="222"/>
    </row>
    <row r="935" spans="6:6">
      <c r="F935" s="222"/>
    </row>
    <row r="936" spans="6:6">
      <c r="F936" s="222"/>
    </row>
    <row r="937" spans="6:6">
      <c r="F937" s="222"/>
    </row>
    <row r="938" spans="6:6">
      <c r="F938" s="222"/>
    </row>
    <row r="939" spans="6:6">
      <c r="F939" s="222"/>
    </row>
    <row r="940" spans="6:6">
      <c r="F940" s="222"/>
    </row>
    <row r="941" spans="6:6">
      <c r="F941" s="222"/>
    </row>
    <row r="942" spans="6:6">
      <c r="F942" s="222"/>
    </row>
    <row r="943" spans="6:6">
      <c r="F943" s="222"/>
    </row>
    <row r="944" spans="6:6">
      <c r="F944" s="222"/>
    </row>
    <row r="945" spans="6:6">
      <c r="F945" s="222"/>
    </row>
    <row r="946" spans="6:6">
      <c r="F946" s="222"/>
    </row>
    <row r="947" spans="6:6">
      <c r="F947" s="222"/>
    </row>
    <row r="948" spans="6:6">
      <c r="F948" s="222"/>
    </row>
    <row r="949" spans="6:6">
      <c r="F949" s="222"/>
    </row>
    <row r="950" spans="6:6">
      <c r="F950" s="222"/>
    </row>
    <row r="951" spans="6:6">
      <c r="F951" s="222"/>
    </row>
    <row r="952" spans="6:6">
      <c r="F952" s="222"/>
    </row>
    <row r="953" spans="6:6">
      <c r="F953" s="222"/>
    </row>
    <row r="954" spans="6:6">
      <c r="F954" s="222"/>
    </row>
    <row r="955" spans="6:6">
      <c r="F955" s="222"/>
    </row>
    <row r="956" spans="6:6">
      <c r="F956" s="222"/>
    </row>
    <row r="957" spans="6:6">
      <c r="F957" s="222"/>
    </row>
    <row r="958" spans="6:6">
      <c r="F958" s="222"/>
    </row>
    <row r="959" spans="6:6">
      <c r="F959" s="222"/>
    </row>
    <row r="960" spans="6:6">
      <c r="F960" s="222"/>
    </row>
    <row r="961" spans="6:6">
      <c r="F961" s="222"/>
    </row>
    <row r="962" spans="6:6">
      <c r="F962" s="222"/>
    </row>
    <row r="963" spans="6:6">
      <c r="F963" s="222"/>
    </row>
    <row r="964" spans="6:6">
      <c r="F964" s="222"/>
    </row>
    <row r="965" spans="6:6">
      <c r="F965" s="222"/>
    </row>
    <row r="966" spans="6:6">
      <c r="F966" s="222"/>
    </row>
    <row r="967" spans="6:6">
      <c r="F967" s="222"/>
    </row>
    <row r="968" spans="6:6">
      <c r="F968" s="222"/>
    </row>
    <row r="969" spans="6:6">
      <c r="F969" s="222"/>
    </row>
    <row r="970" spans="6:6">
      <c r="F970" s="222"/>
    </row>
    <row r="971" spans="6:6">
      <c r="F971" s="222"/>
    </row>
    <row r="972" spans="6:6">
      <c r="F972" s="222"/>
    </row>
    <row r="973" spans="6:6">
      <c r="F973" s="222"/>
    </row>
    <row r="974" spans="6:6">
      <c r="F974" s="222"/>
    </row>
    <row r="975" spans="6:6">
      <c r="F975" s="222"/>
    </row>
    <row r="976" spans="6:6">
      <c r="F976" s="222"/>
    </row>
    <row r="977" spans="6:6">
      <c r="F977" s="222"/>
    </row>
    <row r="978" spans="6:6">
      <c r="F978" s="222"/>
    </row>
    <row r="979" spans="6:6">
      <c r="F979" s="222"/>
    </row>
    <row r="980" spans="6:6">
      <c r="F980" s="222"/>
    </row>
    <row r="981" spans="6:6">
      <c r="F981" s="222"/>
    </row>
    <row r="982" spans="6:6">
      <c r="F982" s="222"/>
    </row>
    <row r="983" spans="6:6">
      <c r="F983" s="222"/>
    </row>
    <row r="984" spans="6:6">
      <c r="F984" s="222"/>
    </row>
    <row r="985" spans="6:6">
      <c r="F985" s="222"/>
    </row>
    <row r="986" spans="6:6">
      <c r="F986" s="222"/>
    </row>
    <row r="987" spans="6:6">
      <c r="F987" s="222"/>
    </row>
    <row r="988" spans="6:6">
      <c r="F988" s="222"/>
    </row>
    <row r="989" spans="6:6">
      <c r="F989" s="222"/>
    </row>
    <row r="990" spans="6:6">
      <c r="F990" s="222"/>
    </row>
    <row r="991" spans="6:6">
      <c r="F991" s="222"/>
    </row>
    <row r="992" spans="6:6">
      <c r="F992" s="222"/>
    </row>
    <row r="993" spans="6:6">
      <c r="F993" s="222"/>
    </row>
    <row r="994" spans="6:6">
      <c r="F994" s="222"/>
    </row>
    <row r="995" spans="6:6">
      <c r="F995" s="222"/>
    </row>
    <row r="996" spans="6:6">
      <c r="F996" s="222"/>
    </row>
    <row r="997" spans="6:6">
      <c r="F997" s="222"/>
    </row>
    <row r="998" spans="6:6">
      <c r="F998" s="222"/>
    </row>
    <row r="999" spans="6:6">
      <c r="F999" s="222"/>
    </row>
    <row r="1000" spans="6:6">
      <c r="F1000" s="222"/>
    </row>
    <row r="1001" spans="6:6">
      <c r="F1001" s="222"/>
    </row>
    <row r="1002" spans="6:6">
      <c r="F1002" s="222"/>
    </row>
  </sheetData>
  <mergeCells count="2">
    <mergeCell ref="A1:D1"/>
    <mergeCell ref="C3:D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2:B65"/>
  <sheetViews>
    <sheetView workbookViewId="0"/>
  </sheetViews>
  <sheetFormatPr baseColWidth="10" defaultColWidth="14.5" defaultRowHeight="15" customHeight="1"/>
  <sheetData>
    <row r="2" spans="1:2">
      <c r="A2" s="223" t="s">
        <v>486</v>
      </c>
      <c r="B2" s="46">
        <v>18210.408563570003</v>
      </c>
    </row>
    <row r="3" spans="1:2">
      <c r="A3" s="223" t="s">
        <v>487</v>
      </c>
      <c r="B3" s="46">
        <v>-43674.779079163833</v>
      </c>
    </row>
    <row r="4" spans="1:2">
      <c r="A4" s="223" t="s">
        <v>488</v>
      </c>
      <c r="B4" s="46">
        <v>8502.6248672218971</v>
      </c>
    </row>
    <row r="5" spans="1:2">
      <c r="A5" s="223" t="s">
        <v>489</v>
      </c>
      <c r="B5" s="46">
        <v>8670.2299733168875</v>
      </c>
    </row>
    <row r="6" spans="1:2">
      <c r="A6" s="223" t="s">
        <v>490</v>
      </c>
      <c r="B6" s="46">
        <v>-9457.2860306945367</v>
      </c>
    </row>
    <row r="7" spans="1:2">
      <c r="A7" s="223" t="s">
        <v>491</v>
      </c>
      <c r="B7" s="46">
        <v>-1620.5087614244094</v>
      </c>
    </row>
    <row r="8" spans="1:2">
      <c r="A8" s="223" t="s">
        <v>492</v>
      </c>
      <c r="B8" s="46">
        <v>23649.332562382682</v>
      </c>
    </row>
    <row r="9" spans="1:2">
      <c r="A9" s="223" t="s">
        <v>493</v>
      </c>
      <c r="B9" s="46">
        <v>25167.540798302602</v>
      </c>
    </row>
    <row r="10" spans="1:2">
      <c r="A10" s="223" t="s">
        <v>494</v>
      </c>
      <c r="B10" s="46">
        <v>24301.259375388516</v>
      </c>
    </row>
    <row r="11" spans="1:2">
      <c r="A11" s="223" t="s">
        <v>495</v>
      </c>
      <c r="B11" s="46">
        <v>5119.3586320413888</v>
      </c>
    </row>
    <row r="12" spans="1:2">
      <c r="A12" s="223" t="s">
        <v>496</v>
      </c>
      <c r="B12" s="46">
        <v>8589.1521356562971</v>
      </c>
    </row>
    <row r="13" spans="1:2">
      <c r="A13" s="223" t="s">
        <v>497</v>
      </c>
      <c r="B13" s="46">
        <v>19549.389279772065</v>
      </c>
    </row>
    <row r="14" spans="1:2">
      <c r="A14" s="223" t="s">
        <v>498</v>
      </c>
      <c r="B14" s="46">
        <v>-14753.762970897616</v>
      </c>
    </row>
    <row r="15" spans="1:2">
      <c r="A15" s="223" t="s">
        <v>499</v>
      </c>
      <c r="B15" s="46">
        <v>3684.595205784397</v>
      </c>
    </row>
    <row r="16" spans="1:2">
      <c r="A16" s="223" t="s">
        <v>500</v>
      </c>
      <c r="B16" s="46">
        <v>12877.852327736808</v>
      </c>
    </row>
    <row r="17" spans="1:2">
      <c r="A17" s="223" t="s">
        <v>501</v>
      </c>
      <c r="B17" s="46">
        <v>52490.685574831907</v>
      </c>
    </row>
    <row r="18" spans="1:2">
      <c r="A18" s="223" t="s">
        <v>502</v>
      </c>
      <c r="B18" s="46">
        <v>-4616.746311403349</v>
      </c>
    </row>
    <row r="19" spans="1:2">
      <c r="A19" s="223" t="s">
        <v>503</v>
      </c>
      <c r="B19" s="46">
        <v>-1799.9112765120226</v>
      </c>
    </row>
    <row r="20" spans="1:2">
      <c r="A20" s="223" t="s">
        <v>504</v>
      </c>
      <c r="B20" s="46">
        <v>9969.0788171578715</v>
      </c>
    </row>
    <row r="21" spans="1:2">
      <c r="A21" s="223" t="s">
        <v>505</v>
      </c>
      <c r="B21" s="46">
        <v>36186.645323377874</v>
      </c>
    </row>
    <row r="22" spans="1:2">
      <c r="A22" s="223" t="s">
        <v>506</v>
      </c>
      <c r="B22" s="46">
        <v>11294.294385354851</v>
      </c>
    </row>
    <row r="23" spans="1:2">
      <c r="A23" s="223" t="s">
        <v>507</v>
      </c>
      <c r="B23" s="46">
        <v>-77648.591256456173</v>
      </c>
    </row>
    <row r="24" spans="1:2">
      <c r="A24" s="223" t="s">
        <v>508</v>
      </c>
      <c r="B24" s="46">
        <v>34406.320864904905</v>
      </c>
    </row>
    <row r="25" spans="1:2">
      <c r="A25" s="223" t="s">
        <v>509</v>
      </c>
      <c r="B25" s="46">
        <v>4721.9348871096954</v>
      </c>
    </row>
    <row r="26" spans="1:2">
      <c r="A26" s="223" t="s">
        <v>510</v>
      </c>
      <c r="B26" s="46">
        <v>44448.390019448241</v>
      </c>
    </row>
    <row r="27" spans="1:2">
      <c r="A27" s="223" t="s">
        <v>511</v>
      </c>
      <c r="B27" s="46">
        <v>38286.831068603075</v>
      </c>
    </row>
    <row r="28" spans="1:2">
      <c r="A28" s="223" t="s">
        <v>512</v>
      </c>
      <c r="B28" s="46">
        <v>16437.489371389889</v>
      </c>
    </row>
    <row r="29" spans="1:2">
      <c r="A29" s="223" t="s">
        <v>513</v>
      </c>
      <c r="B29" s="46">
        <v>-14526.753062004063</v>
      </c>
    </row>
    <row r="30" spans="1:2">
      <c r="A30" s="223" t="s">
        <v>514</v>
      </c>
      <c r="B30" s="46">
        <v>-3592.3501662725357</v>
      </c>
    </row>
    <row r="31" spans="1:2">
      <c r="A31" s="223" t="s">
        <v>515</v>
      </c>
      <c r="B31" s="46">
        <v>17367.15884963701</v>
      </c>
    </row>
    <row r="32" spans="1:2">
      <c r="A32" s="223" t="s">
        <v>516</v>
      </c>
      <c r="B32" s="46">
        <v>26721.140066521075</v>
      </c>
    </row>
    <row r="33" spans="1:2">
      <c r="A33" s="223" t="s">
        <v>517</v>
      </c>
      <c r="B33" s="46">
        <v>-24881.694160842013</v>
      </c>
    </row>
    <row r="34" spans="1:2">
      <c r="A34" s="223" t="s">
        <v>518</v>
      </c>
      <c r="B34" s="46">
        <v>-27270.368967292205</v>
      </c>
    </row>
    <row r="35" spans="1:2">
      <c r="A35" s="223" t="s">
        <v>519</v>
      </c>
      <c r="B35" s="46">
        <v>-95466.177243645463</v>
      </c>
    </row>
    <row r="36" spans="1:2">
      <c r="A36" s="223" t="s">
        <v>520</v>
      </c>
      <c r="B36" s="46">
        <v>-45118.362933071534</v>
      </c>
    </row>
    <row r="37" spans="1:2">
      <c r="A37" s="223" t="s">
        <v>521</v>
      </c>
      <c r="B37" s="46">
        <v>14782.677620238805</v>
      </c>
    </row>
    <row r="38" spans="1:2">
      <c r="A38" s="223" t="s">
        <v>522</v>
      </c>
      <c r="B38" s="46">
        <v>18971.712832205547</v>
      </c>
    </row>
    <row r="39" spans="1:2">
      <c r="A39" s="223" t="s">
        <v>523</v>
      </c>
      <c r="B39" s="46">
        <v>12496.742840785057</v>
      </c>
    </row>
    <row r="40" spans="1:2">
      <c r="A40" s="223" t="s">
        <v>524</v>
      </c>
      <c r="B40" s="46">
        <v>23923.324969644025</v>
      </c>
    </row>
    <row r="41" spans="1:2">
      <c r="A41" s="223" t="s">
        <v>525</v>
      </c>
      <c r="B41" s="46">
        <v>30717.775464502774</v>
      </c>
    </row>
    <row r="42" spans="1:2">
      <c r="A42" s="223" t="s">
        <v>526</v>
      </c>
      <c r="B42" s="46">
        <v>-11226.310024657561</v>
      </c>
    </row>
    <row r="43" spans="1:2">
      <c r="A43" s="223" t="s">
        <v>527</v>
      </c>
      <c r="B43" s="46">
        <v>-12101.877233547486</v>
      </c>
    </row>
    <row r="44" spans="1:2">
      <c r="A44" s="223" t="s">
        <v>528</v>
      </c>
      <c r="B44" s="46">
        <v>-34500.487914383441</v>
      </c>
    </row>
    <row r="45" spans="1:2">
      <c r="A45" s="223" t="s">
        <v>529</v>
      </c>
      <c r="B45" s="46">
        <v>101998.53671212938</v>
      </c>
    </row>
    <row r="46" spans="1:2">
      <c r="A46" s="223" t="s">
        <v>530</v>
      </c>
      <c r="B46" s="46">
        <v>-20775.631092690153</v>
      </c>
    </row>
    <row r="47" spans="1:2">
      <c r="A47" s="223" t="s">
        <v>531</v>
      </c>
      <c r="B47" s="46">
        <v>-12494.303049925129</v>
      </c>
    </row>
    <row r="48" spans="1:2">
      <c r="A48" s="223" t="s">
        <v>532</v>
      </c>
      <c r="B48" s="46">
        <v>1802.297747943803</v>
      </c>
    </row>
    <row r="49" spans="1:2">
      <c r="A49" s="223" t="s">
        <v>533</v>
      </c>
      <c r="B49" s="46">
        <v>-10455.720882844922</v>
      </c>
    </row>
    <row r="50" spans="1:2">
      <c r="A50" s="223" t="s">
        <v>534</v>
      </c>
      <c r="B50" s="46">
        <v>2953.6697294653422</v>
      </c>
    </row>
    <row r="51" spans="1:2">
      <c r="A51" s="223" t="s">
        <v>535</v>
      </c>
      <c r="B51" s="46">
        <v>-67621.527234110734</v>
      </c>
    </row>
    <row r="52" spans="1:2">
      <c r="A52" s="223" t="s">
        <v>536</v>
      </c>
      <c r="B52" s="46">
        <v>-11963.183594830713</v>
      </c>
    </row>
    <row r="53" spans="1:2">
      <c r="A53" s="223" t="s">
        <v>537</v>
      </c>
      <c r="B53" s="46">
        <v>14813.730539795681</v>
      </c>
    </row>
    <row r="54" spans="1:2">
      <c r="A54" s="223" t="s">
        <v>538</v>
      </c>
      <c r="B54" s="46">
        <v>17963.913972836795</v>
      </c>
    </row>
    <row r="55" spans="1:2">
      <c r="A55" s="223" t="s">
        <v>539</v>
      </c>
      <c r="B55" s="46">
        <v>6564.8557476541791</v>
      </c>
    </row>
    <row r="56" spans="1:2">
      <c r="A56" s="223" t="s">
        <v>540</v>
      </c>
      <c r="B56" s="46">
        <v>26548.665406524153</v>
      </c>
    </row>
    <row r="57" spans="1:2">
      <c r="A57" s="223" t="s">
        <v>541</v>
      </c>
      <c r="B57" s="46">
        <v>35126.835763176088</v>
      </c>
    </row>
    <row r="58" spans="1:2">
      <c r="A58" s="223" t="s">
        <v>542</v>
      </c>
      <c r="B58" s="46">
        <v>14661.563562157302</v>
      </c>
    </row>
    <row r="59" spans="1:2">
      <c r="A59" s="223" t="s">
        <v>543</v>
      </c>
      <c r="B59" s="46">
        <v>6283.4920330370223</v>
      </c>
    </row>
    <row r="60" spans="1:2">
      <c r="A60" s="223" t="s">
        <v>544</v>
      </c>
      <c r="B60" s="46">
        <v>-19404.457467775945</v>
      </c>
    </row>
    <row r="61" spans="1:2">
      <c r="A61" s="223" t="s">
        <v>545</v>
      </c>
      <c r="B61" s="46">
        <v>-25933.979792457638</v>
      </c>
    </row>
    <row r="62" spans="1:2">
      <c r="A62" s="223" t="s">
        <v>546</v>
      </c>
      <c r="B62" s="46">
        <v>-25007.450060868137</v>
      </c>
    </row>
    <row r="63" spans="1:2">
      <c r="A63" s="223" t="s">
        <v>547</v>
      </c>
      <c r="B63" s="46">
        <v>-21603.538577201522</v>
      </c>
    </row>
    <row r="64" spans="1:2">
      <c r="A64" s="223" t="s">
        <v>548</v>
      </c>
      <c r="B64" s="46">
        <v>28857.94868791198</v>
      </c>
    </row>
    <row r="65" spans="1:2">
      <c r="A65" s="223" t="s">
        <v>549</v>
      </c>
      <c r="B65" s="46">
        <v>23.452565455278091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Apr2025-EXPENSE</vt:lpstr>
      <vt:lpstr>Apr2025-COLLECTION</vt:lpstr>
      <vt:lpstr>May2025-EXPENSE</vt:lpstr>
      <vt:lpstr>May2025-COLLECTION</vt:lpstr>
      <vt:lpstr>June2025-EXPENSE</vt:lpstr>
      <vt:lpstr>June2025-COLLECTION</vt:lpstr>
      <vt:lpstr>July2025-EXPENSE</vt:lpstr>
      <vt:lpstr>July2025-EXPENSE-Flatwise</vt:lpstr>
      <vt:lpstr>July2025-EXPENSE-Flatwise-Trans</vt:lpstr>
      <vt:lpstr>July2025-COLLECTION</vt:lpstr>
      <vt:lpstr>Aug2025-EXPENSE</vt:lpstr>
      <vt:lpstr>Aug2025-COLLECTION</vt:lpstr>
      <vt:lpstr>Sep2025-EXPENSE</vt:lpstr>
      <vt:lpstr>Sep2025-COLLECTION</vt:lpstr>
      <vt:lpstr>Oct2025-EXPENSE</vt:lpstr>
      <vt:lpstr>Oct2025-COLLECTION</vt:lpstr>
      <vt:lpstr>Nov2025-EXPENSE</vt:lpstr>
      <vt:lpstr>Nov2025-COLLECTION</vt:lpstr>
      <vt:lpstr>Dec2025-EXPENSE</vt:lpstr>
      <vt:lpstr>Dec2025-COLLECTION</vt:lpstr>
      <vt:lpstr>Jan2026-EXPENSE</vt:lpstr>
      <vt:lpstr>Jan2026-COLLECTION</vt:lpstr>
      <vt:lpstr>Feb2026-COLLECTION</vt:lpstr>
      <vt:lpstr>Feb2026-EXPENSE</vt:lpstr>
      <vt:lpstr>Mar2026-EXPENSE</vt:lpstr>
      <vt:lpstr>Mar2026-COLLECTION</vt:lpstr>
      <vt:lpstr>ANNUAL-EXPENSE-DETAILS</vt:lpstr>
      <vt:lpstr>INCOME-EXPENSE-CYCLES</vt:lpstr>
      <vt:lpstr>INCOME-EXPENSE-CYCLES-2025-26</vt:lpstr>
      <vt:lpstr>Copy of INCOME-EXPENSE-CYCLES 1</vt:lpstr>
      <vt:lpstr>Copy of INCOME-EXPENSE-CYCLES</vt:lpstr>
      <vt:lpstr>Sheet30</vt:lpstr>
      <vt:lpstr>Flatwise Income Expense</vt:lpstr>
      <vt:lpstr>Expense</vt:lpstr>
      <vt:lpstr>Income</vt:lpstr>
      <vt:lpstr>Sheet4</vt:lpstr>
      <vt:lpstr>TOTAL DUES</vt:lpstr>
      <vt:lpstr>Betterment Corpus</vt:lpstr>
      <vt:lpstr>2013-till-date-connected</vt:lpstr>
      <vt:lpstr>Sheet27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Samrat Kar</cp:lastModifiedBy>
  <dcterms:modified xsi:type="dcterms:W3CDTF">2026-04-19T11:49:42Z</dcterms:modified>
</cp:coreProperties>
</file>