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drawings/drawing7.xml" ContentType="application/vnd.openxmlformats-officedocument.drawing+xml"/>
  <Override PartName="/xl/slicers/slicer7.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7927da21f9d53f15/Desktop/"/>
    </mc:Choice>
  </mc:AlternateContent>
  <xr:revisionPtr revIDLastSave="47" documentId="8_{67CED4C3-1FF6-48B0-862B-CF5CE5FBA091}" xr6:coauthVersionLast="47" xr6:coauthVersionMax="47" xr10:uidLastSave="{8F9AEB91-5F19-47AB-9D45-AE45734D596D}"/>
  <bookViews>
    <workbookView xWindow="-108" yWindow="-108" windowWidth="23256" windowHeight="12456" tabRatio="799" xr2:uid="{CF89C52B-729B-4309-82BF-68DAA5B99E63}"/>
  </bookViews>
  <sheets>
    <sheet name="🏠 Cover" sheetId="15" r:id="rId1"/>
    <sheet name="Performance KPIs" sheetId="1" r:id="rId2"/>
    <sheet name="Pipeline KPIs" sheetId="2" r:id="rId3"/>
    <sheet name="Activity KPIs" sheetId="3" r:id="rId4"/>
    <sheet name="Invoice KPIs" sheetId="4" r:id="rId5"/>
    <sheet name="Client Policy KPIs" sheetId="5" r:id="rId6"/>
    <sheet name="Branch KPIs" sheetId="6" r:id="rId7"/>
    <sheet name="Dashboard" sheetId="12" r:id="rId8"/>
    <sheet name="Additional KPIs" sheetId="14" state="hidden" r:id="rId9"/>
  </sheets>
  <definedNames>
    <definedName name="_xlnm._FilterDatabase" localSheetId="8" hidden="1">'Additional KPIs'!$H$39:$I$44</definedName>
    <definedName name="_xlnm._FilterDatabase" localSheetId="6" hidden="1">'Additional KPIs'!$S$2:$Y$40</definedName>
    <definedName name="_xlnm._FilterDatabase" localSheetId="2" hidden="1">'Additional KPIs'!#REF!</definedName>
    <definedName name="_xlchart.v2.0" hidden="1">'Additional KPIs'!$H$40:$H$44</definedName>
    <definedName name="_xlchart.v2.1" hidden="1">'Additional KPIs'!$I$39</definedName>
    <definedName name="_xlchart.v2.2" hidden="1">'Additional KPIs'!$I$40:$I$44</definedName>
    <definedName name="_xlcn.WorksheetConnection_Project2.xlsxTable2" hidden="1">Table2</definedName>
    <definedName name="Slicer_Branch_Name">#N/A</definedName>
    <definedName name="Slicer_branch_name1">#N/A</definedName>
    <definedName name="Slicer_Branch_Name2">#N/A</definedName>
    <definedName name="Slicer_income_class">#N/A</definedName>
    <definedName name="Slicer_income_class1">#N/A</definedName>
    <definedName name="Slicer_invoice_date__Year">#N/A</definedName>
    <definedName name="Slicer_Segment">#N/A</definedName>
    <definedName name="Slicer_stage">#N/A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 cacheId="12" r:id="rId22"/>
    <pivotCache cacheId="13" r:id="rId23"/>
    <pivotCache cacheId="14" r:id="rId24"/>
    <pivotCache cacheId="15" r:id="rId25"/>
    <pivotCache cacheId="16" r:id="rId26"/>
    <pivotCache cacheId="17" r:id="rId27"/>
    <pivotCache cacheId="18" r:id="rId28"/>
    <pivotCache cacheId="19" r:id="rId29"/>
    <pivotCache cacheId="20" r:id="rId30"/>
    <pivotCache cacheId="21" r:id="rId31"/>
    <pivotCache cacheId="22" r:id="rId32"/>
    <pivotCache cacheId="23" r:id="rId33"/>
  </pivotCaches>
  <extLst>
    <ext xmlns:x14="http://schemas.microsoft.com/office/spreadsheetml/2009/9/main" uri="{876F7934-8845-4945-9796-88D515C7AA90}">
      <x14:pivotCaches>
        <pivotCache cacheId="24" r:id="rId34"/>
      </x14:pivotCaches>
    </ext>
    <ext xmlns:x14="http://schemas.microsoft.com/office/spreadsheetml/2009/9/main" uri="{BBE1A952-AA13-448e-AADC-164F8A28A991}">
      <x14:slicerCaches>
        <x14:slicerCache r:id="rId35"/>
        <x14:slicerCache r:id="rId36"/>
        <x14:slicerCache r:id="rId37"/>
        <x14:slicerCache r:id="rId38"/>
        <x14:slicerCache r:id="rId39"/>
        <x14:slicerCache r:id="rId40"/>
        <x14:slicerCache r:id="rId41"/>
        <x14:slicerCache r:id="rId4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account_exe_053c5aab-d11d-4733-945a-5a54ffef01e7" name="dim_account_exe" connection="Query - dim_account_exe"/>
          <x15:modelTable id="dim_branch_c624988b-6cb0-4575-8df6-3bb515cd5546" name="dim_branch" connection="Query - dim_branch"/>
          <x15:modelTable id="dim_client_14b0123b-2142-467b-9ace-b57d39339960" name="dim_client" connection="Query - dim_client"/>
          <x15:modelTable id="dim_policy_b0c28a73-8d6d-4d10-bb07-811767c567b4" name="dim_policy" connection="Query - dim_policy"/>
          <x15:modelTable id="dim_solution_group_90e1d728-a172-4d76-9ff4-c818bfc44041" name="dim_solution_group" connection="Query - dim_solution_group"/>
          <x15:modelTable id="fees_101d51eb-04bf-4389-b829-040c436f6fb0" name="fees" connection="Query - fees"/>
          <x15:modelTable id="Individual_Budgets_c3ab7ff1-14b3-40ea-bc72-f7fed699710e" name="Individual_Budgets" connection="Query - Individual_Budgets"/>
          <x15:modelTable id="invoice_30b0bfc6-7c0f-4efd-8b8b-544d87fa94f1" name="invoice" connection="Query - invoice"/>
          <x15:modelTable id="meeting_9078836f-fa6c-4c40-87ec-0a5ade2f3e9e" name="meeting" connection="Query - meeting"/>
          <x15:modelTable id="Opportunity_91ee413d-8ae5-48c5-a841-1eef91300190" name="Opportunity" connection="Query - Opportunity"/>
          <x15:modelTable id="brokerage_c7ec8259-17c4-4bb6-a1e3-f578e8a86a84" name="brokerage" connection="Query - brokerage"/>
          <x15:modelTable id="DateTable_a7993fed-5dc5-4cef-8d7d-1ae72e3e383b" name="DateTable" connection="Query - DateTable"/>
          <x15:modelTable id="Table2" name="BudgetAllocation" connection="WorksheetConnection_Project2.xlsx!Table2"/>
        </x15:modelTables>
        <x15:modelRelationships>
          <x15:modelRelationship fromTable="fees" fromColumn="Exec_ID" toTable="dim_account_exe" toColumn="Exec_ID"/>
          <x15:modelRelationship fromTable="fees" fromColumn="branch_name" toTable="dim_branch" toColumn="Branch_Name"/>
          <x15:modelRelationship fromTable="fees" fromColumn="client_name" toTable="dim_client" toColumn="Client_Name"/>
          <x15:modelRelationship fromTable="fees" fromColumn="solution_group" toTable="dim_solution_group" toColumn="Solution_Group"/>
          <x15:modelRelationship fromTable="fees" fromColumn="income_due_date" toTable="DateTable" toColumn="Date"/>
          <x15:modelRelationship fromTable="Individual_Budgets" fromColumn="Exec_ID" toTable="dim_account_exe" toColumn="Exec_ID"/>
          <x15:modelRelationship fromTable="Individual_Budgets" fromColumn="Branch" toTable="dim_branch" toColumn="Branch_Name"/>
          <x15:modelRelationship fromTable="invoice" fromColumn="Exec_ID" toTable="dim_account_exe" toColumn="Exec_ID"/>
          <x15:modelRelationship fromTable="invoice" fromColumn="branch_name" toTable="dim_branch" toColumn="Branch_Name"/>
          <x15:modelRelationship fromTable="invoice" fromColumn="Client_Name" toTable="dim_client" toColumn="Client_Name"/>
          <x15:modelRelationship fromTable="invoice" fromColumn="solution_group" toTable="dim_solution_group" toColumn="Solution_Group"/>
          <x15:modelRelationship fromTable="invoice" fromColumn="invoice_date" toTable="DateTable" toColumn="Date"/>
          <x15:modelRelationship fromTable="meeting" fromColumn="branch_name" toTable="dim_branch" toColumn="Branch_Name"/>
          <x15:modelRelationship fromTable="meeting" fromColumn="meeting_date" toTable="DateTable" toColumn="Date"/>
          <x15:modelRelationship fromTable="meeting" fromColumn="Account Exe ID" toTable="dim_account_exe" toColumn="Exec_ID"/>
          <x15:modelRelationship fromTable="Opportunity" fromColumn="branch" toTable="dim_branch" toColumn="Branch_Name"/>
          <x15:modelRelationship fromTable="Opportunity" fromColumn="closing_date" toTable="DateTable" toColumn="Date"/>
          <x15:modelRelationship fromTable="Opportunity" fromColumn="Account Exe Id" toTable="dim_account_exe" toColumn="Exec_ID"/>
          <x15:modelRelationship fromTable="brokerage" fromColumn="Exec_ID" toTable="dim_account_exe" toColumn="Exec_ID"/>
          <x15:modelRelationship fromTable="brokerage" fromColumn="branch_name" toTable="dim_branch" toColumn="Branch_Name"/>
          <x15:modelRelationship fromTable="brokerage" fromColumn="client_name" toTable="dim_client" toColumn="Client_Name"/>
          <x15:modelRelationship fromTable="brokerage" fromColumn="solution_group" toTable="dim_solution_group" toColumn="Solution_Group"/>
          <x15:modelRelationship fromTable="brokerage" fromColumn="Policy_ID" toTable="dim_policy" toColumn="Policy_ID"/>
          <x15:modelRelationship fromTable="brokerage" fromColumn="policy_start_date" toTable="DateTable" toColumn="Date"/>
          <x15:modelRelationship fromTable="DateTable" fromColumn="Month" toTable="BudgetAllocation" toColumn="Month"/>
        </x15:modelRelationships>
        <x15:extLst>
          <ext xmlns:x16="http://schemas.microsoft.com/office/spreadsheetml/2014/11/main" uri="{9835A34E-60A6-4A7C-AAB8-D5F71C897F49}">
            <x16:modelTimeGroupings>
              <x16:modelTimeGrouping tableName="invoice" columnName="invoice_date" columnId="invoice_date">
                <x16:calculatedTimeColumn columnName="invoice_date (Year)" columnId="invoice_date (Year)" contentType="years" isSelected="1"/>
                <x16:calculatedTimeColumn columnName="invoice_date (Quarter)" columnId="invoice_date (Quarter)" contentType="quarters" isSelected="1"/>
                <x16:calculatedTimeColumn columnName="invoice_date (Month Index)" columnId="invoice_date (Month Index)" contentType="monthsindex" isSelected="1"/>
                <x16:calculatedTimeColumn columnName="invoice_date (Month)" columnId="invoice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3" i="14" l="1"/>
  <c r="I44" i="14"/>
  <c r="I42" i="14"/>
  <c r="I40" i="14"/>
  <c r="I41" i="14"/>
  <c r="H41" i="14"/>
  <c r="H40" i="14"/>
  <c r="H42" i="14"/>
  <c r="H43" i="14"/>
  <c r="H44" i="14"/>
  <c r="I39" i="14"/>
  <c r="H39" i="14"/>
  <c r="L22" i="14"/>
  <c r="L23" i="14"/>
  <c r="L24" i="14"/>
  <c r="L25" i="14"/>
  <c r="L26" i="14"/>
  <c r="L27" i="14"/>
  <c r="L28" i="14"/>
  <c r="U9" i="14"/>
  <c r="T9" i="14"/>
  <c r="U8" i="14"/>
  <c r="T8" i="14"/>
  <c r="U7" i="14"/>
  <c r="T7" i="14"/>
  <c r="U6" i="14"/>
  <c r="T6" i="14"/>
  <c r="U5" i="14"/>
  <c r="T5" i="14"/>
  <c r="U4" i="14"/>
  <c r="T4" i="14"/>
  <c r="U3" i="14"/>
  <c r="T3" i="14"/>
  <c r="Q3" i="14"/>
  <c r="R3" i="14"/>
  <c r="Q4" i="14"/>
  <c r="R4" i="14"/>
  <c r="Q5" i="14"/>
  <c r="R5" i="14"/>
  <c r="Q6" i="14"/>
  <c r="R6" i="14"/>
  <c r="Q7" i="14"/>
  <c r="R7" i="14"/>
  <c r="Q8" i="14"/>
  <c r="R8" i="14"/>
  <c r="Q9" i="14"/>
  <c r="R9" i="14"/>
  <c r="E30" i="14"/>
  <c r="F30" i="14"/>
  <c r="G30" i="14"/>
  <c r="H30" i="14"/>
  <c r="E31" i="14"/>
  <c r="F31" i="14"/>
  <c r="G31" i="14"/>
  <c r="H31" i="14"/>
  <c r="E32" i="14"/>
  <c r="F32" i="14"/>
  <c r="G32" i="14"/>
  <c r="H32" i="14"/>
  <c r="E33" i="14"/>
  <c r="F33" i="14"/>
  <c r="G33" i="14"/>
  <c r="H33" i="14"/>
  <c r="E34" i="14"/>
  <c r="F34" i="14"/>
  <c r="G34" i="14"/>
  <c r="H34" i="14"/>
  <c r="E35" i="14"/>
  <c r="F35" i="14"/>
  <c r="G35" i="14"/>
  <c r="H35" i="14"/>
  <c r="E36" i="14"/>
  <c r="F36" i="14"/>
  <c r="G36" i="14"/>
  <c r="H36" i="14"/>
  <c r="O9" i="14"/>
  <c r="N9" i="14"/>
  <c r="M9" i="14"/>
  <c r="J9" i="14"/>
  <c r="I9" i="14"/>
  <c r="H9" i="14"/>
  <c r="G9" i="14"/>
  <c r="O8" i="14"/>
  <c r="N8" i="14"/>
  <c r="M8" i="14"/>
  <c r="J8" i="14"/>
  <c r="I8" i="14"/>
  <c r="H8" i="14"/>
  <c r="G8" i="14"/>
  <c r="O7" i="14"/>
  <c r="N7" i="14"/>
  <c r="M7" i="14"/>
  <c r="J7" i="14"/>
  <c r="I7" i="14"/>
  <c r="H7" i="14"/>
  <c r="G7" i="14"/>
  <c r="O6" i="14"/>
  <c r="N6" i="14"/>
  <c r="M6" i="14"/>
  <c r="J6" i="14"/>
  <c r="I6" i="14"/>
  <c r="H6" i="14"/>
  <c r="G6" i="14"/>
  <c r="O5" i="14"/>
  <c r="N5" i="14"/>
  <c r="M5" i="14"/>
  <c r="J5" i="14"/>
  <c r="I5" i="14"/>
  <c r="H5" i="14"/>
  <c r="G5" i="14"/>
  <c r="O4" i="14"/>
  <c r="N4" i="14"/>
  <c r="M4" i="14"/>
  <c r="J4" i="14"/>
  <c r="I4" i="14"/>
  <c r="H4" i="14"/>
  <c r="G4" i="14"/>
  <c r="O3" i="14"/>
  <c r="N3" i="14"/>
  <c r="M3" i="14"/>
  <c r="J3" i="14"/>
  <c r="I3" i="14"/>
  <c r="H3" i="14"/>
  <c r="G3" i="14"/>
  <c r="C35" i="14" a="1"/>
  <c r="C35" i="14" s="1"/>
  <c r="B35" i="14" a="1"/>
  <c r="B35" i="14" s="1"/>
  <c r="A35" i="14" a="1"/>
  <c r="A35" i="14" s="1"/>
  <c r="H25" i="14"/>
  <c r="H24" i="14"/>
  <c r="H23" i="14"/>
  <c r="G25" i="14"/>
  <c r="G24" i="14"/>
  <c r="G23" i="14"/>
  <c r="F25" i="14"/>
  <c r="F24" i="14"/>
  <c r="F23" i="14"/>
  <c r="V20" i="12"/>
  <c r="V18" i="12"/>
  <c r="V16" i="12"/>
  <c r="V14" i="12"/>
  <c r="G3" i="12"/>
  <c r="D3" i="12"/>
  <c r="S3" i="12"/>
  <c r="P3" i="12"/>
  <c r="M3" i="12"/>
  <c r="J3" i="12"/>
  <c r="BA4" i="12"/>
  <c r="BA3" i="12"/>
  <c r="BA1" i="12"/>
  <c r="BA2"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27BE4CE-A45B-41D1-9D04-A1E2A89C51A6}" name="Query - brokerage" description="Connection to the 'brokerage' query in the workbook." type="100" refreshedVersion="8" minRefreshableVersion="5">
    <extLst>
      <ext xmlns:x15="http://schemas.microsoft.com/office/spreadsheetml/2010/11/main" uri="{DE250136-89BD-433C-8126-D09CA5730AF9}">
        <x15:connection id="602dacf9-fed2-4364-9ae9-ed9bde0c059e"/>
      </ext>
    </extLst>
  </connection>
  <connection id="2" xr16:uid="{BC0B3B2F-7D9C-4BE8-9860-B3CAEBC9F739}" name="Query - DateTable" description="Connection to the 'DateTable' query in the workbook." type="100" refreshedVersion="8" minRefreshableVersion="5">
    <extLst>
      <ext xmlns:x15="http://schemas.microsoft.com/office/spreadsheetml/2010/11/main" uri="{DE250136-89BD-433C-8126-D09CA5730AF9}">
        <x15:connection id="324f7130-6a8f-4b45-a44e-d8fe32d79e35"/>
      </ext>
    </extLst>
  </connection>
  <connection id="3" xr16:uid="{063AAA5D-A343-4185-98B0-4BA7A08A5E28}" keepAlive="1" name="Query - DateTable1" description="Connection to the 'DateTable' query in the workbook." type="5" refreshedVersion="0" background="1">
    <dbPr connection="Provider=Microsoft.Mashup.OleDb.1;Data Source=$Workbook$;Location=DateTable;Extended Properties=&quot;&quot;" command="SELECT * FROM [DateTable]"/>
  </connection>
  <connection id="4" xr16:uid="{0103AE7D-1502-4232-9B5B-FF292090F063}" name="Query - dim_account_exe" description="Connection to the 'dim_account_exe' query in the workbook." type="100" refreshedVersion="8" minRefreshableVersion="5">
    <extLst>
      <ext xmlns:x15="http://schemas.microsoft.com/office/spreadsheetml/2010/11/main" uri="{DE250136-89BD-433C-8126-D09CA5730AF9}">
        <x15:connection id="d88841ad-15c6-46c0-913b-04587fb1edef">
          <x15:oledbPr connection="Provider=Microsoft.Mashup.OleDb.1;Data Source=$Workbook$;Location=dim_account_exe;Extended Properties=&quot;&quot;">
            <x15:dbTables>
              <x15:dbTable name="dim_account_exe"/>
            </x15:dbTables>
          </x15:oledbPr>
        </x15:connection>
      </ext>
    </extLst>
  </connection>
  <connection id="5" xr16:uid="{DE14B998-6F20-46B5-860D-AB2FF14DBBCE}" name="Query - dim_branch" description="Connection to the 'dim_branch' query in the workbook." type="100" refreshedVersion="8" minRefreshableVersion="5">
    <extLst>
      <ext xmlns:x15="http://schemas.microsoft.com/office/spreadsheetml/2010/11/main" uri="{DE250136-89BD-433C-8126-D09CA5730AF9}">
        <x15:connection id="cdf1dcdc-9e5b-4f7f-8998-a7763287bc36"/>
      </ext>
    </extLst>
  </connection>
  <connection id="6" xr16:uid="{789C747B-E977-4EB6-93CB-D96E1AA5A602}" name="Query - dim_client" description="Connection to the 'dim_client' query in the workbook." type="100" refreshedVersion="8" minRefreshableVersion="5">
    <extLst>
      <ext xmlns:x15="http://schemas.microsoft.com/office/spreadsheetml/2010/11/main" uri="{DE250136-89BD-433C-8126-D09CA5730AF9}">
        <x15:connection id="057a00c1-231d-4e67-8cab-2e3e2e087c32">
          <x15:oledbPr connection="Provider=Microsoft.Mashup.OleDb.1;Data Source=$Workbook$;Location=dim_client;Extended Properties=&quot;&quot;">
            <x15:dbTables>
              <x15:dbTable name="dim_client"/>
            </x15:dbTables>
          </x15:oledbPr>
        </x15:connection>
      </ext>
    </extLst>
  </connection>
  <connection id="7" xr16:uid="{E5368674-125B-43EB-80CD-B0E1675E38CF}" name="Query - dim_policy" description="Connection to the 'dim_policy' query in the workbook." type="100" refreshedVersion="8" minRefreshableVersion="5">
    <extLst>
      <ext xmlns:x15="http://schemas.microsoft.com/office/spreadsheetml/2010/11/main" uri="{DE250136-89BD-433C-8126-D09CA5730AF9}">
        <x15:connection id="6b85273a-9ddb-4b86-866f-f37c331e793f">
          <x15:oledbPr connection="Provider=Microsoft.Mashup.OleDb.1;Data Source=$Workbook$;Location=dim_policy;Extended Properties=&quot;&quot;">
            <x15:dbTables>
              <x15:dbTable name="dim_policy"/>
            </x15:dbTables>
          </x15:oledbPr>
        </x15:connection>
      </ext>
    </extLst>
  </connection>
  <connection id="8" xr16:uid="{5C7A022E-FB44-4232-8E2A-88086C1139CF}" name="Query - dim_solution_group" description="Connection to the 'dim_solution_group' query in the workbook." type="100" refreshedVersion="8" minRefreshableVersion="5">
    <extLst>
      <ext xmlns:x15="http://schemas.microsoft.com/office/spreadsheetml/2010/11/main" uri="{DE250136-89BD-433C-8126-D09CA5730AF9}">
        <x15:connection id="0d554b08-afe2-4e3a-86a6-a2ec1db89ae0">
          <x15:oledbPr connection="Provider=Microsoft.Mashup.OleDb.1;Data Source=$Workbook$;Location=dim_solution_group;Extended Properties=&quot;&quot;">
            <x15:dbTables>
              <x15:dbTable name="dim_solution_group"/>
            </x15:dbTables>
          </x15:oledbPr>
        </x15:connection>
      </ext>
    </extLst>
  </connection>
  <connection id="9" xr16:uid="{89FE19EB-8672-4709-8D76-5C1CB13AAF76}" name="Query - fees" description="Connection to the 'fees' query in the workbook." type="100" refreshedVersion="8" minRefreshableVersion="5">
    <extLst>
      <ext xmlns:x15="http://schemas.microsoft.com/office/spreadsheetml/2010/11/main" uri="{DE250136-89BD-433C-8126-D09CA5730AF9}">
        <x15:connection id="b051395b-b84c-4834-8019-8e3c78b24254">
          <x15:oledbPr connection="Provider=Microsoft.Mashup.OleDb.1;Data Source=$Workbook$;Location=fees;Extended Properties=&quot;&quot;">
            <x15:dbTables>
              <x15:dbTable name="fees"/>
            </x15:dbTables>
          </x15:oledbPr>
        </x15:connection>
      </ext>
    </extLst>
  </connection>
  <connection id="10" xr16:uid="{5A72CA6B-5F7E-46C4-BA49-AADC9483148A}" name="Query - Individual_Budgets" description="Connection to the 'Individual_Budgets' query in the workbook." type="100" refreshedVersion="8" minRefreshableVersion="5">
    <extLst>
      <ext xmlns:x15="http://schemas.microsoft.com/office/spreadsheetml/2010/11/main" uri="{DE250136-89BD-433C-8126-D09CA5730AF9}">
        <x15:connection id="c9e2162e-75fb-45eb-ae98-e3f320f5c5f4"/>
      </ext>
    </extLst>
  </connection>
  <connection id="11" xr16:uid="{B6498279-D406-4EB4-BAF6-2EB11EC0C482}" name="Query - invoice" description="Connection to the 'invoice' query in the workbook." type="100" refreshedVersion="8" minRefreshableVersion="5">
    <extLst>
      <ext xmlns:x15="http://schemas.microsoft.com/office/spreadsheetml/2010/11/main" uri="{DE250136-89BD-433C-8126-D09CA5730AF9}">
        <x15:connection id="52883248-6f4a-4de0-b9be-e87adf0bde99"/>
      </ext>
    </extLst>
  </connection>
  <connection id="12" xr16:uid="{EA8B006A-24C3-4A7B-832D-F4AF0CFF4522}" name="Query - meeting" description="Connection to the 'meeting' query in the workbook." type="100" refreshedVersion="8" minRefreshableVersion="5">
    <extLst>
      <ext xmlns:x15="http://schemas.microsoft.com/office/spreadsheetml/2010/11/main" uri="{DE250136-89BD-433C-8126-D09CA5730AF9}">
        <x15:connection id="9d37aeb5-ff28-4c23-a9d7-34118e9c493e"/>
      </ext>
    </extLst>
  </connection>
  <connection id="13" xr16:uid="{204022EB-E87F-4358-9C12-5ABACE87E702}" name="Query - Opportunity" description="Connection to the 'Opportunity' query in the workbook." type="100" refreshedVersion="8" minRefreshableVersion="5">
    <extLst>
      <ext xmlns:x15="http://schemas.microsoft.com/office/spreadsheetml/2010/11/main" uri="{DE250136-89BD-433C-8126-D09CA5730AF9}">
        <x15:connection id="209ff178-6569-4fc2-9116-9d644dd13c6f"/>
      </ext>
    </extLst>
  </connection>
  <connection id="14" xr16:uid="{4A395D71-C749-4DDA-BD7A-B4773EF64F4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5E0434A8-0CB7-4E86-9493-3A40D5C17BBB}" name="WorksheetConnection_Project2.xlsx!Table2" type="102" refreshedVersion="8" minRefreshableVersion="5">
    <extLst>
      <ext xmlns:x15="http://schemas.microsoft.com/office/spreadsheetml/2010/11/main" uri="{DE250136-89BD-433C-8126-D09CA5730AF9}">
        <x15:connection id="Table2">
          <x15:rangePr sourceName="_xlcn.WorksheetConnection_Project2.xlsxTable2"/>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2">
    <s v="ThisWorkbookDataModel"/>
    <s v="{[Opportunity].[stage].[All]}"/>
  </metadataStrings>
  <mdxMetadata count="1">
    <mdx n="0" f="s">
      <ms ns="1" c="0"/>
    </mdx>
  </mdx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<sst xmlns="http://schemas.openxmlformats.org/spreadsheetml/2006/main" count="675" uniqueCount="257">
  <si>
    <t>New_Achievement_%</t>
  </si>
  <si>
    <t>Cross_Sell_Achievement_%</t>
  </si>
  <si>
    <t>Renewal_Achievement_%</t>
  </si>
  <si>
    <t xml:space="preserve">Placed_vs_Invoiced_Gap </t>
  </si>
  <si>
    <t>Invoice_Achievement_%</t>
  </si>
  <si>
    <t>Open_Opportunity_Count</t>
  </si>
  <si>
    <t>Open_Opportunity_Revenue</t>
  </si>
  <si>
    <t>Closed_Won_Count</t>
  </si>
  <si>
    <t>Closed_Won_Revenue</t>
  </si>
  <si>
    <t>Closed_Lost_Count</t>
  </si>
  <si>
    <t>Conversion_Ratio</t>
  </si>
  <si>
    <t>Pipeline_Coverage_Ratio</t>
  </si>
  <si>
    <t>Average_Deal_Size</t>
  </si>
  <si>
    <t>Branch_Conversion_Ratio</t>
  </si>
  <si>
    <t>Meetings_per_Exec</t>
  </si>
  <si>
    <t>Branch_Meeting_Intensity</t>
  </si>
  <si>
    <t>Invoices_by_Exec</t>
  </si>
  <si>
    <t>Average_Invoice_Value</t>
  </si>
  <si>
    <t>Revenue_per_Invoice</t>
  </si>
  <si>
    <t>Renewal_Hit_Rate</t>
  </si>
  <si>
    <t>Revenue_per_Client</t>
  </si>
  <si>
    <t>Branch_Budget_vs_Placed_Inv</t>
  </si>
  <si>
    <t>Exec_Revenue_Contribution_%</t>
  </si>
  <si>
    <t>Brokerage</t>
  </si>
  <si>
    <t>Mumbai</t>
  </si>
  <si>
    <t>Pooja Singhania</t>
  </si>
  <si>
    <t>Renewal</t>
  </si>
  <si>
    <t>Anjali Mehta</t>
  </si>
  <si>
    <t>Rohit Desai</t>
  </si>
  <si>
    <t>Vikram Shah</t>
  </si>
  <si>
    <t>Sanjay Patil</t>
  </si>
  <si>
    <t>Neha Joshi</t>
  </si>
  <si>
    <t>Delhi</t>
  </si>
  <si>
    <t>Ritu Saxena</t>
  </si>
  <si>
    <t>Deepak Verma</t>
  </si>
  <si>
    <t>Sunita Arora</t>
  </si>
  <si>
    <t>Kavya Sharma</t>
  </si>
  <si>
    <t>Mohit Gupta</t>
  </si>
  <si>
    <t>Bangalore</t>
  </si>
  <si>
    <t>Meera Pillai</t>
  </si>
  <si>
    <t>Arjun Prabhu</t>
  </si>
  <si>
    <t>Rahul Kumar</t>
  </si>
  <si>
    <t>Divya Menon</t>
  </si>
  <si>
    <t>Karthik Iyer</t>
  </si>
  <si>
    <t>Sneha Rao</t>
  </si>
  <si>
    <t>Chennai</t>
  </si>
  <si>
    <t>Lakshmi Rajan</t>
  </si>
  <si>
    <t>Muthu Raman</t>
  </si>
  <si>
    <t>Pradeep Mohan</t>
  </si>
  <si>
    <t>Ananya Suresh</t>
  </si>
  <si>
    <t>Pune</t>
  </si>
  <si>
    <t>Swati Deshpande</t>
  </si>
  <si>
    <t>Sachin Bhor</t>
  </si>
  <si>
    <t>Nitin Joshi</t>
  </si>
  <si>
    <t>Rekha Pawar</t>
  </si>
  <si>
    <t>Hyderabad</t>
  </si>
  <si>
    <t>Chandra Mouli</t>
  </si>
  <si>
    <t>Madhavi Latha</t>
  </si>
  <si>
    <t>Srinivas Rao</t>
  </si>
  <si>
    <t>Ravi Shankar</t>
  </si>
  <si>
    <t>Bhavani Devi</t>
  </si>
  <si>
    <t>Arun Khanna</t>
  </si>
  <si>
    <t>Vijay Krishnan</t>
  </si>
  <si>
    <t>Pallavi More</t>
  </si>
  <si>
    <t>Ahmedabad</t>
  </si>
  <si>
    <t>Gilbert</t>
  </si>
  <si>
    <t>Vinay</t>
  </si>
  <si>
    <t>Mark</t>
  </si>
  <si>
    <t>New</t>
  </si>
  <si>
    <t>Abhinav Shivam</t>
  </si>
  <si>
    <t>Cross Sell</t>
  </si>
  <si>
    <t>Juli</t>
  </si>
  <si>
    <t>Ketan Jain</t>
  </si>
  <si>
    <t>Vidit Shah</t>
  </si>
  <si>
    <t>Animesh Rawat</t>
  </si>
  <si>
    <t xml:space="preserve">RevenueGrowth%_YoY </t>
  </si>
  <si>
    <t>Row Labels</t>
  </si>
  <si>
    <t>Grand Total</t>
  </si>
  <si>
    <t>Year</t>
  </si>
  <si>
    <t>Column Labels</t>
  </si>
  <si>
    <t>Emerging Corporate</t>
  </si>
  <si>
    <t>Large Corporate</t>
  </si>
  <si>
    <t>Mid Corporate</t>
  </si>
  <si>
    <t>SME</t>
  </si>
  <si>
    <t>Agriculture</t>
  </si>
  <si>
    <t>Automotive</t>
  </si>
  <si>
    <t>Aviation</t>
  </si>
  <si>
    <t>Chemical</t>
  </si>
  <si>
    <t>Construction</t>
  </si>
  <si>
    <t>Education</t>
  </si>
  <si>
    <t>Energy</t>
  </si>
  <si>
    <t>Financial Services</t>
  </si>
  <si>
    <t>FMCG</t>
  </si>
  <si>
    <t>Healthcare</t>
  </si>
  <si>
    <t>Hospitality</t>
  </si>
  <si>
    <t>IT/Technology</t>
  </si>
  <si>
    <t>Logistics</t>
  </si>
  <si>
    <t>Manufacturing</t>
  </si>
  <si>
    <t>Media</t>
  </si>
  <si>
    <t>Pharmaceuticals</t>
  </si>
  <si>
    <t>Real Estate</t>
  </si>
  <si>
    <t>Retail</t>
  </si>
  <si>
    <t>Shipping</t>
  </si>
  <si>
    <t>Textiles</t>
  </si>
  <si>
    <t>Branch_Name</t>
  </si>
  <si>
    <t>Placed_revenue</t>
  </si>
  <si>
    <t>📊  BRANCH PERFORMANCE SUMMARY  |  Revenue vs Budget Achievement</t>
  </si>
  <si>
    <t>PIPELINE KPIs BY BRANCH</t>
  </si>
  <si>
    <t>Lost</t>
  </si>
  <si>
    <t>Negotiate</t>
  </si>
  <si>
    <t>Propose Solution</t>
  </si>
  <si>
    <t>Qualify Opportunity</t>
  </si>
  <si>
    <t>Won</t>
  </si>
  <si>
    <t>Sum of revenue_amount</t>
  </si>
  <si>
    <t>TOP 10 OPEN OPPORTUNITIES  (by Revenue)</t>
  </si>
  <si>
    <t>Adani Servic-EB</t>
  </si>
  <si>
    <t>Bharat Holdi-MRN</t>
  </si>
  <si>
    <t>Dabur Intern-LIB</t>
  </si>
  <si>
    <t>General Indi-PBN</t>
  </si>
  <si>
    <t>Lupin Intern-SME</t>
  </si>
  <si>
    <t>Northern Ind-PBN</t>
  </si>
  <si>
    <t>Reliance Ltd-CAR</t>
  </si>
  <si>
    <t>Royal Ltd-EB</t>
  </si>
  <si>
    <t>Star Exports-LIB</t>
  </si>
  <si>
    <t>Summit Expor-EB</t>
  </si>
  <si>
    <t>stage</t>
  </si>
  <si>
    <t>All</t>
  </si>
  <si>
    <t>Shivani Sharma</t>
  </si>
  <si>
    <t>OPP1900003128</t>
  </si>
  <si>
    <t>OPP1900003332</t>
  </si>
  <si>
    <t>opportunity_id</t>
  </si>
  <si>
    <t>opportunity_name</t>
  </si>
  <si>
    <t>Account Executive</t>
  </si>
  <si>
    <t>branch</t>
  </si>
  <si>
    <t>OPP1900003185</t>
  </si>
  <si>
    <t>OPP1900003244</t>
  </si>
  <si>
    <t>OPP1900003248</t>
  </si>
  <si>
    <t>OPP1900003262</t>
  </si>
  <si>
    <t>OPP1900003281</t>
  </si>
  <si>
    <t>OPP1900003282</t>
  </si>
  <si>
    <t>OPP1900003303</t>
  </si>
  <si>
    <t>OPP1900003326</t>
  </si>
  <si>
    <t>branch_name</t>
  </si>
  <si>
    <t>Kavitha Reddy</t>
  </si>
  <si>
    <t>Manish Sharma</t>
  </si>
  <si>
    <t>Rajiv Mehta</t>
  </si>
  <si>
    <t>Raju Kumar</t>
  </si>
  <si>
    <t>Count of meeting_date</t>
  </si>
  <si>
    <t>Unique executives</t>
  </si>
  <si>
    <t>Total Meetings</t>
  </si>
  <si>
    <t>Meetings per executives</t>
  </si>
  <si>
    <t>Total meetings 2019</t>
  </si>
  <si>
    <t>Total meetings 2020</t>
  </si>
  <si>
    <t>Meeting to Opportunity Ratio</t>
  </si>
  <si>
    <t>Meeting to Won Ratio</t>
  </si>
  <si>
    <t>Account_Executive</t>
  </si>
  <si>
    <t>Count of invoices</t>
  </si>
  <si>
    <t>INVOICE KPIs BY ACCOUNT EXECUTIVE</t>
  </si>
  <si>
    <t>INVOICE COUNT BY TYPE</t>
  </si>
  <si>
    <t>Branch</t>
  </si>
  <si>
    <t>Sum of Amount</t>
  </si>
  <si>
    <t>Invoice Amount</t>
  </si>
  <si>
    <t>Number of invoices</t>
  </si>
  <si>
    <t>ACTIVE VS INACTIVE POLICY RATIO</t>
  </si>
  <si>
    <t>Kumar Jha</t>
  </si>
  <si>
    <t>Active_Policy%</t>
  </si>
  <si>
    <t>TOP 10 WON OPPORTUNITIES  (by Revenue)</t>
  </si>
  <si>
    <t>Industry</t>
  </si>
  <si>
    <t>Industry Revenue %</t>
  </si>
  <si>
    <t>Client_Segment_%</t>
  </si>
  <si>
    <t>Unclassified</t>
  </si>
  <si>
    <t>Total_Placed_Revenue</t>
  </si>
  <si>
    <t>2019</t>
  </si>
  <si>
    <t>2020</t>
  </si>
  <si>
    <t>Total Budget</t>
  </si>
  <si>
    <t>Overall Achievement %</t>
  </si>
  <si>
    <t>Won Opportunities</t>
  </si>
  <si>
    <t>Conversion Ratio</t>
  </si>
  <si>
    <t>Total Meetings YTD</t>
  </si>
  <si>
    <t>Total Placed Revenue</t>
  </si>
  <si>
    <t>Budget</t>
  </si>
  <si>
    <t>New %</t>
  </si>
  <si>
    <t>Cross‑Sell %</t>
  </si>
  <si>
    <t>Renewal %</t>
  </si>
  <si>
    <t>Revenue</t>
  </si>
  <si>
    <t>Conversion ratio</t>
  </si>
  <si>
    <t>Pipeline Coverage Ratio %</t>
  </si>
  <si>
    <t>Overall_Achievement_%</t>
  </si>
  <si>
    <t>Total_Branch_Budget</t>
  </si>
  <si>
    <t>INSURANCE BRANCH PERFORMANCE DASHBOARD  |  FY 2019–20</t>
  </si>
  <si>
    <t>Reference_100%</t>
  </si>
  <si>
    <t>New Achievement%</t>
  </si>
  <si>
    <t>Cross Sell Achievement%</t>
  </si>
  <si>
    <t>Renewal Achievement%</t>
  </si>
  <si>
    <t>Invoice Achievement%</t>
  </si>
  <si>
    <t>Sum of Budget_New</t>
  </si>
  <si>
    <t>Sum of Budget_CrossSell</t>
  </si>
  <si>
    <t>Sum of Budget_Renewal</t>
  </si>
  <si>
    <t>Invoice</t>
  </si>
  <si>
    <t>Fee</t>
  </si>
  <si>
    <t>Category</t>
  </si>
  <si>
    <t>Achieved</t>
  </si>
  <si>
    <t>Target</t>
  </si>
  <si>
    <t>April</t>
  </si>
  <si>
    <t>August</t>
  </si>
  <si>
    <t>December</t>
  </si>
  <si>
    <t>February</t>
  </si>
  <si>
    <t>January</t>
  </si>
  <si>
    <t>July</t>
  </si>
  <si>
    <t>June</t>
  </si>
  <si>
    <t>March</t>
  </si>
  <si>
    <t>May</t>
  </si>
  <si>
    <t>November</t>
  </si>
  <si>
    <t>October</t>
  </si>
  <si>
    <t>September</t>
  </si>
  <si>
    <t>Achieved_Revenue</t>
  </si>
  <si>
    <t>Month</t>
  </si>
  <si>
    <t>Invoiced amount</t>
  </si>
  <si>
    <t>Top Exec by Revenue</t>
  </si>
  <si>
    <t>MEETING COUNT BY BRANCH</t>
  </si>
  <si>
    <t>Revenue per Client by Branch</t>
  </si>
  <si>
    <t>BRANCH SCORECARD</t>
  </si>
  <si>
    <t>EXECUTIVE SCORECARD</t>
  </si>
  <si>
    <t>Average revenue</t>
  </si>
  <si>
    <t>Count</t>
  </si>
  <si>
    <t>Opportunity stage</t>
  </si>
  <si>
    <t>MEETING COUNT BY ACCOUNT EXECUTIVE (TOP 10)</t>
  </si>
  <si>
    <t>Branch Performance &amp; Sales Dashboard</t>
  </si>
  <si>
    <t>Strategic Performance Intelligence  |  FY 2019–20  |  7 Branches  |  51 Account Executives</t>
  </si>
  <si>
    <t>📋  DASHBOARD NAVIGATION</t>
  </si>
  <si>
    <t>📊 Branch Summary</t>
  </si>
  <si>
    <t>Branch revenue vs budget achievement, new/cross‑sell/renewal performance.</t>
  </si>
  <si>
    <t>📊 Performance</t>
  </si>
  <si>
    <t>🤝 Meeting Activity</t>
  </si>
  <si>
    <t>🔁 Pipeline &amp; Opportunities</t>
  </si>
  <si>
    <t>Opportunity funnel stages, conversion ratios, pipeline coverage, top deals.</t>
  </si>
  <si>
    <t>Meeting counts, meeting intensity, meeting‑to‑opportunity ratios.</t>
  </si>
  <si>
    <t>📄 Invoice Analysis</t>
  </si>
  <si>
    <t>Invoice count by type, revenue per invoice, YoY growth, branch &amp; exec breakdown.</t>
  </si>
  <si>
    <t>👤 Client Policy</t>
  </si>
  <si>
    <t>Active vs inactive policy ratio, renewal hit rate, client segment mix.</t>
  </si>
  <si>
    <t>Branch scorecards: budget vs placed revenue, conversion ratio, meeting intensity, executive contribution.</t>
  </si>
  <si>
    <t>🏦 Dashboard</t>
  </si>
  <si>
    <t>Overall consolidated view: placed revenue, budget, achievement %, won opportunities, conversion ratio, meetings YTD.</t>
  </si>
  <si>
    <t>Performance KPIs</t>
  </si>
  <si>
    <t>Pipeline KPIs</t>
  </si>
  <si>
    <t>Activity KPIs</t>
  </si>
  <si>
    <t>Dashboard</t>
  </si>
  <si>
    <t>Branch KPIs</t>
  </si>
  <si>
    <t>Client Policy KPIs</t>
  </si>
  <si>
    <t>Invoice KPIs</t>
  </si>
  <si>
    <t>ACTIVITY KPIs</t>
  </si>
  <si>
    <t>INVOICE KPIs</t>
  </si>
  <si>
    <t>CLIENT POLICY KPIs</t>
  </si>
  <si>
    <t>REVENUE PER CLIENT PER EXECUTIVES</t>
  </si>
  <si>
    <t>% contribution of each segment</t>
  </si>
  <si>
    <t>% contribution of each industry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</si>
</sst>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quot;₹&quot;\ #,##0.00"/>
    <numFmt numFmtId="166" formatCode="#.0,\K"/>
    <numFmt numFmtId="167" formatCode="&quot;₹&quot;\ #,##0.0\ &quot;Cr&quot;"/>
  </numFmts>
  <fonts count="19">
    <font>
      <sz val="11"/>
      <color theme="1"/>
      <name val="Calibri"/>
      <family val="2"/>
      <scheme val="minor"/>
    </font>
    <font>
      <b/>
      <sz val="11"/>
      <color theme="1"/>
      <name val="Calibri"/>
      <family val="2"/>
      <scheme val="minor"/>
    </font>
    <font>
      <b/>
      <sz val="15"/>
      <color rgb="FFFFFFFF"/>
      <name val="Calibri"/>
      <family val="2"/>
    </font>
    <font>
      <b/>
      <sz val="12"/>
      <color rgb="FF1A3A5C"/>
      <name val="Calibri"/>
      <family val="2"/>
    </font>
    <font>
      <b/>
      <sz val="12"/>
      <color rgb="FFE85D04"/>
      <name val="Calibri"/>
      <family val="2"/>
    </font>
    <font>
      <b/>
      <sz val="12"/>
      <color rgb="FF7B2D8B"/>
      <name val="Calibri"/>
      <family val="2"/>
    </font>
    <font>
      <sz val="10"/>
      <color theme="1"/>
      <name val="Arial Unicode MS"/>
    </font>
    <font>
      <b/>
      <sz val="12"/>
      <color theme="1"/>
      <name val="Calibri"/>
      <family val="2"/>
      <scheme val="minor"/>
    </font>
    <font>
      <b/>
      <sz val="18"/>
      <color theme="0"/>
      <name val="Segoe UI Semibold"/>
      <family val="2"/>
    </font>
    <font>
      <b/>
      <sz val="14"/>
      <color theme="0"/>
      <name val="Calibri"/>
      <family val="2"/>
      <scheme val="minor"/>
    </font>
    <font>
      <b/>
      <sz val="12"/>
      <color theme="0"/>
      <name val="Calibri"/>
      <family val="2"/>
      <scheme val="minor"/>
    </font>
    <font>
      <b/>
      <sz val="11"/>
      <color theme="0"/>
      <name val="Calibri"/>
      <family val="2"/>
      <scheme val="minor"/>
    </font>
    <font>
      <u/>
      <sz val="11"/>
      <color theme="10"/>
      <name val="Calibri"/>
      <family val="2"/>
      <scheme val="minor"/>
    </font>
    <font>
      <b/>
      <sz val="10"/>
      <color rgb="FF1A3A5C"/>
      <name val="Calibri"/>
      <family val="2"/>
    </font>
    <font>
      <b/>
      <sz val="28"/>
      <color rgb="FFFFFFFF"/>
      <name val="Calibri"/>
      <family val="2"/>
    </font>
    <font>
      <i/>
      <sz val="12"/>
      <color rgb="FFFFFFFF"/>
      <name val="Calibri"/>
      <family val="2"/>
    </font>
    <font>
      <b/>
      <sz val="14"/>
      <color rgb="FF1A3A5C"/>
      <name val="Calibri"/>
      <family val="2"/>
    </font>
    <font>
      <sz val="11"/>
      <color rgb="FFFFFFFF"/>
      <name val="Calibri"/>
      <family val="2"/>
    </font>
    <font>
      <b/>
      <u/>
      <sz val="11"/>
      <color theme="0"/>
      <name val="Calibri"/>
      <family val="2"/>
      <scheme val="minor"/>
    </font>
  </fonts>
  <fills count="20">
    <fill>
      <patternFill patternType="none"/>
    </fill>
    <fill>
      <patternFill patternType="gray125"/>
    </fill>
    <fill>
      <patternFill patternType="solid">
        <fgColor theme="4" tint="0.79998168889431442"/>
        <bgColor theme="4" tint="0.79998168889431442"/>
      </patternFill>
    </fill>
    <fill>
      <patternFill patternType="solid">
        <fgColor rgb="FF1A3A5C"/>
        <bgColor rgb="FF374151"/>
      </patternFill>
    </fill>
    <fill>
      <patternFill patternType="solid">
        <fgColor rgb="FFEBF4FF"/>
        <bgColor rgb="FFE6F7F7"/>
      </patternFill>
    </fill>
    <fill>
      <patternFill patternType="solid">
        <fgColor rgb="FFFFF4EC"/>
        <bgColor rgb="FFFFFBEB"/>
      </patternFill>
    </fill>
    <fill>
      <patternFill patternType="solid">
        <fgColor rgb="FFF5E6FF"/>
        <bgColor rgb="FFFFE6E6"/>
      </patternFill>
    </fill>
    <fill>
      <patternFill patternType="solid">
        <fgColor rgb="FF1A3A5C"/>
        <bgColor indexed="64"/>
      </patternFill>
    </fill>
    <fill>
      <patternFill patternType="solid">
        <fgColor rgb="FF0E7C7B"/>
        <bgColor indexed="64"/>
      </patternFill>
    </fill>
    <fill>
      <patternFill patternType="solid">
        <fgColor rgb="FF2E5F8A"/>
        <bgColor indexed="64"/>
      </patternFill>
    </fill>
    <fill>
      <patternFill patternType="solid">
        <fgColor theme="4"/>
        <bgColor indexed="64"/>
      </patternFill>
    </fill>
    <fill>
      <patternFill patternType="solid">
        <fgColor theme="4" tint="0.39997558519241921"/>
        <bgColor indexed="64"/>
      </patternFill>
    </fill>
    <fill>
      <patternFill patternType="solid">
        <fgColor rgb="FF159B91"/>
        <bgColor indexed="64"/>
      </patternFill>
    </fill>
    <fill>
      <patternFill patternType="solid">
        <fgColor rgb="FF0E7C7B"/>
        <bgColor rgb="FF2D6A4F"/>
      </patternFill>
    </fill>
    <fill>
      <patternFill patternType="solid">
        <fgColor rgb="FFF8FAFC"/>
        <bgColor rgb="FFF9FAFB"/>
      </patternFill>
    </fill>
    <fill>
      <patternFill patternType="solid">
        <fgColor rgb="FFE85D04"/>
        <bgColor rgb="FFFF9900"/>
      </patternFill>
    </fill>
    <fill>
      <patternFill patternType="solid">
        <fgColor rgb="FF2D6A4F"/>
        <bgColor rgb="FF2E5F8A"/>
      </patternFill>
    </fill>
    <fill>
      <patternFill patternType="solid">
        <fgColor rgb="FF234E74"/>
        <bgColor rgb="FF2E5F8A"/>
      </patternFill>
    </fill>
    <fill>
      <patternFill patternType="solid">
        <fgColor rgb="FFF59E0B"/>
        <bgColor rgb="FF374151"/>
      </patternFill>
    </fill>
    <fill>
      <patternFill patternType="solid">
        <fgColor rgb="FF7B2D8B"/>
        <bgColor rgb="FF993366"/>
      </patternFill>
    </fill>
  </fills>
  <borders count="31">
    <border>
      <left/>
      <right/>
      <top/>
      <bottom/>
      <diagonal/>
    </border>
    <border>
      <left/>
      <right/>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theme="4" tint="0.39997558519241921"/>
      </bottom>
      <diagonal/>
    </border>
    <border>
      <left/>
      <right style="medium">
        <color indexed="64"/>
      </right>
      <top/>
      <bottom style="thin">
        <color theme="4" tint="0.3999755851924192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theme="4" tint="0.39997558519241921"/>
      </bottom>
      <diagonal/>
    </border>
    <border>
      <left/>
      <right style="medium">
        <color indexed="64"/>
      </right>
      <top style="medium">
        <color indexed="64"/>
      </top>
      <bottom style="thin">
        <color theme="4" tint="0.39997558519241921"/>
      </bottom>
      <diagonal/>
    </border>
    <border>
      <left/>
      <right/>
      <top style="thin">
        <color rgb="FF1A3A5C"/>
      </top>
      <bottom/>
      <diagonal/>
    </border>
    <border>
      <left style="medium">
        <color indexed="64"/>
      </left>
      <right/>
      <top style="thin">
        <color rgb="FF1A3A5C"/>
      </top>
      <bottom/>
      <diagonal/>
    </border>
    <border>
      <left style="thin">
        <color rgb="FF0E7C7B"/>
      </left>
      <right/>
      <top style="medium">
        <color indexed="64"/>
      </top>
      <bottom/>
      <diagonal/>
    </border>
    <border>
      <left style="thin">
        <color rgb="FF0E7C7B"/>
      </left>
      <right/>
      <top/>
      <bottom/>
      <diagonal/>
    </border>
    <border>
      <left style="thin">
        <color rgb="FF0E7C7B"/>
      </left>
      <right/>
      <top/>
      <bottom style="medium">
        <color indexed="64"/>
      </bottom>
      <diagonal/>
    </border>
    <border>
      <left/>
      <right/>
      <top style="thin">
        <color rgb="FF2D6A4F"/>
      </top>
      <bottom/>
      <diagonal/>
    </border>
    <border>
      <left/>
      <right/>
      <top style="thin">
        <color rgb="FF234E74"/>
      </top>
      <bottom/>
      <diagonal/>
    </border>
    <border>
      <left/>
      <right/>
      <top/>
      <bottom style="thin">
        <color rgb="FF2D6A4F"/>
      </bottom>
      <diagonal/>
    </border>
    <border>
      <left/>
      <right/>
      <top/>
      <bottom style="thin">
        <color rgb="FF234E74"/>
      </bottom>
      <diagonal/>
    </border>
    <border>
      <left/>
      <right/>
      <top/>
      <bottom style="thin">
        <color rgb="FF1A3A5C"/>
      </bottom>
      <diagonal/>
    </border>
  </borders>
  <cellStyleXfs count="2">
    <xf numFmtId="0" fontId="0" fillId="0" borderId="0"/>
    <xf numFmtId="0" fontId="12" fillId="0" borderId="0" applyNumberFormat="0" applyFill="0" applyBorder="0" applyAlignment="0" applyProtection="0"/>
  </cellStyleXfs>
  <cellXfs count="165">
    <xf numFmtId="0" fontId="0" fillId="0" borderId="0" xfId="0"/>
    <xf numFmtId="0" fontId="1" fillId="2" borderId="1" xfId="0" applyFont="1" applyFill="1" applyBorder="1"/>
    <xf numFmtId="0" fontId="0" fillId="0" borderId="0" xfId="0" pivotButton="1"/>
    <xf numFmtId="0" fontId="0" fillId="0" borderId="0" xfId="0" applyAlignment="1">
      <alignment horizontal="left"/>
    </xf>
    <xf numFmtId="10" fontId="0" fillId="0" borderId="0" xfId="0" applyNumberFormat="1"/>
    <xf numFmtId="2" fontId="0" fillId="0" borderId="0" xfId="0" applyNumberFormat="1"/>
    <xf numFmtId="164" fontId="0" fillId="0" borderId="0" xfId="0" applyNumberFormat="1"/>
    <xf numFmtId="1" fontId="0" fillId="0" borderId="0" xfId="0" applyNumberFormat="1"/>
    <xf numFmtId="0" fontId="7" fillId="0" borderId="0" xfId="0" applyFont="1" applyAlignment="1">
      <alignment vertical="center"/>
    </xf>
    <xf numFmtId="0" fontId="1" fillId="0" borderId="0" xfId="0" applyFont="1" applyAlignment="1">
      <alignment horizontal="center" vertical="center" wrapText="1"/>
    </xf>
    <xf numFmtId="0" fontId="0" fillId="0" borderId="0" xfId="0" applyAlignment="1">
      <alignment vertical="center" wrapText="1"/>
    </xf>
    <xf numFmtId="0" fontId="1" fillId="0" borderId="0" xfId="0" applyFont="1" applyAlignment="1">
      <alignment horizontal="center" vertical="center"/>
    </xf>
    <xf numFmtId="4" fontId="0" fillId="0" borderId="0" xfId="0" applyNumberFormat="1" applyAlignment="1">
      <alignment vertical="center" wrapText="1"/>
    </xf>
    <xf numFmtId="166" fontId="8" fillId="7" borderId="0" xfId="0" applyNumberFormat="1" applyFont="1" applyFill="1" applyAlignment="1">
      <alignment vertical="center"/>
    </xf>
    <xf numFmtId="0" fontId="0" fillId="0" borderId="0" xfId="0" applyAlignment="1">
      <alignment horizontal="center" vertical="center"/>
    </xf>
    <xf numFmtId="1"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Alignment="1">
      <alignment horizontal="left" vertical="center"/>
    </xf>
    <xf numFmtId="0" fontId="6" fillId="0" borderId="0" xfId="0" applyFont="1"/>
    <xf numFmtId="0" fontId="0" fillId="12" borderId="0" xfId="0" applyFill="1"/>
    <xf numFmtId="164" fontId="6" fillId="0" borderId="0" xfId="0" applyNumberFormat="1" applyFont="1" applyAlignment="1">
      <alignment vertical="center"/>
    </xf>
    <xf numFmtId="0" fontId="11" fillId="7" borderId="6" xfId="0" applyFont="1" applyFill="1" applyBorder="1"/>
    <xf numFmtId="0" fontId="11" fillId="7" borderId="0" xfId="0" applyFont="1" applyFill="1"/>
    <xf numFmtId="0" fontId="11" fillId="7" borderId="7" xfId="0" applyFont="1" applyFill="1" applyBorder="1"/>
    <xf numFmtId="0" fontId="0" fillId="0" borderId="6" xfId="0" applyBorder="1"/>
    <xf numFmtId="0" fontId="0" fillId="0" borderId="7" xfId="0" applyBorder="1"/>
    <xf numFmtId="0" fontId="0" fillId="0" borderId="8" xfId="0" applyBorder="1"/>
    <xf numFmtId="0" fontId="0" fillId="0" borderId="9" xfId="0" applyBorder="1"/>
    <xf numFmtId="164" fontId="0" fillId="0" borderId="9" xfId="0" applyNumberFormat="1" applyBorder="1"/>
    <xf numFmtId="0" fontId="0" fillId="0" borderId="10" xfId="0" applyBorder="1"/>
    <xf numFmtId="0" fontId="0" fillId="0" borderId="6" xfId="0" pivotButton="1" applyBorder="1"/>
    <xf numFmtId="0" fontId="0" fillId="0" borderId="3" xfId="0" pivotButton="1" applyBorder="1"/>
    <xf numFmtId="0" fontId="0" fillId="0" borderId="4" xfId="0" applyBorder="1"/>
    <xf numFmtId="0" fontId="0" fillId="0" borderId="5" xfId="0" applyBorder="1"/>
    <xf numFmtId="0" fontId="0" fillId="0" borderId="3" xfId="0" applyBorder="1"/>
    <xf numFmtId="164" fontId="0" fillId="0" borderId="4" xfId="0" applyNumberFormat="1" applyBorder="1"/>
    <xf numFmtId="0" fontId="0" fillId="0" borderId="2" xfId="0" pivotButton="1" applyBorder="1"/>
    <xf numFmtId="0" fontId="0" fillId="0" borderId="13" xfId="0" applyBorder="1"/>
    <xf numFmtId="0" fontId="0" fillId="0" borderId="14" xfId="0" applyBorder="1"/>
    <xf numFmtId="0" fontId="0" fillId="0" borderId="15" xfId="0" applyBorder="1"/>
    <xf numFmtId="0" fontId="0" fillId="0" borderId="2" xfId="0" applyBorder="1"/>
    <xf numFmtId="0" fontId="0" fillId="0" borderId="16" xfId="0" applyBorder="1"/>
    <xf numFmtId="0" fontId="0" fillId="0" borderId="17" xfId="0" applyBorder="1"/>
    <xf numFmtId="0" fontId="0" fillId="0" borderId="18" xfId="0" applyBorder="1"/>
    <xf numFmtId="0" fontId="0" fillId="0" borderId="6" xfId="0" applyBorder="1" applyAlignment="1">
      <alignment horizontal="left"/>
    </xf>
    <xf numFmtId="164" fontId="0" fillId="0" borderId="7" xfId="0" applyNumberFormat="1" applyBorder="1"/>
    <xf numFmtId="0" fontId="0" fillId="0" borderId="8" xfId="0" applyBorder="1" applyAlignment="1">
      <alignment horizontal="left"/>
    </xf>
    <xf numFmtId="1" fontId="0" fillId="0" borderId="9" xfId="0" applyNumberFormat="1" applyBorder="1"/>
    <xf numFmtId="164" fontId="0" fillId="0" borderId="10" xfId="0" applyNumberFormat="1" applyBorder="1"/>
    <xf numFmtId="164" fontId="0" fillId="0" borderId="5" xfId="0" applyNumberFormat="1" applyBorder="1"/>
    <xf numFmtId="0" fontId="0" fillId="0" borderId="2" xfId="0" applyBorder="1" applyAlignment="1">
      <alignment horizontal="left"/>
    </xf>
    <xf numFmtId="0" fontId="0" fillId="0" borderId="13" xfId="0" applyBorder="1" applyAlignment="1">
      <alignment horizontal="left" indent="1"/>
    </xf>
    <xf numFmtId="0" fontId="0" fillId="0" borderId="14" xfId="0" applyBorder="1" applyAlignment="1">
      <alignment horizontal="left" indent="1"/>
    </xf>
    <xf numFmtId="0" fontId="0" fillId="0" borderId="15" xfId="0" applyBorder="1" applyAlignment="1">
      <alignment horizontal="left" inden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0" fillId="0" borderId="6" xfId="0" applyBorder="1" applyAlignment="1">
      <alignment vertical="center" wrapText="1"/>
    </xf>
    <xf numFmtId="10" fontId="0" fillId="0" borderId="0" xfId="0" applyNumberFormat="1" applyAlignment="1">
      <alignment vertical="center" wrapText="1"/>
    </xf>
    <xf numFmtId="10" fontId="0" fillId="0" borderId="7" xfId="0" applyNumberFormat="1" applyBorder="1" applyAlignment="1">
      <alignment vertical="center" wrapText="1"/>
    </xf>
    <xf numFmtId="0" fontId="0" fillId="0" borderId="8" xfId="0" applyBorder="1" applyAlignment="1">
      <alignment vertical="center" wrapText="1"/>
    </xf>
    <xf numFmtId="10" fontId="0" fillId="0" borderId="9" xfId="0" applyNumberFormat="1" applyBorder="1" applyAlignment="1">
      <alignment vertical="center" wrapText="1"/>
    </xf>
    <xf numFmtId="10" fontId="0" fillId="0" borderId="10" xfId="0" applyNumberFormat="1" applyBorder="1" applyAlignment="1">
      <alignment vertical="center" wrapText="1"/>
    </xf>
    <xf numFmtId="0" fontId="1" fillId="0" borderId="5" xfId="0" applyFont="1" applyBorder="1" applyAlignment="1">
      <alignment horizontal="center" vertical="center"/>
    </xf>
    <xf numFmtId="10" fontId="0" fillId="0" borderId="7" xfId="0" applyNumberFormat="1" applyBorder="1"/>
    <xf numFmtId="10" fontId="0" fillId="0" borderId="10" xfId="0" applyNumberFormat="1" applyBorder="1"/>
    <xf numFmtId="0" fontId="1" fillId="0" borderId="5" xfId="0" applyFont="1" applyBorder="1" applyAlignment="1">
      <alignment horizontal="center" vertical="center" wrapText="1"/>
    </xf>
    <xf numFmtId="0" fontId="0" fillId="0" borderId="7" xfId="0" applyBorder="1" applyAlignment="1">
      <alignment vertical="center" wrapText="1"/>
    </xf>
    <xf numFmtId="0" fontId="0" fillId="0" borderId="9" xfId="0" applyBorder="1" applyAlignment="1">
      <alignment vertical="center" wrapText="1"/>
    </xf>
    <xf numFmtId="0" fontId="0" fillId="0" borderId="10" xfId="0" applyBorder="1" applyAlignment="1">
      <alignment vertical="center" wrapText="1"/>
    </xf>
    <xf numFmtId="0" fontId="1" fillId="2" borderId="11" xfId="0" applyFont="1" applyFill="1" applyBorder="1"/>
    <xf numFmtId="0" fontId="1" fillId="2" borderId="12" xfId="0" applyFont="1" applyFill="1" applyBorder="1"/>
    <xf numFmtId="0" fontId="0" fillId="0" borderId="3" xfId="0" applyBorder="1" applyAlignment="1">
      <alignment horizontal="left"/>
    </xf>
    <xf numFmtId="0" fontId="1" fillId="2" borderId="19" xfId="0" applyFont="1" applyFill="1" applyBorder="1"/>
    <xf numFmtId="0" fontId="1" fillId="2" borderId="20" xfId="0" applyFont="1" applyFill="1" applyBorder="1"/>
    <xf numFmtId="2" fontId="0" fillId="0" borderId="7" xfId="0" applyNumberFormat="1" applyBorder="1"/>
    <xf numFmtId="2" fontId="0" fillId="0" borderId="9" xfId="0" applyNumberFormat="1" applyBorder="1"/>
    <xf numFmtId="2" fontId="0" fillId="0" borderId="10" xfId="0" applyNumberFormat="1" applyBorder="1"/>
    <xf numFmtId="0" fontId="0" fillId="0" borderId="13" xfId="0" applyBorder="1" applyAlignment="1">
      <alignment horizontal="left"/>
    </xf>
    <xf numFmtId="0" fontId="0" fillId="0" borderId="14" xfId="0" applyBorder="1" applyAlignment="1">
      <alignment horizontal="left"/>
    </xf>
    <xf numFmtId="0" fontId="0" fillId="0" borderId="15" xfId="0" applyBorder="1" applyAlignment="1">
      <alignment horizontal="left"/>
    </xf>
    <xf numFmtId="2" fontId="0" fillId="0" borderId="5" xfId="0" applyNumberFormat="1" applyBorder="1"/>
    <xf numFmtId="2" fontId="0" fillId="0" borderId="4" xfId="0" applyNumberFormat="1" applyBorder="1"/>
    <xf numFmtId="10" fontId="0" fillId="0" borderId="13" xfId="0" applyNumberFormat="1" applyBorder="1"/>
    <xf numFmtId="10" fontId="0" fillId="0" borderId="14" xfId="0" applyNumberFormat="1" applyBorder="1"/>
    <xf numFmtId="10" fontId="0" fillId="0" borderId="15" xfId="0" applyNumberFormat="1" applyBorder="1"/>
    <xf numFmtId="164" fontId="0" fillId="0" borderId="13" xfId="0" applyNumberFormat="1" applyBorder="1"/>
    <xf numFmtId="164" fontId="0" fillId="0" borderId="14" xfId="0" applyNumberFormat="1" applyBorder="1"/>
    <xf numFmtId="164" fontId="0" fillId="0" borderId="15" xfId="0" applyNumberFormat="1" applyBorder="1"/>
    <xf numFmtId="0" fontId="0" fillId="0" borderId="18" xfId="0" pivotButton="1" applyBorder="1"/>
    <xf numFmtId="0" fontId="0" fillId="0" borderId="5" xfId="0" applyBorder="1" applyAlignment="1">
      <alignment horizontal="left"/>
    </xf>
    <xf numFmtId="0" fontId="0" fillId="0" borderId="7" xfId="0" applyBorder="1" applyAlignment="1">
      <alignment horizontal="left"/>
    </xf>
    <xf numFmtId="0" fontId="0" fillId="0" borderId="10" xfId="0" applyBorder="1" applyAlignment="1">
      <alignment horizontal="left"/>
    </xf>
    <xf numFmtId="0" fontId="0" fillId="0" borderId="18" xfId="0" applyBorder="1" applyAlignment="1">
      <alignment horizontal="left"/>
    </xf>
    <xf numFmtId="10" fontId="0" fillId="0" borderId="9" xfId="0" applyNumberFormat="1" applyBorder="1"/>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2" fillId="3" borderId="5" xfId="0" applyFont="1" applyFill="1" applyBorder="1" applyAlignment="1">
      <alignment horizontal="center" vertical="center"/>
    </xf>
    <xf numFmtId="0" fontId="14" fillId="3" borderId="0" xfId="0" applyFont="1" applyFill="1" applyAlignment="1">
      <alignment horizontal="center" vertical="center"/>
    </xf>
    <xf numFmtId="0" fontId="15" fillId="13" borderId="0" xfId="0" applyFont="1" applyFill="1" applyAlignment="1">
      <alignment horizontal="center" vertical="center"/>
    </xf>
    <xf numFmtId="0" fontId="16" fillId="14" borderId="3" xfId="0" applyFont="1" applyFill="1" applyBorder="1" applyAlignment="1">
      <alignment horizontal="left" vertical="center"/>
    </xf>
    <xf numFmtId="0" fontId="16" fillId="14" borderId="4" xfId="0" applyFont="1" applyFill="1" applyBorder="1" applyAlignment="1">
      <alignment horizontal="left" vertical="center"/>
    </xf>
    <xf numFmtId="0" fontId="16" fillId="14" borderId="5" xfId="0" applyFont="1" applyFill="1" applyBorder="1" applyAlignment="1">
      <alignment horizontal="left" vertical="center"/>
    </xf>
    <xf numFmtId="0" fontId="0" fillId="0" borderId="0" xfId="0"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xf numFmtId="0" fontId="0" fillId="0" borderId="10" xfId="0" applyBorder="1" applyAlignment="1">
      <alignment horizontal="left" vertical="center" wrapText="1"/>
    </xf>
    <xf numFmtId="0" fontId="18" fillId="3" borderId="22" xfId="1" applyFont="1" applyFill="1" applyBorder="1" applyAlignment="1">
      <alignment horizontal="left" vertical="center"/>
    </xf>
    <xf numFmtId="0" fontId="18" fillId="3" borderId="21" xfId="1" applyFont="1" applyFill="1" applyBorder="1" applyAlignment="1">
      <alignment horizontal="left" vertical="center"/>
    </xf>
    <xf numFmtId="0" fontId="18" fillId="3" borderId="6" xfId="1" applyFont="1" applyFill="1" applyBorder="1" applyAlignment="1">
      <alignment horizontal="left" vertical="center"/>
    </xf>
    <xf numFmtId="0" fontId="18" fillId="3" borderId="0" xfId="1" applyFont="1" applyFill="1" applyBorder="1" applyAlignment="1">
      <alignment horizontal="left" vertical="center"/>
    </xf>
    <xf numFmtId="0" fontId="17" fillId="3" borderId="8" xfId="0" applyFont="1" applyFill="1" applyBorder="1" applyAlignment="1">
      <alignment horizontal="center" vertical="center"/>
    </xf>
    <xf numFmtId="0" fontId="17" fillId="3" borderId="9" xfId="0" applyFont="1" applyFill="1" applyBorder="1" applyAlignment="1">
      <alignment horizontal="center" vertical="center"/>
    </xf>
    <xf numFmtId="0" fontId="18" fillId="15" borderId="4" xfId="1" applyFont="1" applyFill="1" applyBorder="1" applyAlignment="1">
      <alignment horizontal="left" vertical="center"/>
    </xf>
    <xf numFmtId="0" fontId="18" fillId="15" borderId="0" xfId="1" applyFont="1" applyFill="1" applyBorder="1" applyAlignment="1">
      <alignment horizontal="left" vertical="center"/>
    </xf>
    <xf numFmtId="0" fontId="17" fillId="13" borderId="25" xfId="0" applyFont="1" applyFill="1" applyBorder="1" applyAlignment="1">
      <alignment horizontal="center" vertical="center"/>
    </xf>
    <xf numFmtId="0" fontId="17" fillId="13" borderId="9" xfId="0" applyFont="1" applyFill="1" applyBorder="1" applyAlignment="1">
      <alignment horizontal="center" vertical="center"/>
    </xf>
    <xf numFmtId="0" fontId="18" fillId="13" borderId="23" xfId="1" applyFont="1" applyFill="1" applyBorder="1" applyAlignment="1">
      <alignment horizontal="left" vertical="center"/>
    </xf>
    <xf numFmtId="0" fontId="18" fillId="13" borderId="4" xfId="1" applyFont="1" applyFill="1" applyBorder="1" applyAlignment="1">
      <alignment horizontal="left" vertical="center"/>
    </xf>
    <xf numFmtId="0" fontId="18" fillId="13" borderId="24" xfId="1" applyFont="1" applyFill="1" applyBorder="1" applyAlignment="1">
      <alignment horizontal="left" vertical="center"/>
    </xf>
    <xf numFmtId="0" fontId="18" fillId="13" borderId="0" xfId="1" applyFont="1" applyFill="1" applyBorder="1" applyAlignment="1">
      <alignment horizontal="left" vertical="center"/>
    </xf>
    <xf numFmtId="0" fontId="18" fillId="18" borderId="22" xfId="1" applyFont="1" applyFill="1" applyBorder="1" applyAlignment="1">
      <alignment horizontal="left" vertical="center"/>
    </xf>
    <xf numFmtId="0" fontId="18" fillId="18" borderId="21" xfId="1" applyFont="1" applyFill="1" applyBorder="1" applyAlignment="1">
      <alignment horizontal="left" vertical="center"/>
    </xf>
    <xf numFmtId="0" fontId="18" fillId="18" borderId="6" xfId="1" applyFont="1" applyFill="1" applyBorder="1" applyAlignment="1">
      <alignment horizontal="left" vertical="center"/>
    </xf>
    <xf numFmtId="0" fontId="18" fillId="18" borderId="0" xfId="1" applyFont="1" applyFill="1" applyBorder="1" applyAlignment="1">
      <alignment horizontal="left" vertical="center"/>
    </xf>
    <xf numFmtId="0" fontId="18" fillId="19" borderId="4" xfId="1" applyFont="1" applyFill="1" applyBorder="1" applyAlignment="1">
      <alignment horizontal="left" vertical="center"/>
    </xf>
    <xf numFmtId="0" fontId="18" fillId="19" borderId="0" xfId="1" applyFont="1" applyFill="1" applyBorder="1" applyAlignment="1">
      <alignment horizontal="left" vertical="center"/>
    </xf>
    <xf numFmtId="0" fontId="18" fillId="16" borderId="26" xfId="1" applyFont="1" applyFill="1" applyBorder="1" applyAlignment="1">
      <alignment horizontal="left" vertical="center"/>
    </xf>
    <xf numFmtId="0" fontId="18" fillId="16" borderId="0" xfId="1" applyFont="1" applyFill="1" applyBorder="1" applyAlignment="1">
      <alignment horizontal="left" vertical="center"/>
    </xf>
    <xf numFmtId="0" fontId="18" fillId="17" borderId="27" xfId="1" applyFont="1" applyFill="1" applyBorder="1" applyAlignment="1">
      <alignment horizontal="left" vertical="center"/>
    </xf>
    <xf numFmtId="0" fontId="18" fillId="17" borderId="0" xfId="1" applyFont="1" applyFill="1" applyBorder="1" applyAlignment="1">
      <alignment horizontal="left" vertical="center"/>
    </xf>
    <xf numFmtId="0" fontId="17" fillId="15" borderId="28" xfId="0" applyFont="1" applyFill="1" applyBorder="1" applyAlignment="1">
      <alignment horizontal="center" vertical="center"/>
    </xf>
    <xf numFmtId="0" fontId="17" fillId="16" borderId="29" xfId="0" applyFont="1" applyFill="1" applyBorder="1" applyAlignment="1">
      <alignment horizontal="center" vertical="center"/>
    </xf>
    <xf numFmtId="0" fontId="17" fillId="17" borderId="30" xfId="0" applyFont="1" applyFill="1" applyBorder="1" applyAlignment="1">
      <alignment horizontal="center" vertical="center"/>
    </xf>
    <xf numFmtId="0" fontId="17" fillId="18" borderId="8" xfId="0" applyFont="1" applyFill="1" applyBorder="1" applyAlignment="1">
      <alignment horizontal="center" vertical="center"/>
    </xf>
    <xf numFmtId="0" fontId="17" fillId="18" borderId="9" xfId="0" applyFont="1" applyFill="1" applyBorder="1" applyAlignment="1">
      <alignment horizontal="center" vertical="center"/>
    </xf>
    <xf numFmtId="0" fontId="17" fillId="19" borderId="0" xfId="0" applyFont="1" applyFill="1" applyAlignment="1">
      <alignment horizontal="center" vertical="center"/>
    </xf>
    <xf numFmtId="0" fontId="4" fillId="5" borderId="0" xfId="0" applyFont="1" applyFill="1" applyAlignment="1">
      <alignment horizontal="center" vertical="center"/>
    </xf>
    <xf numFmtId="0" fontId="5" fillId="6" borderId="3" xfId="0" applyFont="1" applyFill="1" applyBorder="1" applyAlignment="1">
      <alignment horizontal="center" vertical="center"/>
    </xf>
    <xf numFmtId="0" fontId="5" fillId="6" borderId="4" xfId="0" applyFont="1" applyFill="1" applyBorder="1" applyAlignment="1">
      <alignment horizontal="center" vertical="center"/>
    </xf>
    <xf numFmtId="0" fontId="5" fillId="6" borderId="5" xfId="0" applyFont="1" applyFill="1" applyBorder="1" applyAlignment="1">
      <alignment horizontal="center" vertical="center"/>
    </xf>
    <xf numFmtId="0" fontId="13" fillId="4" borderId="3" xfId="0" applyFont="1" applyFill="1" applyBorder="1" applyAlignment="1">
      <alignment horizontal="center" vertical="center" wrapText="1"/>
    </xf>
    <xf numFmtId="0" fontId="13" fillId="4" borderId="5" xfId="0" applyFont="1" applyFill="1" applyBorder="1" applyAlignment="1">
      <alignment horizontal="center" vertical="center" wrapText="1"/>
    </xf>
    <xf numFmtId="0" fontId="3" fillId="4" borderId="0" xfId="0" applyFont="1" applyFill="1" applyAlignment="1">
      <alignment horizontal="center" vertical="center"/>
    </xf>
    <xf numFmtId="0" fontId="3" fillId="4" borderId="17" xfId="0" applyFont="1" applyFill="1" applyBorder="1" applyAlignment="1">
      <alignment horizontal="center" vertical="center"/>
    </xf>
    <xf numFmtId="0" fontId="3" fillId="4" borderId="18" xfId="0" applyFont="1" applyFill="1" applyBorder="1" applyAlignment="1">
      <alignment horizontal="center" vertical="center"/>
    </xf>
    <xf numFmtId="0" fontId="3" fillId="4" borderId="16" xfId="0" applyFont="1" applyFill="1" applyBorder="1" applyAlignment="1">
      <alignment horizontal="center" vertical="center"/>
    </xf>
    <xf numFmtId="0" fontId="0" fillId="0" borderId="0" xfId="0" applyAlignment="1">
      <alignment horizontal="center"/>
    </xf>
    <xf numFmtId="0" fontId="9" fillId="7" borderId="3" xfId="0" applyFont="1" applyFill="1" applyBorder="1" applyAlignment="1">
      <alignment horizontal="center"/>
    </xf>
    <xf numFmtId="0" fontId="9" fillId="7" borderId="4" xfId="0" applyFont="1" applyFill="1" applyBorder="1" applyAlignment="1">
      <alignment horizontal="center"/>
    </xf>
    <xf numFmtId="0" fontId="9" fillId="7" borderId="5" xfId="0" applyFont="1" applyFill="1" applyBorder="1" applyAlignment="1">
      <alignment horizontal="center"/>
    </xf>
    <xf numFmtId="164" fontId="9" fillId="11" borderId="0" xfId="0" applyNumberFormat="1" applyFont="1" applyFill="1" applyAlignment="1">
      <alignment horizontal="center" vertical="center"/>
    </xf>
    <xf numFmtId="0" fontId="10" fillId="8" borderId="0" xfId="0" applyFont="1" applyFill="1" applyAlignment="1">
      <alignment horizontal="center" vertical="center"/>
    </xf>
    <xf numFmtId="0" fontId="9" fillId="9" borderId="0" xfId="0" applyFont="1" applyFill="1" applyAlignment="1">
      <alignment horizontal="center" vertical="center"/>
    </xf>
    <xf numFmtId="10" fontId="9" fillId="9" borderId="0" xfId="0" applyNumberFormat="1" applyFont="1" applyFill="1" applyAlignment="1">
      <alignment horizontal="center" vertical="center"/>
    </xf>
    <xf numFmtId="0" fontId="7" fillId="0" borderId="0" xfId="0" applyFont="1" applyAlignment="1">
      <alignment horizontal="center" vertical="center"/>
    </xf>
    <xf numFmtId="0" fontId="0" fillId="12" borderId="0" xfId="0" applyFill="1" applyAlignment="1">
      <alignment horizontal="center"/>
    </xf>
    <xf numFmtId="0" fontId="10" fillId="10" borderId="0" xfId="0" applyFont="1" applyFill="1" applyAlignment="1">
      <alignment horizontal="center" vertical="center"/>
    </xf>
    <xf numFmtId="10" fontId="9" fillId="11" borderId="0" xfId="0" applyNumberFormat="1" applyFont="1" applyFill="1" applyAlignment="1">
      <alignment horizontal="center" vertical="center"/>
    </xf>
    <xf numFmtId="166" fontId="8" fillId="7" borderId="0" xfId="0" applyNumberFormat="1" applyFont="1" applyFill="1" applyAlignment="1">
      <alignment horizontal="center" vertical="center"/>
    </xf>
    <xf numFmtId="167" fontId="9" fillId="9" borderId="0" xfId="0" applyNumberFormat="1" applyFont="1" applyFill="1" applyAlignment="1">
      <alignment horizontal="center" vertical="center"/>
    </xf>
    <xf numFmtId="165" fontId="0" fillId="0" borderId="0" xfId="0" applyNumberFormat="1" applyAlignment="1">
      <alignment horizontal="center"/>
    </xf>
    <xf numFmtId="10" fontId="0" fillId="0" borderId="0" xfId="0" applyNumberFormat="1" applyAlignment="1">
      <alignment horizont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5" xfId="0" applyFont="1" applyFill="1" applyBorder="1" applyAlignment="1">
      <alignment horizontal="center" vertical="center"/>
    </xf>
  </cellXfs>
  <cellStyles count="2">
    <cellStyle name="Hyperlink" xfId="1" builtinId="8"/>
    <cellStyle name="Normal" xfId="0" builtinId="0"/>
  </cellStyles>
  <dxfs count="139">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4" formatCode="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2" formatCode="0.00"/>
    </dxf>
    <dxf>
      <numFmt numFmtId="2" formatCode="0.00"/>
    </dxf>
    <dxf>
      <numFmt numFmtId="2" formatCode="0.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64" formatCode="0.0%"/>
    </dxf>
    <dxf>
      <numFmt numFmtId="164" formatCode="0.0%"/>
    </dxf>
    <dxf>
      <numFmt numFmtId="164" formatCode="0.0%"/>
    </dxf>
    <dxf>
      <numFmt numFmtId="164" formatCode="0.0%"/>
    </dxf>
    <dxf>
      <numFmt numFmtId="164" formatCode="0.0%"/>
    </dxf>
    <dxf>
      <fill>
        <patternFill>
          <bgColor rgb="FF0E7C7B"/>
        </patternFill>
      </fill>
    </dxf>
  </dxfs>
  <tableStyles count="3" defaultTableStyle="TableStyleMedium2" defaultPivotStyle="PivotStyleLight16">
    <tableStyle name="Slicer Style 1" pivot="0" table="0" count="1" xr9:uid="{732415A6-1523-46C6-BD24-B2C8CF0D4A29}">
      <tableStyleElement type="wholeTable" dxfId="138"/>
    </tableStyle>
    <tableStyle name="Slicer Style 2" pivot="0" table="0" count="0" xr9:uid="{8899EB3E-B24D-4697-BED1-2D5F4A62B6F1}"/>
    <tableStyle name="Slicer Style 3" pivot="0" table="0" count="1" xr9:uid="{0C1AFA17-4B7B-4DDA-A418-C22B8C8E7126}"/>
  </tableStyles>
  <colors>
    <mruColors>
      <color rgb="FF52B788"/>
      <color rgb="FFF59E0B"/>
      <color rgb="FF0E7C7B"/>
      <color rgb="FF1A3A5C"/>
      <color rgb="FF65BF94"/>
      <color rgb="FF159B91"/>
      <color rgb="FF7B2D8B"/>
      <color rgb="FF0E6660"/>
      <color rgb="FF117972"/>
      <color rgb="FF66FFCC"/>
    </mruColors>
  </colors>
  <extLst>
    <ext xmlns:x14="http://schemas.microsoft.com/office/spreadsheetml/2009/9/main" uri="{46F421CA-312F-682f-3DD2-61675219B42D}">
      <x14:dxfs count="1">
        <dxf>
          <fill>
            <patternFill>
              <bgColor rgb="FF0E7C7B"/>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7.xml"/><Relationship Id="rId21" Type="http://schemas.openxmlformats.org/officeDocument/2006/relationships/pivotCacheDefinition" Target="pivotCache/pivotCacheDefinition12.xml"/><Relationship Id="rId42" Type="http://schemas.microsoft.com/office/2007/relationships/slicerCache" Target="slicerCaches/slicerCache8.xml"/><Relationship Id="rId47" Type="http://schemas.openxmlformats.org/officeDocument/2006/relationships/sheetMetadata" Target="metadata.xml"/><Relationship Id="rId63" Type="http://schemas.openxmlformats.org/officeDocument/2006/relationships/customXml" Target="../customXml/item14.xml"/><Relationship Id="rId68" Type="http://schemas.openxmlformats.org/officeDocument/2006/relationships/customXml" Target="../customXml/item19.xml"/><Relationship Id="rId84" Type="http://schemas.openxmlformats.org/officeDocument/2006/relationships/customXml" Target="../customXml/item35.xml"/><Relationship Id="rId89" Type="http://schemas.openxmlformats.org/officeDocument/2006/relationships/customXml" Target="../customXml/item40.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37" Type="http://schemas.microsoft.com/office/2007/relationships/slicerCache" Target="slicerCaches/slicerCache3.xml"/><Relationship Id="rId53" Type="http://schemas.openxmlformats.org/officeDocument/2006/relationships/customXml" Target="../customXml/item4.xml"/><Relationship Id="rId58" Type="http://schemas.openxmlformats.org/officeDocument/2006/relationships/customXml" Target="../customXml/item9.xml"/><Relationship Id="rId74" Type="http://schemas.openxmlformats.org/officeDocument/2006/relationships/customXml" Target="../customXml/item25.xml"/><Relationship Id="rId79" Type="http://schemas.openxmlformats.org/officeDocument/2006/relationships/customXml" Target="../customXml/item30.xml"/><Relationship Id="rId102" Type="http://schemas.openxmlformats.org/officeDocument/2006/relationships/customXml" Target="../customXml/item53.xml"/><Relationship Id="rId5" Type="http://schemas.openxmlformats.org/officeDocument/2006/relationships/worksheet" Target="worksheets/sheet5.xml"/><Relationship Id="rId90" Type="http://schemas.openxmlformats.org/officeDocument/2006/relationships/customXml" Target="../customXml/item41.xml"/><Relationship Id="rId95" Type="http://schemas.openxmlformats.org/officeDocument/2006/relationships/customXml" Target="../customXml/item46.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43" Type="http://schemas.openxmlformats.org/officeDocument/2006/relationships/theme" Target="theme/theme1.xml"/><Relationship Id="rId48" Type="http://schemas.openxmlformats.org/officeDocument/2006/relationships/powerPivotData" Target="model/item.data"/><Relationship Id="rId64" Type="http://schemas.openxmlformats.org/officeDocument/2006/relationships/customXml" Target="../customXml/item15.xml"/><Relationship Id="rId69" Type="http://schemas.openxmlformats.org/officeDocument/2006/relationships/customXml" Target="../customXml/item20.xml"/><Relationship Id="rId80" Type="http://schemas.openxmlformats.org/officeDocument/2006/relationships/customXml" Target="../customXml/item31.xml"/><Relationship Id="rId85" Type="http://schemas.openxmlformats.org/officeDocument/2006/relationships/customXml" Target="../customXml/item36.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33" Type="http://schemas.openxmlformats.org/officeDocument/2006/relationships/pivotCacheDefinition" Target="pivotCache/pivotCacheDefinition24.xml"/><Relationship Id="rId38" Type="http://schemas.microsoft.com/office/2007/relationships/slicerCache" Target="slicerCaches/slicerCache4.xml"/><Relationship Id="rId59" Type="http://schemas.openxmlformats.org/officeDocument/2006/relationships/customXml" Target="../customXml/item10.xml"/><Relationship Id="rId103" Type="http://schemas.openxmlformats.org/officeDocument/2006/relationships/customXml" Target="../customXml/item54.xml"/><Relationship Id="rId20" Type="http://schemas.openxmlformats.org/officeDocument/2006/relationships/pivotCacheDefinition" Target="pivotCache/pivotCacheDefinition11.xml"/><Relationship Id="rId41" Type="http://schemas.microsoft.com/office/2007/relationships/slicerCache" Target="slicerCaches/slicerCache7.xml"/><Relationship Id="rId54" Type="http://schemas.openxmlformats.org/officeDocument/2006/relationships/customXml" Target="../customXml/item5.xml"/><Relationship Id="rId62" Type="http://schemas.openxmlformats.org/officeDocument/2006/relationships/customXml" Target="../customXml/item13.xml"/><Relationship Id="rId70" Type="http://schemas.openxmlformats.org/officeDocument/2006/relationships/customXml" Target="../customXml/item21.xml"/><Relationship Id="rId75" Type="http://schemas.openxmlformats.org/officeDocument/2006/relationships/customXml" Target="../customXml/item26.xml"/><Relationship Id="rId83" Type="http://schemas.openxmlformats.org/officeDocument/2006/relationships/customXml" Target="../customXml/item34.xml"/><Relationship Id="rId88" Type="http://schemas.openxmlformats.org/officeDocument/2006/relationships/customXml" Target="../customXml/item39.xml"/><Relationship Id="rId91" Type="http://schemas.openxmlformats.org/officeDocument/2006/relationships/customXml" Target="../customXml/item42.xml"/><Relationship Id="rId96" Type="http://schemas.openxmlformats.org/officeDocument/2006/relationships/customXml" Target="../customXml/item4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36" Type="http://schemas.microsoft.com/office/2007/relationships/slicerCache" Target="slicerCaches/slicerCache2.xml"/><Relationship Id="rId49" Type="http://schemas.openxmlformats.org/officeDocument/2006/relationships/calcChain" Target="calcChain.xml"/><Relationship Id="rId57" Type="http://schemas.openxmlformats.org/officeDocument/2006/relationships/customXml" Target="../customXml/item8.xml"/><Relationship Id="rId106" Type="http://schemas.microsoft.com/office/2006/relationships/vbaProject" Target="vbaProject.bin"/><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44" Type="http://schemas.openxmlformats.org/officeDocument/2006/relationships/connections" Target="connections.xml"/><Relationship Id="rId52" Type="http://schemas.openxmlformats.org/officeDocument/2006/relationships/customXml" Target="../customXml/item3.xml"/><Relationship Id="rId60" Type="http://schemas.openxmlformats.org/officeDocument/2006/relationships/customXml" Target="../customXml/item11.xml"/><Relationship Id="rId65" Type="http://schemas.openxmlformats.org/officeDocument/2006/relationships/customXml" Target="../customXml/item16.xml"/><Relationship Id="rId73" Type="http://schemas.openxmlformats.org/officeDocument/2006/relationships/customXml" Target="../customXml/item24.xml"/><Relationship Id="rId78" Type="http://schemas.openxmlformats.org/officeDocument/2006/relationships/customXml" Target="../customXml/item29.xml"/><Relationship Id="rId81" Type="http://schemas.openxmlformats.org/officeDocument/2006/relationships/customXml" Target="../customXml/item32.xml"/><Relationship Id="rId86" Type="http://schemas.openxmlformats.org/officeDocument/2006/relationships/customXml" Target="../customXml/item37.xml"/><Relationship Id="rId94" Type="http://schemas.openxmlformats.org/officeDocument/2006/relationships/customXml" Target="../customXml/item45.xml"/><Relationship Id="rId99" Type="http://schemas.openxmlformats.org/officeDocument/2006/relationships/customXml" Target="../customXml/item50.xml"/><Relationship Id="rId101" Type="http://schemas.openxmlformats.org/officeDocument/2006/relationships/customXml" Target="../customXml/item5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microsoft.com/office/2007/relationships/slicerCache" Target="slicerCaches/slicerCache5.xml"/><Relationship Id="rId34" Type="http://schemas.openxmlformats.org/officeDocument/2006/relationships/pivotCacheDefinition" Target="pivotCache/pivotCacheDefinition25.xml"/><Relationship Id="rId50" Type="http://schemas.openxmlformats.org/officeDocument/2006/relationships/customXml" Target="../customXml/item1.xml"/><Relationship Id="rId55" Type="http://schemas.openxmlformats.org/officeDocument/2006/relationships/customXml" Target="../customXml/item6.xml"/><Relationship Id="rId76" Type="http://schemas.openxmlformats.org/officeDocument/2006/relationships/customXml" Target="../customXml/item27.xml"/><Relationship Id="rId97" Type="http://schemas.openxmlformats.org/officeDocument/2006/relationships/customXml" Target="../customXml/item48.xml"/><Relationship Id="rId104" Type="http://schemas.openxmlformats.org/officeDocument/2006/relationships/customXml" Target="../customXml/item55.xml"/><Relationship Id="rId7" Type="http://schemas.openxmlformats.org/officeDocument/2006/relationships/worksheet" Target="worksheets/sheet7.xml"/><Relationship Id="rId71" Type="http://schemas.openxmlformats.org/officeDocument/2006/relationships/customXml" Target="../customXml/item22.xml"/><Relationship Id="rId92" Type="http://schemas.openxmlformats.org/officeDocument/2006/relationships/customXml" Target="../customXml/item43.xml"/><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microsoft.com/office/2007/relationships/slicerCache" Target="slicerCaches/slicerCache6.xml"/><Relationship Id="rId45" Type="http://schemas.openxmlformats.org/officeDocument/2006/relationships/styles" Target="styles.xml"/><Relationship Id="rId66" Type="http://schemas.openxmlformats.org/officeDocument/2006/relationships/customXml" Target="../customXml/item17.xml"/><Relationship Id="rId87" Type="http://schemas.openxmlformats.org/officeDocument/2006/relationships/customXml" Target="../customXml/item38.xml"/><Relationship Id="rId61" Type="http://schemas.openxmlformats.org/officeDocument/2006/relationships/customXml" Target="../customXml/item12.xml"/><Relationship Id="rId82" Type="http://schemas.openxmlformats.org/officeDocument/2006/relationships/customXml" Target="../customXml/item33.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30" Type="http://schemas.openxmlformats.org/officeDocument/2006/relationships/pivotCacheDefinition" Target="pivotCache/pivotCacheDefinition21.xml"/><Relationship Id="rId35" Type="http://schemas.microsoft.com/office/2007/relationships/slicerCache" Target="slicerCaches/slicerCache1.xml"/><Relationship Id="rId56" Type="http://schemas.openxmlformats.org/officeDocument/2006/relationships/customXml" Target="../customXml/item7.xml"/><Relationship Id="rId77" Type="http://schemas.openxmlformats.org/officeDocument/2006/relationships/customXml" Target="../customXml/item28.xml"/><Relationship Id="rId100" Type="http://schemas.openxmlformats.org/officeDocument/2006/relationships/customXml" Target="../customXml/item51.xml"/><Relationship Id="rId105" Type="http://schemas.openxmlformats.org/officeDocument/2006/relationships/customXml" Target="../customXml/item56.xml"/><Relationship Id="rId8" Type="http://schemas.openxmlformats.org/officeDocument/2006/relationships/worksheet" Target="worksheets/sheet8.xml"/><Relationship Id="rId51" Type="http://schemas.openxmlformats.org/officeDocument/2006/relationships/customXml" Target="../customXml/item2.xml"/><Relationship Id="rId72" Type="http://schemas.openxmlformats.org/officeDocument/2006/relationships/customXml" Target="../customXml/item23.xml"/><Relationship Id="rId93" Type="http://schemas.openxmlformats.org/officeDocument/2006/relationships/customXml" Target="../customXml/item44.xml"/><Relationship Id="rId98" Type="http://schemas.openxmlformats.org/officeDocument/2006/relationships/customXml" Target="../customXml/item49.xml"/><Relationship Id="rId3" Type="http://schemas.openxmlformats.org/officeDocument/2006/relationships/worksheet" Target="worksheets/sheet3.xml"/><Relationship Id="rId25" Type="http://schemas.openxmlformats.org/officeDocument/2006/relationships/pivotCacheDefinition" Target="pivotCache/pivotCacheDefinition16.xml"/><Relationship Id="rId46" Type="http://schemas.openxmlformats.org/officeDocument/2006/relationships/sharedStrings" Target="sharedStrings.xml"/><Relationship Id="rId67"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'Additional KPIs'!$E$23</c:f>
              <c:strCache>
                <c:ptCount val="1"/>
                <c:pt idx="0">
                  <c:v>Cross Sell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KPIs'!$F$22:$H$22</c:f>
              <c:strCache>
                <c:ptCount val="3"/>
                <c:pt idx="0">
                  <c:v>Target</c:v>
                </c:pt>
                <c:pt idx="1">
                  <c:v>Achieved</c:v>
                </c:pt>
                <c:pt idx="2">
                  <c:v>Invoice</c:v>
                </c:pt>
              </c:strCache>
            </c:strRef>
          </c:cat>
          <c:val>
            <c:numRef>
              <c:f>'Additional KPIs'!$F$23:$H$23</c:f>
              <c:numCache>
                <c:formatCode>General</c:formatCode>
                <c:ptCount val="3"/>
                <c:pt idx="0">
                  <c:v>39212597</c:v>
                </c:pt>
                <c:pt idx="1">
                  <c:v>43529581.07</c:v>
                </c:pt>
                <c:pt idx="2">
                  <c:v>19135532</c:v>
                </c:pt>
              </c:numCache>
            </c:numRef>
          </c:val>
          <c:extLst>
            <c:ext xmlns:c16="http://schemas.microsoft.com/office/drawing/2014/chart" uri="{C3380CC4-5D6E-409C-BE32-E72D297353CC}">
              <c16:uniqueId val="{00000000-C3D1-4D3B-A3AF-1EC8194D2E0B}"/>
            </c:ext>
          </c:extLst>
        </c:ser>
        <c:ser>
          <c:idx val="1"/>
          <c:order val="1"/>
          <c:tx>
            <c:strRef>
              <c:f>'Additional KPIs'!$E$24</c:f>
              <c:strCache>
                <c:ptCount val="1"/>
                <c:pt idx="0">
                  <c:v>New</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KPIs'!$F$22:$H$22</c:f>
              <c:strCache>
                <c:ptCount val="3"/>
                <c:pt idx="0">
                  <c:v>Target</c:v>
                </c:pt>
                <c:pt idx="1">
                  <c:v>Achieved</c:v>
                </c:pt>
                <c:pt idx="2">
                  <c:v>Invoice</c:v>
                </c:pt>
              </c:strCache>
            </c:strRef>
          </c:cat>
          <c:val>
            <c:numRef>
              <c:f>'Additional KPIs'!$F$24:$H$24</c:f>
              <c:numCache>
                <c:formatCode>General</c:formatCode>
                <c:ptCount val="3"/>
                <c:pt idx="0">
                  <c:v>52896409</c:v>
                </c:pt>
                <c:pt idx="1">
                  <c:v>40065111.789999999</c:v>
                </c:pt>
                <c:pt idx="2">
                  <c:v>23482131</c:v>
                </c:pt>
              </c:numCache>
            </c:numRef>
          </c:val>
          <c:extLst>
            <c:ext xmlns:c16="http://schemas.microsoft.com/office/drawing/2014/chart" uri="{C3380CC4-5D6E-409C-BE32-E72D297353CC}">
              <c16:uniqueId val="{00000001-C3D1-4D3B-A3AF-1EC8194D2E0B}"/>
            </c:ext>
          </c:extLst>
        </c:ser>
        <c:ser>
          <c:idx val="2"/>
          <c:order val="2"/>
          <c:tx>
            <c:strRef>
              <c:f>'Additional KPIs'!$E$25</c:f>
              <c:strCache>
                <c:ptCount val="1"/>
                <c:pt idx="0">
                  <c:v>Renewal</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KPIs'!$F$22:$H$22</c:f>
              <c:strCache>
                <c:ptCount val="3"/>
                <c:pt idx="0">
                  <c:v>Target</c:v>
                </c:pt>
                <c:pt idx="1">
                  <c:v>Achieved</c:v>
                </c:pt>
                <c:pt idx="2">
                  <c:v>Invoice</c:v>
                </c:pt>
              </c:strCache>
            </c:strRef>
          </c:cat>
          <c:val>
            <c:numRef>
              <c:f>'Additional KPIs'!$F$25:$H$25</c:f>
              <c:numCache>
                <c:formatCode>General</c:formatCode>
                <c:ptCount val="3"/>
                <c:pt idx="0">
                  <c:v>60265529</c:v>
                </c:pt>
                <c:pt idx="1">
                  <c:v>98691671.290000007</c:v>
                </c:pt>
                <c:pt idx="2">
                  <c:v>52990622</c:v>
                </c:pt>
              </c:numCache>
            </c:numRef>
          </c:val>
          <c:extLst>
            <c:ext xmlns:c16="http://schemas.microsoft.com/office/drawing/2014/chart" uri="{C3380CC4-5D6E-409C-BE32-E72D297353CC}">
              <c16:uniqueId val="{00000002-C3D1-4D3B-A3AF-1EC8194D2E0B}"/>
            </c:ext>
          </c:extLst>
        </c:ser>
        <c:dLbls>
          <c:showLegendKey val="0"/>
          <c:showVal val="0"/>
          <c:showCatName val="0"/>
          <c:showSerName val="0"/>
          <c:showPercent val="0"/>
          <c:showBubbleSize val="0"/>
        </c:dLbls>
        <c:gapWidth val="219"/>
        <c:overlap val="-27"/>
        <c:axId val="558068991"/>
        <c:axId val="558071391"/>
      </c:barChart>
      <c:catAx>
        <c:axId val="558068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071391"/>
        <c:crosses val="autoZero"/>
        <c:auto val="1"/>
        <c:lblAlgn val="ctr"/>
        <c:lblOffset val="100"/>
        <c:noMultiLvlLbl val="0"/>
      </c:catAx>
      <c:valAx>
        <c:axId val="558071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068991"/>
        <c:crosses val="autoZero"/>
        <c:crossBetween val="between"/>
      </c:val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705567849770414"/>
          <c:y val="7.2463768115942032E-2"/>
          <c:w val="0.67874330251202264"/>
          <c:h val="0.77471496892927905"/>
        </c:manualLayout>
      </c:layout>
      <c:barChart>
        <c:barDir val="bar"/>
        <c:grouping val="clustered"/>
        <c:varyColors val="0"/>
        <c:ser>
          <c:idx val="0"/>
          <c:order val="0"/>
          <c:spPr>
            <a:solidFill>
              <a:schemeClr val="accent1"/>
            </a:solidFill>
            <a:ln>
              <a:noFill/>
            </a:ln>
            <a:effectLst/>
          </c:spPr>
          <c:invertIfNegative val="0"/>
          <c:cat>
            <c:strRef>
              <c:f>'Additional KPIs'!$K$22:$K$28</c:f>
              <c:strCache>
                <c:ptCount val="7"/>
                <c:pt idx="0">
                  <c:v>Ahmedabad</c:v>
                </c:pt>
                <c:pt idx="1">
                  <c:v>Bangalore</c:v>
                </c:pt>
                <c:pt idx="2">
                  <c:v>Chennai</c:v>
                </c:pt>
                <c:pt idx="3">
                  <c:v>Delhi</c:v>
                </c:pt>
                <c:pt idx="4">
                  <c:v>Hyderabad</c:v>
                </c:pt>
                <c:pt idx="5">
                  <c:v>Mumbai</c:v>
                </c:pt>
                <c:pt idx="6">
                  <c:v>Pune</c:v>
                </c:pt>
              </c:strCache>
            </c:strRef>
          </c:cat>
          <c:val>
            <c:numRef>
              <c:f>'Additional KPIs'!$L$22:$L$28</c:f>
              <c:numCache>
                <c:formatCode>General</c:formatCode>
                <c:ptCount val="7"/>
                <c:pt idx="0">
                  <c:v>101234.6</c:v>
                </c:pt>
                <c:pt idx="1">
                  <c:v>107143.46666666666</c:v>
                </c:pt>
                <c:pt idx="2">
                  <c:v>92409.333333333328</c:v>
                </c:pt>
                <c:pt idx="3">
                  <c:v>156491.36363636365</c:v>
                </c:pt>
                <c:pt idx="4">
                  <c:v>115334.93333333333</c:v>
                </c:pt>
                <c:pt idx="5">
                  <c:v>135564.85185185185</c:v>
                </c:pt>
                <c:pt idx="6">
                  <c:v>122147.85714285714</c:v>
                </c:pt>
              </c:numCache>
            </c:numRef>
          </c:val>
          <c:extLst>
            <c:ext xmlns:c16="http://schemas.microsoft.com/office/drawing/2014/chart" uri="{C3380CC4-5D6E-409C-BE32-E72D297353CC}">
              <c16:uniqueId val="{00000000-1023-4B21-9013-3418AFDC963A}"/>
            </c:ext>
          </c:extLst>
        </c:ser>
        <c:dLbls>
          <c:showLegendKey val="0"/>
          <c:showVal val="0"/>
          <c:showCatName val="0"/>
          <c:showSerName val="0"/>
          <c:showPercent val="0"/>
          <c:showBubbleSize val="0"/>
        </c:dLbls>
        <c:gapWidth val="182"/>
        <c:axId val="978631183"/>
        <c:axId val="978623503"/>
      </c:barChart>
      <c:catAx>
        <c:axId val="9786311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8623503"/>
        <c:crosses val="autoZero"/>
        <c:auto val="1"/>
        <c:lblAlgn val="ctr"/>
        <c:lblOffset val="100"/>
        <c:noMultiLvlLbl val="0"/>
      </c:catAx>
      <c:valAx>
        <c:axId val="978623503"/>
        <c:scaling>
          <c:orientation val="minMax"/>
        </c:scaling>
        <c:delete val="0"/>
        <c:axPos val="b"/>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8631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b="1" i="0" u="none" strike="noStrike" baseline="0">
                <a:solidFill>
                  <a:schemeClr val="tx1"/>
                </a:solidFill>
              </a:rPr>
              <a:t>Branch Revenue vs Budget</a:t>
            </a:r>
            <a:endParaRPr lang="en-IN"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IN"/>
        </a:p>
      </c:txPr>
    </c:title>
    <c:autoTitleDeleted val="0"/>
    <c:plotArea>
      <c:layout>
        <c:manualLayout>
          <c:layoutTarget val="inner"/>
          <c:xMode val="edge"/>
          <c:yMode val="edge"/>
          <c:x val="0.15696061853439686"/>
          <c:y val="0.1026672591793658"/>
          <c:w val="0.79966021600879067"/>
          <c:h val="0.72237913708325896"/>
        </c:manualLayout>
      </c:layout>
      <c:barChart>
        <c:barDir val="bar"/>
        <c:grouping val="clustered"/>
        <c:varyColors val="0"/>
        <c:ser>
          <c:idx val="0"/>
          <c:order val="0"/>
          <c:tx>
            <c:strRef>
              <c:f>'Additional KPIs'!$N$2</c:f>
              <c:strCache>
                <c:ptCount val="1"/>
                <c:pt idx="0">
                  <c:v>Revenue</c:v>
                </c:pt>
              </c:strCache>
            </c:strRef>
          </c:tx>
          <c:spPr>
            <a:solidFill>
              <a:srgbClr val="1A3A5C"/>
            </a:solidFill>
            <a:ln>
              <a:noFill/>
            </a:ln>
            <a:effectLst/>
          </c:spPr>
          <c:invertIfNegative val="0"/>
          <c:dLbls>
            <c:numFmt formatCode="&quot;₹&quot;\ #,##0.0\ &quot; C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KPIs'!$M$3:$M$9</c:f>
              <c:strCache>
                <c:ptCount val="7"/>
                <c:pt idx="0">
                  <c:v>Ahmedabad</c:v>
                </c:pt>
                <c:pt idx="1">
                  <c:v>Bangalore</c:v>
                </c:pt>
                <c:pt idx="2">
                  <c:v>Chennai</c:v>
                </c:pt>
                <c:pt idx="3">
                  <c:v>Delhi</c:v>
                </c:pt>
                <c:pt idx="4">
                  <c:v>Hyderabad</c:v>
                </c:pt>
                <c:pt idx="5">
                  <c:v>Mumbai</c:v>
                </c:pt>
                <c:pt idx="6">
                  <c:v>Pune</c:v>
                </c:pt>
              </c:strCache>
            </c:strRef>
          </c:cat>
          <c:val>
            <c:numRef>
              <c:f>'Additional KPIs'!$N$3:$N$9</c:f>
              <c:numCache>
                <c:formatCode>General</c:formatCode>
                <c:ptCount val="7"/>
                <c:pt idx="0">
                  <c:v>3.4117426590000002</c:v>
                </c:pt>
                <c:pt idx="1">
                  <c:v>2.8382706009999996</c:v>
                </c:pt>
                <c:pt idx="2">
                  <c:v>2.3608136750000002</c:v>
                </c:pt>
                <c:pt idx="3">
                  <c:v>2.9195426000000002</c:v>
                </c:pt>
                <c:pt idx="4">
                  <c:v>1.7650379730000001</c:v>
                </c:pt>
                <c:pt idx="5">
                  <c:v>2.9418106960000001</c:v>
                </c:pt>
                <c:pt idx="6">
                  <c:v>1.991418211</c:v>
                </c:pt>
              </c:numCache>
            </c:numRef>
          </c:val>
          <c:extLst>
            <c:ext xmlns:c16="http://schemas.microsoft.com/office/drawing/2014/chart" uri="{C3380CC4-5D6E-409C-BE32-E72D297353CC}">
              <c16:uniqueId val="{00000000-3020-4D15-9F01-FDC18C9DCF9B}"/>
            </c:ext>
          </c:extLst>
        </c:ser>
        <c:ser>
          <c:idx val="1"/>
          <c:order val="1"/>
          <c:tx>
            <c:strRef>
              <c:f>'Additional KPIs'!$O$2</c:f>
              <c:strCache>
                <c:ptCount val="1"/>
                <c:pt idx="0">
                  <c:v>Budget</c:v>
                </c:pt>
              </c:strCache>
            </c:strRef>
          </c:tx>
          <c:spPr>
            <a:solidFill>
              <a:schemeClr val="bg2">
                <a:lumMod val="75000"/>
              </a:schemeClr>
            </a:solidFill>
            <a:ln>
              <a:noFill/>
            </a:ln>
            <a:effectLst/>
          </c:spPr>
          <c:invertIfNegative val="0"/>
          <c:dLbls>
            <c:dLbl>
              <c:idx val="1"/>
              <c:layout>
                <c:manualLayout>
                  <c:x val="0"/>
                  <c:y val="-1.524431414090187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748-4DD0-B92E-E61AB001302A}"/>
                </c:ext>
              </c:extLst>
            </c:dLbl>
            <c:dLbl>
              <c:idx val="2"/>
              <c:layout>
                <c:manualLayout>
                  <c:x val="-5.0668956259789076E-17"/>
                  <c:y val="-1.143323560567640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748-4DD0-B92E-E61AB001302A}"/>
                </c:ext>
              </c:extLst>
            </c:dLbl>
            <c:dLbl>
              <c:idx val="3"/>
              <c:layout>
                <c:manualLayout>
                  <c:x val="-5.0668956259789076E-17"/>
                  <c:y val="-1.524431414090187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748-4DD0-B92E-E61AB001302A}"/>
                </c:ext>
              </c:extLst>
            </c:dLbl>
            <c:dLbl>
              <c:idx val="4"/>
              <c:layout>
                <c:manualLayout>
                  <c:x val="-5.0668956259789076E-17"/>
                  <c:y val="-1.524431414090187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748-4DD0-B92E-E61AB001302A}"/>
                </c:ext>
              </c:extLst>
            </c:dLbl>
            <c:dLbl>
              <c:idx val="5"/>
              <c:layout>
                <c:manualLayout>
                  <c:x val="0"/>
                  <c:y val="-1.524431414090187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748-4DD0-B92E-E61AB001302A}"/>
                </c:ext>
              </c:extLst>
            </c:dLbl>
            <c:dLbl>
              <c:idx val="6"/>
              <c:layout>
                <c:manualLayout>
                  <c:x val="1.9346552244178247E-2"/>
                  <c:y val="-1.905539267612734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748-4DD0-B92E-E61AB001302A}"/>
                </c:ext>
              </c:extLst>
            </c:dLbl>
            <c:numFmt formatCode="&quot;₹&quot;\ #,##0.0\ &quot; C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KPIs'!$M$3:$M$9</c:f>
              <c:strCache>
                <c:ptCount val="7"/>
                <c:pt idx="0">
                  <c:v>Ahmedabad</c:v>
                </c:pt>
                <c:pt idx="1">
                  <c:v>Bangalore</c:v>
                </c:pt>
                <c:pt idx="2">
                  <c:v>Chennai</c:v>
                </c:pt>
                <c:pt idx="3">
                  <c:v>Delhi</c:v>
                </c:pt>
                <c:pt idx="4">
                  <c:v>Hyderabad</c:v>
                </c:pt>
                <c:pt idx="5">
                  <c:v>Mumbai</c:v>
                </c:pt>
                <c:pt idx="6">
                  <c:v>Pune</c:v>
                </c:pt>
              </c:strCache>
            </c:strRef>
          </c:cat>
          <c:val>
            <c:numRef>
              <c:f>'Additional KPIs'!$O$3:$O$9</c:f>
              <c:numCache>
                <c:formatCode>General</c:formatCode>
                <c:ptCount val="7"/>
                <c:pt idx="0">
                  <c:v>5.7976359000000004</c:v>
                </c:pt>
                <c:pt idx="1">
                  <c:v>1.8291316</c:v>
                </c:pt>
                <c:pt idx="2">
                  <c:v>1.4346863000000001</c:v>
                </c:pt>
                <c:pt idx="3">
                  <c:v>1.7535433</c:v>
                </c:pt>
                <c:pt idx="4">
                  <c:v>1.275666</c:v>
                </c:pt>
                <c:pt idx="5">
                  <c:v>1.6010009999999999</c:v>
                </c:pt>
                <c:pt idx="6">
                  <c:v>1.5457894000000001</c:v>
                </c:pt>
              </c:numCache>
            </c:numRef>
          </c:val>
          <c:extLst>
            <c:ext xmlns:c16="http://schemas.microsoft.com/office/drawing/2014/chart" uri="{C3380CC4-5D6E-409C-BE32-E72D297353CC}">
              <c16:uniqueId val="{00000001-3020-4D15-9F01-FDC18C9DCF9B}"/>
            </c:ext>
          </c:extLst>
        </c:ser>
        <c:dLbls>
          <c:showLegendKey val="0"/>
          <c:showVal val="0"/>
          <c:showCatName val="0"/>
          <c:showSerName val="0"/>
          <c:showPercent val="0"/>
          <c:showBubbleSize val="0"/>
        </c:dLbls>
        <c:gapWidth val="182"/>
        <c:axId val="921384095"/>
        <c:axId val="921381215"/>
      </c:barChart>
      <c:catAx>
        <c:axId val="9213840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1381215"/>
        <c:crosses val="autoZero"/>
        <c:auto val="1"/>
        <c:lblAlgn val="ctr"/>
        <c:lblOffset val="100"/>
        <c:noMultiLvlLbl val="0"/>
      </c:catAx>
      <c:valAx>
        <c:axId val="921381215"/>
        <c:scaling>
          <c:orientation val="minMax"/>
        </c:scaling>
        <c:delete val="0"/>
        <c:axPos val="b"/>
        <c:numFmt formatCode="&quot;₹&quot;\ #,##0.0\ &quot;Cr&quot;" sourceLinked="0"/>
        <c:majorTickMark val="in"/>
        <c:minorTickMark val="none"/>
        <c:tickLblPos val="nextTo"/>
        <c:spPr>
          <a:noFill/>
          <a:ln w="0">
            <a:solidFill>
              <a:schemeClr val="tx1"/>
            </a:solidFill>
          </a:ln>
          <a:effectLst/>
        </c:spPr>
        <c:txPr>
          <a:bodyPr rot="-210000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921384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b="1" i="0" u="none" strike="noStrike" baseline="0">
                <a:solidFill>
                  <a:schemeClr val="tx1"/>
                </a:solidFill>
              </a:rPr>
              <a:t>Achievement % by Branch</a:t>
            </a:r>
            <a:endParaRPr lang="en-IN"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IN"/>
        </a:p>
      </c:txPr>
    </c:title>
    <c:autoTitleDeleted val="0"/>
    <c:plotArea>
      <c:layout/>
      <c:barChart>
        <c:barDir val="col"/>
        <c:grouping val="clustered"/>
        <c:varyColors val="0"/>
        <c:ser>
          <c:idx val="0"/>
          <c:order val="0"/>
          <c:tx>
            <c:strRef>
              <c:f>'Additional KPIs'!$H$2</c:f>
              <c:strCache>
                <c:ptCount val="1"/>
                <c:pt idx="0">
                  <c:v>New %</c:v>
                </c:pt>
              </c:strCache>
            </c:strRef>
          </c:tx>
          <c:spPr>
            <a:solidFill>
              <a:srgbClr val="52B788"/>
            </a:solidFill>
            <a:ln>
              <a:noFill/>
            </a:ln>
            <a:effectLst/>
          </c:spPr>
          <c:invertIfNegative val="0"/>
          <c:cat>
            <c:strRef>
              <c:f>'Additional KPIs'!$G$3:$G$9</c:f>
              <c:strCache>
                <c:ptCount val="7"/>
                <c:pt idx="0">
                  <c:v>Ahmedabad</c:v>
                </c:pt>
                <c:pt idx="1">
                  <c:v>Bangalore</c:v>
                </c:pt>
                <c:pt idx="2">
                  <c:v>Chennai</c:v>
                </c:pt>
                <c:pt idx="3">
                  <c:v>Delhi</c:v>
                </c:pt>
                <c:pt idx="4">
                  <c:v>Hyderabad</c:v>
                </c:pt>
                <c:pt idx="5">
                  <c:v>Mumbai</c:v>
                </c:pt>
                <c:pt idx="6">
                  <c:v>Pune</c:v>
                </c:pt>
              </c:strCache>
            </c:strRef>
          </c:cat>
          <c:val>
            <c:numRef>
              <c:f>'Additional KPIs'!$H$3:$H$9</c:f>
              <c:numCache>
                <c:formatCode>0.00%</c:formatCode>
                <c:ptCount val="7"/>
                <c:pt idx="0">
                  <c:v>0.16523175413928637</c:v>
                </c:pt>
                <c:pt idx="1">
                  <c:v>1.0847932789004013</c:v>
                </c:pt>
                <c:pt idx="2">
                  <c:v>1.7011827913051267</c:v>
                </c:pt>
                <c:pt idx="3">
                  <c:v>1.0847932789004013</c:v>
                </c:pt>
                <c:pt idx="4">
                  <c:v>1.0350138104255018</c:v>
                </c:pt>
                <c:pt idx="5">
                  <c:v>1.4185795682675215</c:v>
                </c:pt>
                <c:pt idx="6">
                  <c:v>0.94684809440605122</c:v>
                </c:pt>
              </c:numCache>
            </c:numRef>
          </c:val>
          <c:extLst>
            <c:ext xmlns:c16="http://schemas.microsoft.com/office/drawing/2014/chart" uri="{C3380CC4-5D6E-409C-BE32-E72D297353CC}">
              <c16:uniqueId val="{00000000-8A95-4289-91EA-E126F0F15859}"/>
            </c:ext>
          </c:extLst>
        </c:ser>
        <c:ser>
          <c:idx val="1"/>
          <c:order val="1"/>
          <c:tx>
            <c:strRef>
              <c:f>'Additional KPIs'!$I$2</c:f>
              <c:strCache>
                <c:ptCount val="1"/>
                <c:pt idx="0">
                  <c:v>Cross‑Sell %</c:v>
                </c:pt>
              </c:strCache>
            </c:strRef>
          </c:tx>
          <c:spPr>
            <a:solidFill>
              <a:schemeClr val="bg2">
                <a:lumMod val="75000"/>
              </a:schemeClr>
            </a:solidFill>
            <a:ln>
              <a:noFill/>
            </a:ln>
            <a:effectLst/>
          </c:spPr>
          <c:invertIfNegative val="0"/>
          <c:cat>
            <c:strRef>
              <c:f>'Additional KPIs'!$G$3:$G$9</c:f>
              <c:strCache>
                <c:ptCount val="7"/>
                <c:pt idx="0">
                  <c:v>Ahmedabad</c:v>
                </c:pt>
                <c:pt idx="1">
                  <c:v>Bangalore</c:v>
                </c:pt>
                <c:pt idx="2">
                  <c:v>Chennai</c:v>
                </c:pt>
                <c:pt idx="3">
                  <c:v>Delhi</c:v>
                </c:pt>
                <c:pt idx="4">
                  <c:v>Hyderabad</c:v>
                </c:pt>
                <c:pt idx="5">
                  <c:v>Mumbai</c:v>
                </c:pt>
                <c:pt idx="6">
                  <c:v>Pune</c:v>
                </c:pt>
              </c:strCache>
            </c:strRef>
          </c:cat>
          <c:val>
            <c:numRef>
              <c:f>'Additional KPIs'!$I$3:$I$9</c:f>
              <c:numCache>
                <c:formatCode>0.00%</c:formatCode>
                <c:ptCount val="7"/>
                <c:pt idx="0">
                  <c:v>0.56919803581169781</c:v>
                </c:pt>
                <c:pt idx="1">
                  <c:v>2.0498338732279775</c:v>
                </c:pt>
                <c:pt idx="2">
                  <c:v>1.5957025091050419</c:v>
                </c:pt>
                <c:pt idx="3">
                  <c:v>1.7754126435374316</c:v>
                </c:pt>
                <c:pt idx="4">
                  <c:v>1.5218196409239086</c:v>
                </c:pt>
                <c:pt idx="5">
                  <c:v>1.7011528610667437</c:v>
                </c:pt>
                <c:pt idx="6">
                  <c:v>1.7271525106147652</c:v>
                </c:pt>
              </c:numCache>
            </c:numRef>
          </c:val>
          <c:extLst>
            <c:ext xmlns:c16="http://schemas.microsoft.com/office/drawing/2014/chart" uri="{C3380CC4-5D6E-409C-BE32-E72D297353CC}">
              <c16:uniqueId val="{00000001-8A95-4289-91EA-E126F0F15859}"/>
            </c:ext>
          </c:extLst>
        </c:ser>
        <c:ser>
          <c:idx val="2"/>
          <c:order val="2"/>
          <c:tx>
            <c:strRef>
              <c:f>'Additional KPIs'!$J$2</c:f>
              <c:strCache>
                <c:ptCount val="1"/>
                <c:pt idx="0">
                  <c:v>Renewal %</c:v>
                </c:pt>
              </c:strCache>
            </c:strRef>
          </c:tx>
          <c:spPr>
            <a:solidFill>
              <a:srgbClr val="1A3A5C"/>
            </a:solidFill>
            <a:ln>
              <a:noFill/>
            </a:ln>
            <a:effectLst/>
          </c:spPr>
          <c:invertIfNegative val="0"/>
          <c:cat>
            <c:strRef>
              <c:f>'Additional KPIs'!$G$3:$G$9</c:f>
              <c:strCache>
                <c:ptCount val="7"/>
                <c:pt idx="0">
                  <c:v>Ahmedabad</c:v>
                </c:pt>
                <c:pt idx="1">
                  <c:v>Bangalore</c:v>
                </c:pt>
                <c:pt idx="2">
                  <c:v>Chennai</c:v>
                </c:pt>
                <c:pt idx="3">
                  <c:v>Delhi</c:v>
                </c:pt>
                <c:pt idx="4">
                  <c:v>Hyderabad</c:v>
                </c:pt>
                <c:pt idx="5">
                  <c:v>Mumbai</c:v>
                </c:pt>
                <c:pt idx="6">
                  <c:v>Pune</c:v>
                </c:pt>
              </c:strCache>
            </c:strRef>
          </c:cat>
          <c:val>
            <c:numRef>
              <c:f>'Additional KPIs'!$J$3:$J$9</c:f>
              <c:numCache>
                <c:formatCode>0.00%</c:formatCode>
                <c:ptCount val="7"/>
                <c:pt idx="0">
                  <c:v>1.1975505525161805</c:v>
                </c:pt>
                <c:pt idx="1">
                  <c:v>1.7134368871653043</c:v>
                </c:pt>
                <c:pt idx="2">
                  <c:v>1.6355905383510627</c:v>
                </c:pt>
                <c:pt idx="3">
                  <c:v>2.2054298051559051</c:v>
                </c:pt>
                <c:pt idx="4">
                  <c:v>1.582927809118936</c:v>
                </c:pt>
                <c:pt idx="5">
                  <c:v>2.233038762241415</c:v>
                </c:pt>
                <c:pt idx="6">
                  <c:v>1.3560454766999399</c:v>
                </c:pt>
              </c:numCache>
            </c:numRef>
          </c:val>
          <c:extLst>
            <c:ext xmlns:c16="http://schemas.microsoft.com/office/drawing/2014/chart" uri="{C3380CC4-5D6E-409C-BE32-E72D297353CC}">
              <c16:uniqueId val="{00000002-8A95-4289-91EA-E126F0F15859}"/>
            </c:ext>
          </c:extLst>
        </c:ser>
        <c:dLbls>
          <c:showLegendKey val="0"/>
          <c:showVal val="0"/>
          <c:showCatName val="0"/>
          <c:showSerName val="0"/>
          <c:showPercent val="0"/>
          <c:showBubbleSize val="0"/>
        </c:dLbls>
        <c:gapWidth val="219"/>
        <c:axId val="66458191"/>
        <c:axId val="66457711"/>
      </c:barChart>
      <c:lineChart>
        <c:grouping val="standard"/>
        <c:varyColors val="0"/>
        <c:ser>
          <c:idx val="3"/>
          <c:order val="3"/>
          <c:tx>
            <c:strRef>
              <c:f>'Additional KPIs'!$K$2</c:f>
              <c:strCache>
                <c:ptCount val="1"/>
                <c:pt idx="0">
                  <c:v>Reference_100%</c:v>
                </c:pt>
              </c:strCache>
            </c:strRef>
          </c:tx>
          <c:spPr>
            <a:ln w="28575" cap="rnd">
              <a:solidFill>
                <a:srgbClr val="FF0000"/>
              </a:solidFill>
              <a:prstDash val="sysDot"/>
              <a:round/>
            </a:ln>
            <a:effectLst/>
          </c:spPr>
          <c:marker>
            <c:symbol val="none"/>
          </c:marker>
          <c:cat>
            <c:strRef>
              <c:f>'Additional KPIs'!$G$3:$G$9</c:f>
              <c:strCache>
                <c:ptCount val="7"/>
                <c:pt idx="0">
                  <c:v>Ahmedabad</c:v>
                </c:pt>
                <c:pt idx="1">
                  <c:v>Bangalore</c:v>
                </c:pt>
                <c:pt idx="2">
                  <c:v>Chennai</c:v>
                </c:pt>
                <c:pt idx="3">
                  <c:v>Delhi</c:v>
                </c:pt>
                <c:pt idx="4">
                  <c:v>Hyderabad</c:v>
                </c:pt>
                <c:pt idx="5">
                  <c:v>Mumbai</c:v>
                </c:pt>
                <c:pt idx="6">
                  <c:v>Pune</c:v>
                </c:pt>
              </c:strCache>
            </c:strRef>
          </c:cat>
          <c:val>
            <c:numRef>
              <c:f>'Additional KPIs'!$K$3:$K$9</c:f>
              <c:numCache>
                <c:formatCode>0.00%</c:formatCode>
                <c:ptCount val="7"/>
                <c:pt idx="0">
                  <c:v>1</c:v>
                </c:pt>
                <c:pt idx="1">
                  <c:v>1</c:v>
                </c:pt>
                <c:pt idx="2">
                  <c:v>1</c:v>
                </c:pt>
                <c:pt idx="3">
                  <c:v>1</c:v>
                </c:pt>
                <c:pt idx="4">
                  <c:v>1</c:v>
                </c:pt>
                <c:pt idx="5">
                  <c:v>1</c:v>
                </c:pt>
                <c:pt idx="6">
                  <c:v>1</c:v>
                </c:pt>
              </c:numCache>
            </c:numRef>
          </c:val>
          <c:smooth val="1"/>
          <c:extLst>
            <c:ext xmlns:c16="http://schemas.microsoft.com/office/drawing/2014/chart" uri="{C3380CC4-5D6E-409C-BE32-E72D297353CC}">
              <c16:uniqueId val="{00000003-8A95-4289-91EA-E126F0F15859}"/>
            </c:ext>
          </c:extLst>
        </c:ser>
        <c:dLbls>
          <c:showLegendKey val="0"/>
          <c:showVal val="0"/>
          <c:showCatName val="0"/>
          <c:showSerName val="0"/>
          <c:showPercent val="0"/>
          <c:showBubbleSize val="0"/>
        </c:dLbls>
        <c:marker val="1"/>
        <c:smooth val="0"/>
        <c:axId val="66458191"/>
        <c:axId val="66457711"/>
      </c:lineChart>
      <c:catAx>
        <c:axId val="6645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457711"/>
        <c:crosses val="autoZero"/>
        <c:auto val="1"/>
        <c:lblAlgn val="ctr"/>
        <c:lblOffset val="100"/>
        <c:noMultiLvlLbl val="0"/>
      </c:catAx>
      <c:valAx>
        <c:axId val="66457711"/>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664581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b="1" i="0" u="none" strike="noStrike" baseline="0">
                <a:solidFill>
                  <a:schemeClr val="tx1"/>
                </a:solidFill>
              </a:rPr>
              <a:t>Branch Conversion Ratio</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'Additional KPIs'!$U$2</c:f>
              <c:strCache>
                <c:ptCount val="1"/>
                <c:pt idx="0">
                  <c:v>Conversion ratio</c:v>
                </c:pt>
              </c:strCache>
            </c:strRef>
          </c:tx>
          <c:spPr>
            <a:solidFill>
              <a:srgbClr val="7B2D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KPIs'!$T$3:$T$9</c:f>
              <c:strCache>
                <c:ptCount val="7"/>
                <c:pt idx="0">
                  <c:v>Ahmedabad</c:v>
                </c:pt>
                <c:pt idx="1">
                  <c:v>Bangalore</c:v>
                </c:pt>
                <c:pt idx="2">
                  <c:v>Chennai</c:v>
                </c:pt>
                <c:pt idx="3">
                  <c:v>Delhi</c:v>
                </c:pt>
                <c:pt idx="4">
                  <c:v>Hyderabad</c:v>
                </c:pt>
                <c:pt idx="5">
                  <c:v>Mumbai</c:v>
                </c:pt>
                <c:pt idx="6">
                  <c:v>Pune</c:v>
                </c:pt>
              </c:strCache>
            </c:strRef>
          </c:cat>
          <c:val>
            <c:numRef>
              <c:f>'Additional KPIs'!$U$3:$U$9</c:f>
              <c:numCache>
                <c:formatCode>0.00%</c:formatCode>
                <c:ptCount val="7"/>
                <c:pt idx="0">
                  <c:v>0.22222222222222221</c:v>
                </c:pt>
                <c:pt idx="1">
                  <c:v>0.24444444444444444</c:v>
                </c:pt>
                <c:pt idx="2">
                  <c:v>0.17499999999999999</c:v>
                </c:pt>
                <c:pt idx="3">
                  <c:v>0.26</c:v>
                </c:pt>
                <c:pt idx="4">
                  <c:v>0.16666666666666666</c:v>
                </c:pt>
                <c:pt idx="5">
                  <c:v>0.27272727272727271</c:v>
                </c:pt>
                <c:pt idx="6">
                  <c:v>0.2</c:v>
                </c:pt>
              </c:numCache>
            </c:numRef>
          </c:val>
          <c:extLst>
            <c:ext xmlns:c16="http://schemas.microsoft.com/office/drawing/2014/chart" uri="{C3380CC4-5D6E-409C-BE32-E72D297353CC}">
              <c16:uniqueId val="{00000000-9107-4996-B6D6-E096B242AF4D}"/>
            </c:ext>
          </c:extLst>
        </c:ser>
        <c:dLbls>
          <c:showLegendKey val="0"/>
          <c:showVal val="0"/>
          <c:showCatName val="0"/>
          <c:showSerName val="0"/>
          <c:showPercent val="0"/>
          <c:showBubbleSize val="0"/>
        </c:dLbls>
        <c:gapWidth val="182"/>
        <c:axId val="1269614527"/>
        <c:axId val="1269615007"/>
      </c:barChart>
      <c:catAx>
        <c:axId val="1269614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615007"/>
        <c:crosses val="autoZero"/>
        <c:auto val="1"/>
        <c:lblAlgn val="ctr"/>
        <c:lblOffset val="100"/>
        <c:noMultiLvlLbl val="0"/>
      </c:catAx>
      <c:valAx>
        <c:axId val="1269615007"/>
        <c:scaling>
          <c:orientation val="minMax"/>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6145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b="1" i="0" u="none" strike="noStrike" baseline="0">
                <a:solidFill>
                  <a:schemeClr val="tx1"/>
                </a:solidFill>
              </a:rPr>
              <a:t>Invoice Count by Type</a:t>
            </a:r>
            <a:endParaRPr lang="en-IN"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IN"/>
        </a:p>
      </c:txPr>
    </c:title>
    <c:autoTitleDeleted val="0"/>
    <c:plotArea>
      <c:layout>
        <c:manualLayout>
          <c:layoutTarget val="inner"/>
          <c:xMode val="edge"/>
          <c:yMode val="edge"/>
          <c:x val="0.16376073404330899"/>
          <c:y val="0.10474158368895212"/>
          <c:w val="0.79749370884852744"/>
          <c:h val="0.75740452429221594"/>
        </c:manualLayout>
      </c:layout>
      <c:barChart>
        <c:barDir val="bar"/>
        <c:grouping val="stacked"/>
        <c:varyColors val="0"/>
        <c:ser>
          <c:idx val="0"/>
          <c:order val="0"/>
          <c:tx>
            <c:strRef>
              <c:f>'Additional KPIs'!$F$29</c:f>
              <c:strCache>
                <c:ptCount val="1"/>
                <c:pt idx="0">
                  <c:v>Cross Sell</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KPIs'!$E$30:$E$36</c:f>
              <c:strCache>
                <c:ptCount val="7"/>
                <c:pt idx="0">
                  <c:v>Ahmedabad</c:v>
                </c:pt>
                <c:pt idx="1">
                  <c:v>Bangalore</c:v>
                </c:pt>
                <c:pt idx="2">
                  <c:v>Chennai</c:v>
                </c:pt>
                <c:pt idx="3">
                  <c:v>Delhi</c:v>
                </c:pt>
                <c:pt idx="4">
                  <c:v>Hyderabad</c:v>
                </c:pt>
                <c:pt idx="5">
                  <c:v>Mumbai</c:v>
                </c:pt>
                <c:pt idx="6">
                  <c:v>Pune</c:v>
                </c:pt>
              </c:strCache>
            </c:strRef>
          </c:cat>
          <c:val>
            <c:numRef>
              <c:f>'Additional KPIs'!$F$30:$F$36</c:f>
              <c:numCache>
                <c:formatCode>General</c:formatCode>
                <c:ptCount val="7"/>
                <c:pt idx="0">
                  <c:v>74</c:v>
                </c:pt>
                <c:pt idx="1">
                  <c:v>30</c:v>
                </c:pt>
                <c:pt idx="2">
                  <c:v>20</c:v>
                </c:pt>
                <c:pt idx="3">
                  <c:v>46</c:v>
                </c:pt>
                <c:pt idx="4">
                  <c:v>12</c:v>
                </c:pt>
                <c:pt idx="5">
                  <c:v>29</c:v>
                </c:pt>
                <c:pt idx="6">
                  <c:v>20</c:v>
                </c:pt>
              </c:numCache>
            </c:numRef>
          </c:val>
          <c:extLst>
            <c:ext xmlns:c16="http://schemas.microsoft.com/office/drawing/2014/chart" uri="{C3380CC4-5D6E-409C-BE32-E72D297353CC}">
              <c16:uniqueId val="{00000000-1C2D-438D-8D36-C84A32D3860D}"/>
            </c:ext>
          </c:extLst>
        </c:ser>
        <c:ser>
          <c:idx val="1"/>
          <c:order val="1"/>
          <c:tx>
            <c:strRef>
              <c:f>'Additional KPIs'!$G$29</c:f>
              <c:strCache>
                <c:ptCount val="1"/>
                <c:pt idx="0">
                  <c:v>New</c:v>
                </c:pt>
              </c:strCache>
            </c:strRef>
          </c:tx>
          <c:spPr>
            <a:solidFill>
              <a:srgbClr val="1A3A5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KPIs'!$E$30:$E$36</c:f>
              <c:strCache>
                <c:ptCount val="7"/>
                <c:pt idx="0">
                  <c:v>Ahmedabad</c:v>
                </c:pt>
                <c:pt idx="1">
                  <c:v>Bangalore</c:v>
                </c:pt>
                <c:pt idx="2">
                  <c:v>Chennai</c:v>
                </c:pt>
                <c:pt idx="3">
                  <c:v>Delhi</c:v>
                </c:pt>
                <c:pt idx="4">
                  <c:v>Hyderabad</c:v>
                </c:pt>
                <c:pt idx="5">
                  <c:v>Mumbai</c:v>
                </c:pt>
                <c:pt idx="6">
                  <c:v>Pune</c:v>
                </c:pt>
              </c:strCache>
            </c:strRef>
          </c:cat>
          <c:val>
            <c:numRef>
              <c:f>'Additional KPIs'!$G$30:$G$36</c:f>
              <c:numCache>
                <c:formatCode>General</c:formatCode>
                <c:ptCount val="7"/>
                <c:pt idx="0">
                  <c:v>28</c:v>
                </c:pt>
                <c:pt idx="1">
                  <c:v>31</c:v>
                </c:pt>
                <c:pt idx="2">
                  <c:v>29</c:v>
                </c:pt>
                <c:pt idx="3">
                  <c:v>37</c:v>
                </c:pt>
                <c:pt idx="4">
                  <c:v>22</c:v>
                </c:pt>
                <c:pt idx="5">
                  <c:v>55</c:v>
                </c:pt>
                <c:pt idx="6">
                  <c:v>31</c:v>
                </c:pt>
              </c:numCache>
            </c:numRef>
          </c:val>
          <c:extLst>
            <c:ext xmlns:c16="http://schemas.microsoft.com/office/drawing/2014/chart" uri="{C3380CC4-5D6E-409C-BE32-E72D297353CC}">
              <c16:uniqueId val="{00000001-1C2D-438D-8D36-C84A32D3860D}"/>
            </c:ext>
          </c:extLst>
        </c:ser>
        <c:ser>
          <c:idx val="2"/>
          <c:order val="2"/>
          <c:tx>
            <c:strRef>
              <c:f>'Additional KPIs'!$H$29</c:f>
              <c:strCache>
                <c:ptCount val="1"/>
                <c:pt idx="0">
                  <c:v>Renewal</c:v>
                </c:pt>
              </c:strCache>
            </c:strRef>
          </c:tx>
          <c:spPr>
            <a:solidFill>
              <a:srgbClr val="52B78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KPIs'!$E$30:$E$36</c:f>
              <c:strCache>
                <c:ptCount val="7"/>
                <c:pt idx="0">
                  <c:v>Ahmedabad</c:v>
                </c:pt>
                <c:pt idx="1">
                  <c:v>Bangalore</c:v>
                </c:pt>
                <c:pt idx="2">
                  <c:v>Chennai</c:v>
                </c:pt>
                <c:pt idx="3">
                  <c:v>Delhi</c:v>
                </c:pt>
                <c:pt idx="4">
                  <c:v>Hyderabad</c:v>
                </c:pt>
                <c:pt idx="5">
                  <c:v>Mumbai</c:v>
                </c:pt>
                <c:pt idx="6">
                  <c:v>Pune</c:v>
                </c:pt>
              </c:strCache>
            </c:strRef>
          </c:cat>
          <c:val>
            <c:numRef>
              <c:f>'Additional KPIs'!$H$30:$H$36</c:f>
              <c:numCache>
                <c:formatCode>General</c:formatCode>
                <c:ptCount val="7"/>
                <c:pt idx="0">
                  <c:v>102</c:v>
                </c:pt>
                <c:pt idx="1">
                  <c:v>79</c:v>
                </c:pt>
                <c:pt idx="2">
                  <c:v>71</c:v>
                </c:pt>
                <c:pt idx="3">
                  <c:v>77</c:v>
                </c:pt>
                <c:pt idx="4">
                  <c:v>46</c:v>
                </c:pt>
                <c:pt idx="5">
                  <c:v>96</c:v>
                </c:pt>
                <c:pt idx="6">
                  <c:v>49</c:v>
                </c:pt>
              </c:numCache>
            </c:numRef>
          </c:val>
          <c:extLst>
            <c:ext xmlns:c16="http://schemas.microsoft.com/office/drawing/2014/chart" uri="{C3380CC4-5D6E-409C-BE32-E72D297353CC}">
              <c16:uniqueId val="{00000002-1C2D-438D-8D36-C84A32D3860D}"/>
            </c:ext>
          </c:extLst>
        </c:ser>
        <c:dLbls>
          <c:dLblPos val="ctr"/>
          <c:showLegendKey val="0"/>
          <c:showVal val="1"/>
          <c:showCatName val="0"/>
          <c:showSerName val="0"/>
          <c:showPercent val="0"/>
          <c:showBubbleSize val="0"/>
        </c:dLbls>
        <c:gapWidth val="56"/>
        <c:overlap val="100"/>
        <c:axId val="1829729824"/>
        <c:axId val="1829713504"/>
      </c:barChart>
      <c:catAx>
        <c:axId val="1829729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713504"/>
        <c:crosses val="autoZero"/>
        <c:auto val="1"/>
        <c:lblAlgn val="ctr"/>
        <c:lblOffset val="100"/>
        <c:noMultiLvlLbl val="0"/>
      </c:catAx>
      <c:valAx>
        <c:axId val="18297135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729824"/>
        <c:crosses val="autoZero"/>
        <c:crossBetween val="between"/>
      </c:valAx>
      <c:spPr>
        <a:noFill/>
        <a:ln>
          <a:noFill/>
        </a:ln>
        <a:effectLst/>
      </c:spPr>
    </c:plotArea>
    <c:legend>
      <c:legendPos val="t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[Insurance_dashboard.xlsm]Client Policy KPIs!PivotTable21</c:name>
    <c:fmtId val="6"/>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b="1" i="0" u="none" strike="noStrike" baseline="0">
                <a:solidFill>
                  <a:schemeClr val="tx1"/>
                </a:solidFill>
              </a:rPr>
              <a:t>Revenue by Client Segment</a:t>
            </a:r>
            <a:endParaRPr lang="en-US" b="1">
              <a:solidFill>
                <a:schemeClr val="tx1"/>
              </a:solidFill>
            </a:endParaRPr>
          </a:p>
        </c:rich>
      </c:tx>
      <c:layout>
        <c:manualLayout>
          <c:xMode val="edge"/>
          <c:yMode val="edge"/>
          <c:x val="0.15901911472734676"/>
          <c:y val="8.6203737073257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rgbClr val="1A3A5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rgbClr val="65BF94"/>
          </a:solidFill>
          <a:ln w="19050">
            <a:solidFill>
              <a:schemeClr val="lt1"/>
            </a:solidFill>
          </a:ln>
          <a:effectLst/>
        </c:spPr>
      </c:pivotFmt>
      <c:pivotFmt>
        <c:idx val="2"/>
        <c:spPr>
          <a:solidFill>
            <a:srgbClr val="0E6660"/>
          </a:solidFill>
          <a:ln w="19050">
            <a:solidFill>
              <a:schemeClr val="lt1"/>
            </a:solidFill>
          </a:ln>
          <a:effectLst/>
        </c:spPr>
      </c:pivotFmt>
      <c:pivotFmt>
        <c:idx val="3"/>
        <c:spPr>
          <a:solidFill>
            <a:srgbClr val="F59E0B"/>
          </a:solidFill>
          <a:ln w="19050">
            <a:solidFill>
              <a:schemeClr val="lt1"/>
            </a:solidFill>
          </a:ln>
          <a:effectLst/>
        </c:spPr>
      </c:pivotFmt>
      <c:pivotFmt>
        <c:idx val="4"/>
        <c:spPr>
          <a:solidFill>
            <a:schemeClr val="bg1">
              <a:lumMod val="65000"/>
            </a:schemeClr>
          </a:solidFill>
          <a:ln w="19050">
            <a:solidFill>
              <a:schemeClr val="lt1"/>
            </a:solidFill>
          </a:ln>
          <a:effectLst/>
        </c:spPr>
      </c:pivotFmt>
      <c:pivotFmt>
        <c:idx val="5"/>
        <c:spPr>
          <a:solidFill>
            <a:schemeClr val="accent1">
              <a:lumMod val="75000"/>
            </a:schemeClr>
          </a:solidFill>
          <a:ln w="19050">
            <a:solidFill>
              <a:schemeClr val="lt1"/>
            </a:solidFill>
          </a:ln>
          <a:effectLst/>
        </c:spPr>
      </c:pivotFmt>
      <c:pivotFmt>
        <c:idx val="6"/>
        <c:spPr>
          <a:solidFill>
            <a:srgbClr val="1A3A5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lumMod val="75000"/>
            </a:schemeClr>
          </a:solidFill>
          <a:ln w="19050">
            <a:solidFill>
              <a:schemeClr val="lt1"/>
            </a:solidFill>
          </a:ln>
          <a:effectLst/>
        </c:spPr>
      </c:pivotFmt>
      <c:pivotFmt>
        <c:idx val="8"/>
        <c:spPr>
          <a:solidFill>
            <a:srgbClr val="65BF94"/>
          </a:solidFill>
          <a:ln w="19050">
            <a:solidFill>
              <a:schemeClr val="lt1"/>
            </a:solidFill>
          </a:ln>
          <a:effectLst/>
        </c:spPr>
      </c:pivotFmt>
      <c:pivotFmt>
        <c:idx val="9"/>
        <c:spPr>
          <a:solidFill>
            <a:srgbClr val="0E6660"/>
          </a:solidFill>
          <a:ln w="19050">
            <a:solidFill>
              <a:schemeClr val="lt1"/>
            </a:solidFill>
          </a:ln>
          <a:effectLst/>
        </c:spPr>
      </c:pivotFmt>
      <c:pivotFmt>
        <c:idx val="10"/>
        <c:spPr>
          <a:solidFill>
            <a:srgbClr val="F59E0B"/>
          </a:solidFill>
          <a:ln w="19050">
            <a:solidFill>
              <a:schemeClr val="lt1"/>
            </a:solidFill>
          </a:ln>
          <a:effectLst/>
        </c:spPr>
      </c:pivotFmt>
      <c:pivotFmt>
        <c:idx val="11"/>
        <c:spPr>
          <a:solidFill>
            <a:schemeClr val="bg1">
              <a:lumMod val="65000"/>
            </a:schemeClr>
          </a:solidFill>
          <a:ln w="19050">
            <a:solidFill>
              <a:schemeClr val="lt1"/>
            </a:solidFill>
          </a:ln>
          <a:effectLst/>
        </c:spPr>
      </c:pivotFmt>
      <c:pivotFmt>
        <c:idx val="12"/>
        <c:spPr>
          <a:solidFill>
            <a:srgbClr val="1A3A5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lumMod val="75000"/>
            </a:schemeClr>
          </a:solidFill>
          <a:ln w="19050">
            <a:solidFill>
              <a:schemeClr val="lt1"/>
            </a:solidFill>
          </a:ln>
          <a:effectLst/>
        </c:spPr>
      </c:pivotFmt>
      <c:pivotFmt>
        <c:idx val="14"/>
        <c:spPr>
          <a:solidFill>
            <a:srgbClr val="65BF94"/>
          </a:solidFill>
          <a:ln w="19050">
            <a:solidFill>
              <a:schemeClr val="lt1"/>
            </a:solidFill>
          </a:ln>
          <a:effectLst/>
        </c:spPr>
      </c:pivotFmt>
      <c:pivotFmt>
        <c:idx val="15"/>
        <c:spPr>
          <a:solidFill>
            <a:srgbClr val="0E6660"/>
          </a:solidFill>
          <a:ln w="19050">
            <a:solidFill>
              <a:schemeClr val="lt1"/>
            </a:solidFill>
          </a:ln>
          <a:effectLst/>
        </c:spPr>
      </c:pivotFmt>
      <c:pivotFmt>
        <c:idx val="16"/>
        <c:spPr>
          <a:solidFill>
            <a:srgbClr val="F59E0B"/>
          </a:solidFill>
          <a:ln w="19050">
            <a:solidFill>
              <a:schemeClr val="lt1"/>
            </a:solidFill>
          </a:ln>
          <a:effectLst/>
        </c:spPr>
      </c:pivotFmt>
      <c:pivotFmt>
        <c:idx val="17"/>
        <c:spPr>
          <a:solidFill>
            <a:schemeClr val="bg1">
              <a:lumMod val="65000"/>
            </a:schemeClr>
          </a:solidFill>
          <a:ln w="19050">
            <a:solidFill>
              <a:schemeClr val="lt1"/>
            </a:solidFill>
          </a:ln>
          <a:effectLst/>
        </c:spPr>
      </c:pivotFmt>
    </c:pivotFmts>
    <c:plotArea>
      <c:layout>
        <c:manualLayout>
          <c:layoutTarget val="inner"/>
          <c:xMode val="edge"/>
          <c:yMode val="edge"/>
          <c:x val="0.15697201620729831"/>
          <c:y val="0.16572534832723518"/>
          <c:w val="0.73072976570738801"/>
          <c:h val="0.82297234150423615"/>
        </c:manualLayout>
      </c:layout>
      <c:doughnutChart>
        <c:varyColors val="1"/>
        <c:ser>
          <c:idx val="0"/>
          <c:order val="0"/>
          <c:tx>
            <c:strRef>
              <c:f>'Client Policy KPIs'!$E$15</c:f>
              <c:strCache>
                <c:ptCount val="1"/>
                <c:pt idx="0">
                  <c:v>Total</c:v>
                </c:pt>
              </c:strCache>
            </c:strRef>
          </c:tx>
          <c:spPr>
            <a:solidFill>
              <a:srgbClr val="1A3A5C"/>
            </a:solidFill>
          </c:spPr>
          <c:explosion val="3"/>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0F1D-40FB-8FA3-B3A1512C1612}"/>
              </c:ext>
            </c:extLst>
          </c:dPt>
          <c:dPt>
            <c:idx val="1"/>
            <c:bubble3D val="0"/>
            <c:spPr>
              <a:solidFill>
                <a:srgbClr val="65BF94"/>
              </a:solidFill>
              <a:ln w="19050">
                <a:solidFill>
                  <a:schemeClr val="lt1"/>
                </a:solidFill>
              </a:ln>
              <a:effectLst/>
            </c:spPr>
            <c:extLst>
              <c:ext xmlns:c16="http://schemas.microsoft.com/office/drawing/2014/chart" uri="{C3380CC4-5D6E-409C-BE32-E72D297353CC}">
                <c16:uniqueId val="{00000003-0F1D-40FB-8FA3-B3A1512C1612}"/>
              </c:ext>
            </c:extLst>
          </c:dPt>
          <c:dPt>
            <c:idx val="2"/>
            <c:bubble3D val="0"/>
            <c:spPr>
              <a:solidFill>
                <a:srgbClr val="0E6660"/>
              </a:solidFill>
              <a:ln w="19050">
                <a:solidFill>
                  <a:schemeClr val="lt1"/>
                </a:solidFill>
              </a:ln>
              <a:effectLst/>
            </c:spPr>
            <c:extLst>
              <c:ext xmlns:c16="http://schemas.microsoft.com/office/drawing/2014/chart" uri="{C3380CC4-5D6E-409C-BE32-E72D297353CC}">
                <c16:uniqueId val="{00000005-0F1D-40FB-8FA3-B3A1512C1612}"/>
              </c:ext>
            </c:extLst>
          </c:dPt>
          <c:dPt>
            <c:idx val="3"/>
            <c:bubble3D val="0"/>
            <c:spPr>
              <a:solidFill>
                <a:srgbClr val="F59E0B"/>
              </a:solidFill>
              <a:ln w="19050">
                <a:solidFill>
                  <a:schemeClr val="lt1"/>
                </a:solidFill>
              </a:ln>
              <a:effectLst/>
            </c:spPr>
            <c:extLst>
              <c:ext xmlns:c16="http://schemas.microsoft.com/office/drawing/2014/chart" uri="{C3380CC4-5D6E-409C-BE32-E72D297353CC}">
                <c16:uniqueId val="{00000007-0F1D-40FB-8FA3-B3A1512C1612}"/>
              </c:ext>
            </c:extLst>
          </c:dPt>
          <c:dPt>
            <c:idx val="4"/>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9-0F1D-40FB-8FA3-B3A1512C161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bg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'Client Policy KPIs'!$D$16:$D$21</c:f>
              <c:strCache>
                <c:ptCount val="5"/>
                <c:pt idx="0">
                  <c:v>Emerging Corporate</c:v>
                </c:pt>
                <c:pt idx="1">
                  <c:v>Large Corporate</c:v>
                </c:pt>
                <c:pt idx="2">
                  <c:v>Mid Corporate</c:v>
                </c:pt>
                <c:pt idx="3">
                  <c:v>SME</c:v>
                </c:pt>
                <c:pt idx="4">
                  <c:v>Unclassified</c:v>
                </c:pt>
              </c:strCache>
            </c:strRef>
          </c:cat>
          <c:val>
            <c:numRef>
              <c:f>'Client Policy KPIs'!$E$16:$E$21</c:f>
              <c:numCache>
                <c:formatCode>0.0%</c:formatCode>
                <c:ptCount val="5"/>
                <c:pt idx="0">
                  <c:v>0.1899566444477066</c:v>
                </c:pt>
                <c:pt idx="1">
                  <c:v>0.29135881895590954</c:v>
                </c:pt>
                <c:pt idx="2">
                  <c:v>0.19099219277910906</c:v>
                </c:pt>
                <c:pt idx="3">
                  <c:v>0.19943247596168051</c:v>
                </c:pt>
                <c:pt idx="4">
                  <c:v>0.12825986785559432</c:v>
                </c:pt>
              </c:numCache>
            </c:numRef>
          </c:val>
          <c:extLst>
            <c:ext xmlns:c16="http://schemas.microsoft.com/office/drawing/2014/chart" uri="{C3380CC4-5D6E-409C-BE32-E72D297353CC}">
              <c16:uniqueId val="{0000000A-0F1D-40FB-8FA3-B3A1512C1612}"/>
            </c:ext>
          </c:extLst>
        </c:ser>
        <c:dLbls>
          <c:showLegendKey val="0"/>
          <c:showVal val="0"/>
          <c:showCatName val="0"/>
          <c:showSerName val="0"/>
          <c:showPercent val="0"/>
          <c:showBubbleSize val="0"/>
          <c:showLeaderLines val="1"/>
        </c:dLbls>
        <c:firstSliceAng val="0"/>
        <c:holeSize val="2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b="1">
                <a:solidFill>
                  <a:schemeClr val="tx1"/>
                </a:solidFill>
              </a:rPr>
              <a:t>Achieved vs Invoice</a:t>
            </a:r>
            <a:r>
              <a:rPr lang="en-IN" b="1" baseline="0">
                <a:solidFill>
                  <a:schemeClr val="tx1"/>
                </a:solidFill>
              </a:rPr>
              <a:t>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'Additional KPIs'!$B$34</c:f>
              <c:strCache>
                <c:ptCount val="1"/>
                <c:pt idx="0">
                  <c:v>Achieved_Revenue</c:v>
                </c:pt>
              </c:strCache>
            </c:strRef>
          </c:tx>
          <c:spPr>
            <a:ln w="28575" cap="rnd">
              <a:solidFill>
                <a:srgbClr val="0E7C7B"/>
              </a:solidFill>
              <a:round/>
            </a:ln>
            <a:effectLst/>
          </c:spPr>
          <c:marker>
            <c:symbol val="circle"/>
            <c:size val="5"/>
            <c:spPr>
              <a:solidFill>
                <a:schemeClr val="accent1"/>
              </a:solidFill>
              <a:ln w="9525">
                <a:noFill/>
              </a:ln>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3C0-409B-86B6-9483B8404B11}"/>
                </c:ext>
              </c:extLst>
            </c:dLbl>
            <c:dLbl>
              <c:idx val="10"/>
              <c:layout>
                <c:manualLayout>
                  <c:x val="-1.3330103319846683E-2"/>
                  <c:y val="-9.84025834636497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3C0-409B-86B6-9483B8404B11}"/>
                </c:ext>
              </c:extLst>
            </c:dLbl>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KPIs'!$A$35:$A$46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'Additional KPIs'!$B$35:$B$46</c:f>
              <c:numCache>
                <c:formatCode>General</c:formatCode>
                <c:ptCount val="12"/>
                <c:pt idx="0">
                  <c:v>22530707.520000003</c:v>
                </c:pt>
                <c:pt idx="1">
                  <c:v>11883942.620000001</c:v>
                </c:pt>
                <c:pt idx="2">
                  <c:v>18281595.189999998</c:v>
                </c:pt>
                <c:pt idx="3">
                  <c:v>15804649.880000001</c:v>
                </c:pt>
                <c:pt idx="4">
                  <c:v>14719188.949999999</c:v>
                </c:pt>
                <c:pt idx="5">
                  <c:v>12644890.260000002</c:v>
                </c:pt>
                <c:pt idx="6">
                  <c:v>16549087.540000001</c:v>
                </c:pt>
                <c:pt idx="7">
                  <c:v>17322474.050000001</c:v>
                </c:pt>
                <c:pt idx="8">
                  <c:v>14090519.98</c:v>
                </c:pt>
                <c:pt idx="9">
                  <c:v>13895541.859999999</c:v>
                </c:pt>
                <c:pt idx="10">
                  <c:v>11592088.26</c:v>
                </c:pt>
                <c:pt idx="11">
                  <c:v>12971678.040000001</c:v>
                </c:pt>
              </c:numCache>
            </c:numRef>
          </c:val>
          <c:smooth val="0"/>
          <c:extLst>
            <c:ext xmlns:c16="http://schemas.microsoft.com/office/drawing/2014/chart" uri="{C3380CC4-5D6E-409C-BE32-E72D297353CC}">
              <c16:uniqueId val="{00000000-63C0-409B-86B6-9483B8404B11}"/>
            </c:ext>
          </c:extLst>
        </c:ser>
        <c:ser>
          <c:idx val="1"/>
          <c:order val="1"/>
          <c:tx>
            <c:strRef>
              <c:f>'Additional KPIs'!$C$34</c:f>
              <c:strCache>
                <c:ptCount val="1"/>
                <c:pt idx="0">
                  <c:v>Invoiced amount</c:v>
                </c:pt>
              </c:strCache>
            </c:strRef>
          </c:tx>
          <c:spPr>
            <a:ln w="28575" cap="rnd">
              <a:solidFill>
                <a:schemeClr val="bg2">
                  <a:lumMod val="50000"/>
                </a:schemeClr>
              </a:solidFill>
              <a:prstDash val="sysDot"/>
              <a:round/>
            </a:ln>
            <a:effectLst/>
          </c:spPr>
          <c:marker>
            <c:symbol val="circle"/>
            <c:size val="5"/>
            <c:spPr>
              <a:solidFill>
                <a:schemeClr val="bg2">
                  <a:lumMod val="25000"/>
                </a:schemeClr>
              </a:solidFill>
              <a:ln w="9525">
                <a:noFill/>
              </a:ln>
              <a:effectLst/>
            </c:spPr>
          </c:marker>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3C0-409B-86B6-9483B8404B11}"/>
                </c:ext>
              </c:extLst>
            </c:dLbl>
            <c:dLbl>
              <c:idx val="11"/>
              <c:layout>
                <c:manualLayout>
                  <c:x val="-1.8662144647785081E-2"/>
                  <c:y val="8.55674638814344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3C0-409B-86B6-9483B8404B11}"/>
                </c:ext>
              </c:extLst>
            </c:dLbl>
            <c:numFmt formatCode="#,##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'Additional KPIs'!$A$35:$A$46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'Additional KPIs'!$C$35:$C$46</c:f>
              <c:numCache>
                <c:formatCode>General</c:formatCode>
                <c:ptCount val="12"/>
                <c:pt idx="0">
                  <c:v>372751</c:v>
                </c:pt>
                <c:pt idx="1">
                  <c:v>0</c:v>
                </c:pt>
                <c:pt idx="2">
                  <c:v>7729023</c:v>
                </c:pt>
                <c:pt idx="3">
                  <c:v>10029460</c:v>
                </c:pt>
                <c:pt idx="4">
                  <c:v>8177255</c:v>
                </c:pt>
                <c:pt idx="5">
                  <c:v>7422189</c:v>
                </c:pt>
                <c:pt idx="6">
                  <c:v>9978000</c:v>
                </c:pt>
                <c:pt idx="7">
                  <c:v>8013095</c:v>
                </c:pt>
                <c:pt idx="8">
                  <c:v>8768768</c:v>
                </c:pt>
                <c:pt idx="9">
                  <c:v>12025284</c:v>
                </c:pt>
                <c:pt idx="10">
                  <c:v>10047672</c:v>
                </c:pt>
                <c:pt idx="11">
                  <c:v>13044788</c:v>
                </c:pt>
              </c:numCache>
            </c:numRef>
          </c:val>
          <c:smooth val="0"/>
          <c:extLst>
            <c:ext xmlns:c16="http://schemas.microsoft.com/office/drawing/2014/chart" uri="{C3380CC4-5D6E-409C-BE32-E72D297353CC}">
              <c16:uniqueId val="{00000001-63C0-409B-86B6-9483B8404B11}"/>
            </c:ext>
          </c:extLst>
        </c:ser>
        <c:dLbls>
          <c:showLegendKey val="0"/>
          <c:showVal val="0"/>
          <c:showCatName val="0"/>
          <c:showSerName val="0"/>
          <c:showPercent val="0"/>
          <c:showBubbleSize val="0"/>
        </c:dLbls>
        <c:marker val="1"/>
        <c:smooth val="0"/>
        <c:axId val="768635503"/>
        <c:axId val="768635983"/>
      </c:lineChart>
      <c:catAx>
        <c:axId val="768635503"/>
        <c:scaling>
          <c:orientation val="minMax"/>
        </c:scaling>
        <c:delete val="0"/>
        <c:axPos val="b"/>
        <c:numFmt formatCode="General" sourceLinked="1"/>
        <c:majorTickMark val="in"/>
        <c:minorTickMark val="in"/>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635983"/>
        <c:crosses val="autoZero"/>
        <c:auto val="1"/>
        <c:lblAlgn val="ctr"/>
        <c:lblOffset val="100"/>
        <c:noMultiLvlLbl val="0"/>
      </c:catAx>
      <c:valAx>
        <c:axId val="768635983"/>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6355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rich>
          <a:bodyPr spcFirstLastPara="1" vertOverflow="ellipsis" horzOverflow="overflow" wrap="square" lIns="0" tIns="0" rIns="0" bIns="0" anchor="ctr" anchorCtr="1"/>
          <a:lstStyle/>
          <a:p>
            <a:pPr algn="ctr" rtl="0">
              <a:defRPr/>
            </a:pPr>
            <a:r>
              <a:rPr lang="en-IN" b="1">
                <a:solidFill>
                  <a:schemeClr val="tx1"/>
                </a:solidFill>
              </a:rPr>
              <a:t>Opportunity Pipeline Funnel</a:t>
            </a:r>
            <a:endParaRPr lang="en-US" sz="1400" b="1" i="0" u="none" strike="noStrike" baseline="0">
              <a:solidFill>
                <a:schemeClr val="tx1"/>
              </a:solidFill>
              <a:latin typeface="Calibri" panose="020F0502020204030204"/>
            </a:endParaRPr>
          </a:p>
        </cx:rich>
      </cx:tx>
    </cx:title>
    <cx:plotArea>
      <cx:plotAreaRegion>
        <cx:plotSurface>
          <cx:spPr>
            <a:ln>
              <a:noFill/>
            </a:ln>
          </cx:spPr>
        </cx:plotSurface>
        <cx:series layoutId="funnel" uniqueId="{E78C47A7-0461-485E-930C-80231C171659}">
          <cx:tx>
            <cx:txData>
              <cx:f>_xlchart.v2.1</cx:f>
              <cx:v>Count</cx:v>
            </cx:txData>
          </cx:tx>
          <cx:dataPt idx="1">
            <cx:spPr>
              <a:solidFill>
                <a:srgbClr val="52B788"/>
              </a:solidFill>
            </cx:spPr>
          </cx:dataPt>
          <cx:dataPt idx="2">
            <cx:spPr>
              <a:solidFill>
                <a:srgbClr val="E7E6E6">
                  <a:lumMod val="50000"/>
                </a:srgbClr>
              </a:solidFill>
            </cx:spPr>
          </cx:dataPt>
          <cx:dataPt idx="3">
            <cx:spPr>
              <a:solidFill>
                <a:srgbClr val="F59E0B"/>
              </a:solidFill>
            </cx:spPr>
          </cx:dataPt>
          <cx:dataPt idx="4">
            <cx:spPr>
              <a:solidFill>
                <a:srgbClr val="C00000"/>
              </a:solidFill>
            </cx:spPr>
          </cx:dataPt>
          <cx:dataLabels>
            <cx:visibility seriesName="0" categoryName="1" value="1"/>
            <cx:separator>
</cx:separator>
          </cx:dataLabels>
          <cx:dataId val="0"/>
        </cx:series>
      </cx:plotAreaRegion>
      <cx:axis id="0" hidden="1">
        <cx:catScaling gapWidth="0.0599999987"/>
        <cx:tickLabels/>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127968; Cover'!A1"/><Relationship Id="rId1" Type="http://schemas.openxmlformats.org/officeDocument/2006/relationships/hyperlink" Target="#'Pipeline KPIs'!A1"/><Relationship Id="rId4" Type="http://schemas.openxmlformats.org/officeDocument/2006/relationships/image" Target="../media/image2.svg"/></Relationships>
</file>

<file path=xl/drawings/_rels/drawing2.xml.rels><?xml version="1.0" encoding="UTF-8" standalone="yes"?>
<Relationships xmlns="http://schemas.openxmlformats.org/package/2006/relationships"><Relationship Id="rId2" Type="http://schemas.openxmlformats.org/officeDocument/2006/relationships/hyperlink" Target="#'Performance KPIs'!A1"/><Relationship Id="rId1" Type="http://schemas.openxmlformats.org/officeDocument/2006/relationships/hyperlink" Target="#'Activity KPIs'!A1"/></Relationships>
</file>

<file path=xl/drawings/_rels/drawing3.xml.rels><?xml version="1.0" encoding="UTF-8" standalone="yes"?>
<Relationships xmlns="http://schemas.openxmlformats.org/package/2006/relationships"><Relationship Id="rId2" Type="http://schemas.openxmlformats.org/officeDocument/2006/relationships/hyperlink" Target="#'Pipeline KPIs'!A1"/><Relationship Id="rId1" Type="http://schemas.openxmlformats.org/officeDocument/2006/relationships/hyperlink" Target="#'Invoice KPIs'!A1"/></Relationships>
</file>

<file path=xl/drawings/_rels/drawing4.xml.rels><?xml version="1.0" encoding="UTF-8" standalone="yes"?>
<Relationships xmlns="http://schemas.openxmlformats.org/package/2006/relationships"><Relationship Id="rId3" Type="http://schemas.openxmlformats.org/officeDocument/2006/relationships/hyperlink" Target="#'Activity KPIs'!A1"/><Relationship Id="rId2" Type="http://schemas.openxmlformats.org/officeDocument/2006/relationships/hyperlink" Target="#'Client Policy KPIs'!A1"/><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hyperlink" Target="#'Invoice KPIs'!A1"/><Relationship Id="rId2" Type="http://schemas.openxmlformats.org/officeDocument/2006/relationships/hyperlink" Target="#'Branch KPIs'!A1"/><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2" Type="http://schemas.openxmlformats.org/officeDocument/2006/relationships/hyperlink" Target="#'Client Policy KPIs'!A1"/><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5.xml"/><Relationship Id="rId7" Type="http://schemas.openxmlformats.org/officeDocument/2006/relationships/hyperlink" Target="#'&#127968; Cover'!A1"/><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microsoft.com/office/2014/relationships/chartEx" Target="../charts/chartEx1.xml"/><Relationship Id="rId5" Type="http://schemas.openxmlformats.org/officeDocument/2006/relationships/chart" Target="../charts/chart7.xml"/><Relationship Id="rId10" Type="http://schemas.openxmlformats.org/officeDocument/2006/relationships/hyperlink" Target="#'Branch KPIs'!A1"/><Relationship Id="rId4" Type="http://schemas.openxmlformats.org/officeDocument/2006/relationships/chart" Target="../charts/chart6.xml"/><Relationship Id="rId9"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xdr:twoCellAnchor editAs="oneCell">
    <xdr:from>
      <xdr:col>9</xdr:col>
      <xdr:colOff>13304</xdr:colOff>
      <xdr:row>12</xdr:row>
      <xdr:rowOff>180218</xdr:rowOff>
    </xdr:from>
    <xdr:to>
      <xdr:col>11</xdr:col>
      <xdr:colOff>56848</xdr:colOff>
      <xdr:row>23</xdr:row>
      <xdr:rowOff>76199</xdr:rowOff>
    </xdr:to>
    <mc:AlternateContent xmlns:mc="http://schemas.openxmlformats.org/markup-compatibility/2006" xmlns:a14="http://schemas.microsoft.com/office/drawing/2010/main">
      <mc:Choice Requires="a14">
        <xdr:graphicFrame macro="">
          <xdr:nvGraphicFramePr>
            <xdr:cNvPr id="2" name="income_class">
              <a:extLst>
                <a:ext uri="{FF2B5EF4-FFF2-40B4-BE49-F238E27FC236}">
                  <a16:creationId xmlns:a16="http://schemas.microsoft.com/office/drawing/2014/main" id="{FB088D0B-1B6F-4967-9974-18AF6386C642}"/>
                </a:ext>
              </a:extLst>
            </xdr:cNvPr>
            <xdr:cNvGraphicFramePr/>
          </xdr:nvGraphicFramePr>
          <xdr:xfrm>
            <a:off x="0" y="0"/>
            <a:ext cx="0" cy="0"/>
          </xdr:xfrm>
          <a:graphic>
            <a:graphicData uri="http://schemas.microsoft.com/office/drawing/2010/slicer">
              <sle:slicer xmlns:sle="http://schemas.microsoft.com/office/drawing/2010/slicer" name="income_class"/>
            </a:graphicData>
          </a:graphic>
        </xdr:graphicFrame>
      </mc:Choice>
      <mc:Fallback xmlns="">
        <xdr:sp macro="" textlink="">
          <xdr:nvSpPr>
            <xdr:cNvPr id="0" name=""/>
            <xdr:cNvSpPr>
              <a:spLocks noTextEdit="1"/>
            </xdr:cNvSpPr>
          </xdr:nvSpPr>
          <xdr:spPr>
            <a:xfrm>
              <a:off x="13018104" y="2618618"/>
              <a:ext cx="1813077" cy="2105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855134</xdr:colOff>
      <xdr:row>0</xdr:row>
      <xdr:rowOff>25401</xdr:rowOff>
    </xdr:from>
    <xdr:to>
      <xdr:col>8</xdr:col>
      <xdr:colOff>1303867</xdr:colOff>
      <xdr:row>0</xdr:row>
      <xdr:rowOff>355601</xdr:rowOff>
    </xdr:to>
    <xdr:sp macro="" textlink="">
      <xdr:nvSpPr>
        <xdr:cNvPr id="3" name="Arrow: Right 2">
          <a:hlinkClick xmlns:r="http://schemas.openxmlformats.org/officeDocument/2006/relationships" r:id="rId1"/>
          <a:extLst>
            <a:ext uri="{FF2B5EF4-FFF2-40B4-BE49-F238E27FC236}">
              <a16:creationId xmlns:a16="http://schemas.microsoft.com/office/drawing/2014/main" id="{2092E0DE-FC2A-1F0D-C2ED-8EB620FC7189}"/>
            </a:ext>
          </a:extLst>
        </xdr:cNvPr>
        <xdr:cNvSpPr/>
      </xdr:nvSpPr>
      <xdr:spPr>
        <a:xfrm>
          <a:off x="12403667" y="25401"/>
          <a:ext cx="448733" cy="330200"/>
        </a:xfrm>
        <a:prstGeom prst="righ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296334</xdr:colOff>
      <xdr:row>0</xdr:row>
      <xdr:rowOff>0</xdr:rowOff>
    </xdr:from>
    <xdr:to>
      <xdr:col>0</xdr:col>
      <xdr:colOff>812801</xdr:colOff>
      <xdr:row>1</xdr:row>
      <xdr:rowOff>8466</xdr:rowOff>
    </xdr:to>
    <xdr:pic>
      <xdr:nvPicPr>
        <xdr:cNvPr id="4" name="Graphic 3" descr="Home with solid fill">
          <a:hlinkClick xmlns:r="http://schemas.openxmlformats.org/officeDocument/2006/relationships" r:id="rId2"/>
          <a:extLst>
            <a:ext uri="{FF2B5EF4-FFF2-40B4-BE49-F238E27FC236}">
              <a16:creationId xmlns:a16="http://schemas.microsoft.com/office/drawing/2014/main" id="{F89A839A-5AC7-4EF1-B64B-1C71F0B99D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96334" y="0"/>
          <a:ext cx="516467" cy="3725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15240</xdr:colOff>
      <xdr:row>10</xdr:row>
      <xdr:rowOff>38101</xdr:rowOff>
    </xdr:from>
    <xdr:to>
      <xdr:col>6</xdr:col>
      <xdr:colOff>777240</xdr:colOff>
      <xdr:row>20</xdr:row>
      <xdr:rowOff>38101</xdr:rowOff>
    </xdr:to>
    <mc:AlternateContent xmlns:mc="http://schemas.openxmlformats.org/markup-compatibility/2006" xmlns:a14="http://schemas.microsoft.com/office/drawing/2010/main">
      <mc:Choice Requires="a14">
        <xdr:graphicFrame macro="">
          <xdr:nvGraphicFramePr>
            <xdr:cNvPr id="2" name="stage">
              <a:extLst>
                <a:ext uri="{FF2B5EF4-FFF2-40B4-BE49-F238E27FC236}">
                  <a16:creationId xmlns:a16="http://schemas.microsoft.com/office/drawing/2014/main" id="{7C0DD140-67EE-5965-FA81-CE9F4878C505}"/>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4998720" y="2034541"/>
              <a:ext cx="1950720" cy="1828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1120140</xdr:colOff>
      <xdr:row>0</xdr:row>
      <xdr:rowOff>30481</xdr:rowOff>
    </xdr:from>
    <xdr:to>
      <xdr:col>9</xdr:col>
      <xdr:colOff>1524000</xdr:colOff>
      <xdr:row>0</xdr:row>
      <xdr:rowOff>320040</xdr:rowOff>
    </xdr:to>
    <xdr:sp macro="" textlink="">
      <xdr:nvSpPr>
        <xdr:cNvPr id="3" name="Arrow: Right 2">
          <a:hlinkClick xmlns:r="http://schemas.openxmlformats.org/officeDocument/2006/relationships" r:id="rId1"/>
          <a:extLst>
            <a:ext uri="{FF2B5EF4-FFF2-40B4-BE49-F238E27FC236}">
              <a16:creationId xmlns:a16="http://schemas.microsoft.com/office/drawing/2014/main" id="{7D103A36-2035-41C1-A830-660EC1C97B4E}"/>
            </a:ext>
          </a:extLst>
        </xdr:cNvPr>
        <xdr:cNvSpPr/>
      </xdr:nvSpPr>
      <xdr:spPr>
        <a:xfrm>
          <a:off x="13083540" y="30481"/>
          <a:ext cx="403860" cy="289559"/>
        </a:xfrm>
        <a:prstGeom prst="righ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83820</xdr:colOff>
      <xdr:row>0</xdr:row>
      <xdr:rowOff>22860</xdr:rowOff>
    </xdr:from>
    <xdr:to>
      <xdr:col>0</xdr:col>
      <xdr:colOff>464820</xdr:colOff>
      <xdr:row>0</xdr:row>
      <xdr:rowOff>297180</xdr:rowOff>
    </xdr:to>
    <xdr:sp macro="" textlink="">
      <xdr:nvSpPr>
        <xdr:cNvPr id="4" name="Arrow: Left 3">
          <a:hlinkClick xmlns:r="http://schemas.openxmlformats.org/officeDocument/2006/relationships" r:id="rId2"/>
          <a:extLst>
            <a:ext uri="{FF2B5EF4-FFF2-40B4-BE49-F238E27FC236}">
              <a16:creationId xmlns:a16="http://schemas.microsoft.com/office/drawing/2014/main" id="{92202491-28BB-3EB5-41F4-843F7A2DBE4F}"/>
            </a:ext>
          </a:extLst>
        </xdr:cNvPr>
        <xdr:cNvSpPr/>
      </xdr:nvSpPr>
      <xdr:spPr>
        <a:xfrm>
          <a:off x="83820" y="22860"/>
          <a:ext cx="381000" cy="274320"/>
        </a:xfrm>
        <a:prstGeom prst="lef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106680</xdr:colOff>
      <xdr:row>12</xdr:row>
      <xdr:rowOff>7620</xdr:rowOff>
    </xdr:from>
    <xdr:to>
      <xdr:col>5</xdr:col>
      <xdr:colOff>137160</xdr:colOff>
      <xdr:row>25</xdr:row>
      <xdr:rowOff>36195</xdr:rowOff>
    </xdr:to>
    <mc:AlternateContent xmlns:mc="http://schemas.openxmlformats.org/markup-compatibility/2006" xmlns:a14="http://schemas.microsoft.com/office/drawing/2010/main">
      <mc:Choice Requires="a14">
        <xdr:graphicFrame macro="">
          <xdr:nvGraphicFramePr>
            <xdr:cNvPr id="2" name="branch_name">
              <a:extLst>
                <a:ext uri="{FF2B5EF4-FFF2-40B4-BE49-F238E27FC236}">
                  <a16:creationId xmlns:a16="http://schemas.microsoft.com/office/drawing/2014/main" id="{002C9A21-8C8B-B705-6159-2F5CF9CD380F}"/>
                </a:ext>
              </a:extLst>
            </xdr:cNvPr>
            <xdr:cNvGraphicFramePr/>
          </xdr:nvGraphicFramePr>
          <xdr:xfrm>
            <a:off x="0" y="0"/>
            <a:ext cx="0" cy="0"/>
          </xdr:xfrm>
          <a:graphic>
            <a:graphicData uri="http://schemas.microsoft.com/office/drawing/2010/slicer">
              <sle:slicer xmlns:sle="http://schemas.microsoft.com/office/drawing/2010/slicer" name="branch_name"/>
            </a:graphicData>
          </a:graphic>
        </xdr:graphicFrame>
      </mc:Choice>
      <mc:Fallback xmlns="">
        <xdr:sp macro="" textlink="">
          <xdr:nvSpPr>
            <xdr:cNvPr id="0" name=""/>
            <xdr:cNvSpPr>
              <a:spLocks noTextEdit="1"/>
            </xdr:cNvSpPr>
          </xdr:nvSpPr>
          <xdr:spPr>
            <a:xfrm>
              <a:off x="5181600" y="24765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960120</xdr:colOff>
      <xdr:row>0</xdr:row>
      <xdr:rowOff>30480</xdr:rowOff>
    </xdr:from>
    <xdr:to>
      <xdr:col>5</xdr:col>
      <xdr:colOff>1310640</xdr:colOff>
      <xdr:row>0</xdr:row>
      <xdr:rowOff>297180</xdr:rowOff>
    </xdr:to>
    <xdr:sp macro="" textlink="">
      <xdr:nvSpPr>
        <xdr:cNvPr id="3" name="Arrow: Right 2">
          <a:hlinkClick xmlns:r="http://schemas.openxmlformats.org/officeDocument/2006/relationships" r:id="rId1"/>
          <a:extLst>
            <a:ext uri="{FF2B5EF4-FFF2-40B4-BE49-F238E27FC236}">
              <a16:creationId xmlns:a16="http://schemas.microsoft.com/office/drawing/2014/main" id="{A77B22AF-540A-4D57-8560-1AB6B680C769}"/>
            </a:ext>
          </a:extLst>
        </xdr:cNvPr>
        <xdr:cNvSpPr/>
      </xdr:nvSpPr>
      <xdr:spPr>
        <a:xfrm>
          <a:off x="7452360" y="30480"/>
          <a:ext cx="350520" cy="266700"/>
        </a:xfrm>
        <a:prstGeom prst="righ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30480</xdr:colOff>
      <xdr:row>0</xdr:row>
      <xdr:rowOff>38100</xdr:rowOff>
    </xdr:from>
    <xdr:to>
      <xdr:col>0</xdr:col>
      <xdr:colOff>403860</xdr:colOff>
      <xdr:row>0</xdr:row>
      <xdr:rowOff>312420</xdr:rowOff>
    </xdr:to>
    <xdr:sp macro="" textlink="">
      <xdr:nvSpPr>
        <xdr:cNvPr id="4" name="Arrow: Left 3">
          <a:hlinkClick xmlns:r="http://schemas.openxmlformats.org/officeDocument/2006/relationships" r:id="rId2"/>
          <a:extLst>
            <a:ext uri="{FF2B5EF4-FFF2-40B4-BE49-F238E27FC236}">
              <a16:creationId xmlns:a16="http://schemas.microsoft.com/office/drawing/2014/main" id="{1B455E12-843C-422D-8645-751A531B975B}"/>
            </a:ext>
          </a:extLst>
        </xdr:cNvPr>
        <xdr:cNvSpPr/>
      </xdr:nvSpPr>
      <xdr:spPr>
        <a:xfrm>
          <a:off x="30480" y="38100"/>
          <a:ext cx="373380" cy="274320"/>
        </a:xfrm>
        <a:prstGeom prst="lef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967740</xdr:colOff>
      <xdr:row>21</xdr:row>
      <xdr:rowOff>38100</xdr:rowOff>
    </xdr:from>
    <xdr:to>
      <xdr:col>13</xdr:col>
      <xdr:colOff>144780</xdr:colOff>
      <xdr:row>42</xdr:row>
      <xdr:rowOff>45720</xdr:rowOff>
    </xdr:to>
    <xdr:graphicFrame macro="">
      <xdr:nvGraphicFramePr>
        <xdr:cNvPr id="2" name="Chart 1">
          <a:extLst>
            <a:ext uri="{FF2B5EF4-FFF2-40B4-BE49-F238E27FC236}">
              <a16:creationId xmlns:a16="http://schemas.microsoft.com/office/drawing/2014/main" id="{1CDD4163-E2A8-4854-9E62-755C55CDBC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22860</xdr:colOff>
      <xdr:row>1</xdr:row>
      <xdr:rowOff>15241</xdr:rowOff>
    </xdr:from>
    <xdr:to>
      <xdr:col>7</xdr:col>
      <xdr:colOff>777240</xdr:colOff>
      <xdr:row>9</xdr:row>
      <xdr:rowOff>30481</xdr:rowOff>
    </xdr:to>
    <mc:AlternateContent xmlns:mc="http://schemas.openxmlformats.org/markup-compatibility/2006" xmlns:a14="http://schemas.microsoft.com/office/drawing/2010/main">
      <mc:Choice Requires="a14">
        <xdr:graphicFrame macro="">
          <xdr:nvGraphicFramePr>
            <xdr:cNvPr id="3" name="income_class 1">
              <a:extLst>
                <a:ext uri="{FF2B5EF4-FFF2-40B4-BE49-F238E27FC236}">
                  <a16:creationId xmlns:a16="http://schemas.microsoft.com/office/drawing/2014/main" id="{4E44A7FB-1860-C10F-C174-0FB3F82FD8C3}"/>
                </a:ext>
              </a:extLst>
            </xdr:cNvPr>
            <xdr:cNvGraphicFramePr/>
          </xdr:nvGraphicFramePr>
          <xdr:xfrm>
            <a:off x="0" y="0"/>
            <a:ext cx="0" cy="0"/>
          </xdr:xfrm>
          <a:graphic>
            <a:graphicData uri="http://schemas.microsoft.com/office/drawing/2010/slicer">
              <sle:slicer xmlns:sle="http://schemas.microsoft.com/office/drawing/2010/slicer" name="income_class 1"/>
            </a:graphicData>
          </a:graphic>
        </xdr:graphicFrame>
      </mc:Choice>
      <mc:Fallback xmlns="">
        <xdr:sp macro="" textlink="">
          <xdr:nvSpPr>
            <xdr:cNvPr id="0" name=""/>
            <xdr:cNvSpPr>
              <a:spLocks noTextEdit="1"/>
            </xdr:cNvSpPr>
          </xdr:nvSpPr>
          <xdr:spPr>
            <a:xfrm>
              <a:off x="6126480" y="411481"/>
              <a:ext cx="1828800" cy="14782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281940</xdr:colOff>
      <xdr:row>0</xdr:row>
      <xdr:rowOff>30480</xdr:rowOff>
    </xdr:from>
    <xdr:to>
      <xdr:col>10</xdr:col>
      <xdr:colOff>670560</xdr:colOff>
      <xdr:row>0</xdr:row>
      <xdr:rowOff>327660</xdr:rowOff>
    </xdr:to>
    <xdr:sp macro="" textlink="">
      <xdr:nvSpPr>
        <xdr:cNvPr id="4" name="Arrow: Right 3">
          <a:hlinkClick xmlns:r="http://schemas.openxmlformats.org/officeDocument/2006/relationships" r:id="rId2"/>
          <a:extLst>
            <a:ext uri="{FF2B5EF4-FFF2-40B4-BE49-F238E27FC236}">
              <a16:creationId xmlns:a16="http://schemas.microsoft.com/office/drawing/2014/main" id="{04BB01F4-EBF2-4F19-9961-D3120D75270E}"/>
            </a:ext>
          </a:extLst>
        </xdr:cNvPr>
        <xdr:cNvSpPr/>
      </xdr:nvSpPr>
      <xdr:spPr>
        <a:xfrm>
          <a:off x="9410700" y="30480"/>
          <a:ext cx="388620" cy="297180"/>
        </a:xfrm>
        <a:prstGeom prst="righ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45720</xdr:colOff>
      <xdr:row>0</xdr:row>
      <xdr:rowOff>53340</xdr:rowOff>
    </xdr:from>
    <xdr:to>
      <xdr:col>0</xdr:col>
      <xdr:colOff>411480</xdr:colOff>
      <xdr:row>0</xdr:row>
      <xdr:rowOff>342900</xdr:rowOff>
    </xdr:to>
    <xdr:sp macro="" textlink="">
      <xdr:nvSpPr>
        <xdr:cNvPr id="5" name="Arrow: Left 4">
          <a:hlinkClick xmlns:r="http://schemas.openxmlformats.org/officeDocument/2006/relationships" r:id="rId3"/>
          <a:extLst>
            <a:ext uri="{FF2B5EF4-FFF2-40B4-BE49-F238E27FC236}">
              <a16:creationId xmlns:a16="http://schemas.microsoft.com/office/drawing/2014/main" id="{EFB09927-AC71-42F7-BDC2-3F0F363E0F38}"/>
            </a:ext>
          </a:extLst>
        </xdr:cNvPr>
        <xdr:cNvSpPr/>
      </xdr:nvSpPr>
      <xdr:spPr>
        <a:xfrm>
          <a:off x="45720" y="53340"/>
          <a:ext cx="365760" cy="289560"/>
        </a:xfrm>
        <a:prstGeom prst="lef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30480</xdr:colOff>
      <xdr:row>2</xdr:row>
      <xdr:rowOff>38100</xdr:rowOff>
    </xdr:from>
    <xdr:to>
      <xdr:col>6</xdr:col>
      <xdr:colOff>845820</xdr:colOff>
      <xdr:row>12</xdr:row>
      <xdr:rowOff>160020</xdr:rowOff>
    </xdr:to>
    <xdr:graphicFrame macro="">
      <xdr:nvGraphicFramePr>
        <xdr:cNvPr id="3" name="Chart 2">
          <a:extLst>
            <a:ext uri="{FF2B5EF4-FFF2-40B4-BE49-F238E27FC236}">
              <a16:creationId xmlns:a16="http://schemas.microsoft.com/office/drawing/2014/main" id="{2F5DF13B-0BDC-4C1B-9905-90C792E5E5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15240</xdr:colOff>
      <xdr:row>14</xdr:row>
      <xdr:rowOff>1</xdr:rowOff>
    </xdr:from>
    <xdr:to>
      <xdr:col>6</xdr:col>
      <xdr:colOff>853440</xdr:colOff>
      <xdr:row>25</xdr:row>
      <xdr:rowOff>22860</xdr:rowOff>
    </xdr:to>
    <mc:AlternateContent xmlns:mc="http://schemas.openxmlformats.org/markup-compatibility/2006" xmlns:a14="http://schemas.microsoft.com/office/drawing/2010/main">
      <mc:Choice Requires="a14">
        <xdr:graphicFrame macro="">
          <xdr:nvGraphicFramePr>
            <xdr:cNvPr id="5" name="Segment">
              <a:extLst>
                <a:ext uri="{FF2B5EF4-FFF2-40B4-BE49-F238E27FC236}">
                  <a16:creationId xmlns:a16="http://schemas.microsoft.com/office/drawing/2014/main" id="{2C5F649D-5699-114D-13E1-ADA46E7C74F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5943600" y="2781301"/>
              <a:ext cx="1836000" cy="20878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807720</xdr:colOff>
      <xdr:row>0</xdr:row>
      <xdr:rowOff>53340</xdr:rowOff>
    </xdr:from>
    <xdr:to>
      <xdr:col>9</xdr:col>
      <xdr:colOff>1173480</xdr:colOff>
      <xdr:row>0</xdr:row>
      <xdr:rowOff>335280</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4F5D7516-0F12-4A67-9A83-99874C3E4BE1}"/>
            </a:ext>
          </a:extLst>
        </xdr:cNvPr>
        <xdr:cNvSpPr/>
      </xdr:nvSpPr>
      <xdr:spPr>
        <a:xfrm>
          <a:off x="10759440" y="53340"/>
          <a:ext cx="365760" cy="281940"/>
        </a:xfrm>
        <a:prstGeom prst="righ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53340</xdr:colOff>
      <xdr:row>0</xdr:row>
      <xdr:rowOff>38100</xdr:rowOff>
    </xdr:from>
    <xdr:to>
      <xdr:col>0</xdr:col>
      <xdr:colOff>419100</xdr:colOff>
      <xdr:row>0</xdr:row>
      <xdr:rowOff>320040</xdr:rowOff>
    </xdr:to>
    <xdr:sp macro="" textlink="">
      <xdr:nvSpPr>
        <xdr:cNvPr id="7" name="Arrow: Left 6">
          <a:hlinkClick xmlns:r="http://schemas.openxmlformats.org/officeDocument/2006/relationships" r:id="rId3"/>
          <a:extLst>
            <a:ext uri="{FF2B5EF4-FFF2-40B4-BE49-F238E27FC236}">
              <a16:creationId xmlns:a16="http://schemas.microsoft.com/office/drawing/2014/main" id="{869A6570-B5EE-4132-99AA-4D4C765816E7}"/>
            </a:ext>
          </a:extLst>
        </xdr:cNvPr>
        <xdr:cNvSpPr/>
      </xdr:nvSpPr>
      <xdr:spPr>
        <a:xfrm>
          <a:off x="53340" y="38100"/>
          <a:ext cx="365760" cy="281940"/>
        </a:xfrm>
        <a:prstGeom prst="lef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7620</xdr:colOff>
      <xdr:row>0</xdr:row>
      <xdr:rowOff>0</xdr:rowOff>
    </xdr:from>
    <xdr:to>
      <xdr:col>6</xdr:col>
      <xdr:colOff>1836420</xdr:colOff>
      <xdr:row>12</xdr:row>
      <xdr:rowOff>51435</xdr:rowOff>
    </xdr:to>
    <mc:AlternateContent xmlns:mc="http://schemas.openxmlformats.org/markup-compatibility/2006" xmlns:a14="http://schemas.microsoft.com/office/drawing/2010/main">
      <mc:Choice Requires="a14">
        <xdr:graphicFrame macro="">
          <xdr:nvGraphicFramePr>
            <xdr:cNvPr id="2" name="Branch_Name 2">
              <a:extLst>
                <a:ext uri="{FF2B5EF4-FFF2-40B4-BE49-F238E27FC236}">
                  <a16:creationId xmlns:a16="http://schemas.microsoft.com/office/drawing/2014/main" id="{E5865397-5D4B-D6EA-669F-8A6F86CED052}"/>
                </a:ext>
              </a:extLst>
            </xdr:cNvPr>
            <xdr:cNvGraphicFramePr/>
          </xdr:nvGraphicFramePr>
          <xdr:xfrm>
            <a:off x="0" y="0"/>
            <a:ext cx="0" cy="0"/>
          </xdr:xfrm>
          <a:graphic>
            <a:graphicData uri="http://schemas.microsoft.com/office/drawing/2010/slicer">
              <sle:slicer xmlns:sle="http://schemas.microsoft.com/office/drawing/2010/slicer" name="Branch_Name 2"/>
            </a:graphicData>
          </a:graphic>
        </xdr:graphicFrame>
      </mc:Choice>
      <mc:Fallback xmlns="">
        <xdr:sp macro="" textlink="">
          <xdr:nvSpPr>
            <xdr:cNvPr id="0" name=""/>
            <xdr:cNvSpPr>
              <a:spLocks noTextEdit="1"/>
            </xdr:cNvSpPr>
          </xdr:nvSpPr>
          <xdr:spPr>
            <a:xfrm>
              <a:off x="8823960" y="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1478280</xdr:colOff>
      <xdr:row>0</xdr:row>
      <xdr:rowOff>22860</xdr:rowOff>
    </xdr:from>
    <xdr:to>
      <xdr:col>5</xdr:col>
      <xdr:colOff>1866900</xdr:colOff>
      <xdr:row>0</xdr:row>
      <xdr:rowOff>358140</xdr:rowOff>
    </xdr:to>
    <xdr:sp macro="" textlink="">
      <xdr:nvSpPr>
        <xdr:cNvPr id="3" name="Arrow: Right 2">
          <a:hlinkClick xmlns:r="http://schemas.openxmlformats.org/officeDocument/2006/relationships" r:id="rId1"/>
          <a:extLst>
            <a:ext uri="{FF2B5EF4-FFF2-40B4-BE49-F238E27FC236}">
              <a16:creationId xmlns:a16="http://schemas.microsoft.com/office/drawing/2014/main" id="{065CEAD1-E533-4D65-959A-3AEB9FF88867}"/>
            </a:ext>
          </a:extLst>
        </xdr:cNvPr>
        <xdr:cNvSpPr/>
      </xdr:nvSpPr>
      <xdr:spPr>
        <a:xfrm>
          <a:off x="9243060" y="22860"/>
          <a:ext cx="388620" cy="335280"/>
        </a:xfrm>
        <a:prstGeom prst="righ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53340</xdr:colOff>
      <xdr:row>0</xdr:row>
      <xdr:rowOff>30480</xdr:rowOff>
    </xdr:from>
    <xdr:to>
      <xdr:col>0</xdr:col>
      <xdr:colOff>441960</xdr:colOff>
      <xdr:row>0</xdr:row>
      <xdr:rowOff>358140</xdr:rowOff>
    </xdr:to>
    <xdr:sp macro="" textlink="">
      <xdr:nvSpPr>
        <xdr:cNvPr id="4" name="Arrow: Left 3">
          <a:hlinkClick xmlns:r="http://schemas.openxmlformats.org/officeDocument/2006/relationships" r:id="rId2"/>
          <a:extLst>
            <a:ext uri="{FF2B5EF4-FFF2-40B4-BE49-F238E27FC236}">
              <a16:creationId xmlns:a16="http://schemas.microsoft.com/office/drawing/2014/main" id="{5022E150-10B9-44DD-8943-08B6F9887FB7}"/>
            </a:ext>
          </a:extLst>
        </xdr:cNvPr>
        <xdr:cNvSpPr/>
      </xdr:nvSpPr>
      <xdr:spPr>
        <a:xfrm>
          <a:off x="53340" y="30480"/>
          <a:ext cx="388620" cy="327660"/>
        </a:xfrm>
        <a:prstGeom prst="lef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21772</xdr:colOff>
      <xdr:row>1</xdr:row>
      <xdr:rowOff>0</xdr:rowOff>
    </xdr:from>
    <xdr:to>
      <xdr:col>2</xdr:col>
      <xdr:colOff>598714</xdr:colOff>
      <xdr:row>3</xdr:row>
      <xdr:rowOff>40887</xdr:rowOff>
    </xdr:to>
    <mc:AlternateContent xmlns:mc="http://schemas.openxmlformats.org/markup-compatibility/2006" xmlns:a14="http://schemas.microsoft.com/office/drawing/2010/main">
      <mc:Choice Requires="a14">
        <xdr:graphicFrame macro="">
          <xdr:nvGraphicFramePr>
            <xdr:cNvPr id="5" name="Year">
              <a:extLst>
                <a:ext uri="{FF2B5EF4-FFF2-40B4-BE49-F238E27FC236}">
                  <a16:creationId xmlns:a16="http://schemas.microsoft.com/office/drawing/2014/main" id="{0BD3B429-76D5-413A-BB9B-22B29B6B61FB}"/>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1772" y="438727"/>
              <a:ext cx="1800760" cy="7797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20</xdr:col>
      <xdr:colOff>604761</xdr:colOff>
      <xdr:row>1</xdr:row>
      <xdr:rowOff>22527</xdr:rowOff>
    </xdr:from>
    <xdr:to>
      <xdr:col>24</xdr:col>
      <xdr:colOff>21771</xdr:colOff>
      <xdr:row>11</xdr:row>
      <xdr:rowOff>134710</xdr:rowOff>
    </xdr:to>
    <mc:AlternateContent xmlns:mc="http://schemas.openxmlformats.org/markup-compatibility/2006" xmlns:a14="http://schemas.microsoft.com/office/drawing/2010/main">
      <mc:Choice Requires="a14">
        <xdr:graphicFrame macro="">
          <xdr:nvGraphicFramePr>
            <xdr:cNvPr id="7" name="Branch_Name 1">
              <a:extLst>
                <a:ext uri="{FF2B5EF4-FFF2-40B4-BE49-F238E27FC236}">
                  <a16:creationId xmlns:a16="http://schemas.microsoft.com/office/drawing/2014/main" id="{BBA528DB-CD85-4EA9-BC85-728AB0DFFB3B}"/>
                </a:ext>
              </a:extLst>
            </xdr:cNvPr>
            <xdr:cNvGraphicFramePr/>
          </xdr:nvGraphicFramePr>
          <xdr:xfrm>
            <a:off x="0" y="0"/>
            <a:ext cx="0" cy="0"/>
          </xdr:xfrm>
          <a:graphic>
            <a:graphicData uri="http://schemas.microsoft.com/office/drawing/2010/slicer">
              <sle:slicer xmlns:sle="http://schemas.microsoft.com/office/drawing/2010/slicer" name="Branch_Name 1"/>
            </a:graphicData>
          </a:graphic>
        </xdr:graphicFrame>
      </mc:Choice>
      <mc:Fallback xmlns="">
        <xdr:sp macro="" textlink="">
          <xdr:nvSpPr>
            <xdr:cNvPr id="0" name=""/>
            <xdr:cNvSpPr>
              <a:spLocks noTextEdit="1"/>
            </xdr:cNvSpPr>
          </xdr:nvSpPr>
          <xdr:spPr>
            <a:xfrm>
              <a:off x="12842943" y="461254"/>
              <a:ext cx="1910828" cy="22019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9524</xdr:colOff>
      <xdr:row>4</xdr:row>
      <xdr:rowOff>9524</xdr:rowOff>
    </xdr:from>
    <xdr:to>
      <xdr:col>7</xdr:col>
      <xdr:colOff>337458</xdr:colOff>
      <xdr:row>20</xdr:row>
      <xdr:rowOff>152400</xdr:rowOff>
    </xdr:to>
    <xdr:graphicFrame macro="">
      <xdr:nvGraphicFramePr>
        <xdr:cNvPr id="33" name="Chart 32">
          <a:extLst>
            <a:ext uri="{FF2B5EF4-FFF2-40B4-BE49-F238E27FC236}">
              <a16:creationId xmlns:a16="http://schemas.microsoft.com/office/drawing/2014/main" id="{BFC824D7-FA1F-41D5-803B-ED18E1F679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133351</xdr:colOff>
      <xdr:row>4</xdr:row>
      <xdr:rowOff>9525</xdr:rowOff>
    </xdr:from>
    <xdr:to>
      <xdr:col>13</xdr:col>
      <xdr:colOff>104775</xdr:colOff>
      <xdr:row>20</xdr:row>
      <xdr:rowOff>85725</xdr:rowOff>
    </xdr:to>
    <xdr:graphicFrame macro="">
      <xdr:nvGraphicFramePr>
        <xdr:cNvPr id="34" name="Chart 33">
          <a:extLst>
            <a:ext uri="{FF2B5EF4-FFF2-40B4-BE49-F238E27FC236}">
              <a16:creationId xmlns:a16="http://schemas.microsoft.com/office/drawing/2014/main" id="{CF4D61F4-5F53-4207-9BF4-69EC79D20B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20</xdr:row>
      <xdr:rowOff>51707</xdr:rowOff>
    </xdr:from>
    <xdr:to>
      <xdr:col>7</xdr:col>
      <xdr:colOff>272143</xdr:colOff>
      <xdr:row>34</xdr:row>
      <xdr:rowOff>163286</xdr:rowOff>
    </xdr:to>
    <xdr:graphicFrame macro="">
      <xdr:nvGraphicFramePr>
        <xdr:cNvPr id="36" name="Chart 35">
          <a:extLst>
            <a:ext uri="{FF2B5EF4-FFF2-40B4-BE49-F238E27FC236}">
              <a16:creationId xmlns:a16="http://schemas.microsoft.com/office/drawing/2014/main" id="{26D2DA94-9E54-474C-9DB8-A76B9D1357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243567</xdr:colOff>
      <xdr:row>20</xdr:row>
      <xdr:rowOff>81642</xdr:rowOff>
    </xdr:from>
    <xdr:to>
      <xdr:col>14</xdr:col>
      <xdr:colOff>185056</xdr:colOff>
      <xdr:row>34</xdr:row>
      <xdr:rowOff>169272</xdr:rowOff>
    </xdr:to>
    <xdr:graphicFrame macro="">
      <xdr:nvGraphicFramePr>
        <xdr:cNvPr id="37" name="Chart 36">
          <a:extLst>
            <a:ext uri="{FF2B5EF4-FFF2-40B4-BE49-F238E27FC236}">
              <a16:creationId xmlns:a16="http://schemas.microsoft.com/office/drawing/2014/main" id="{BC479695-8C76-4BB1-9525-A933CED80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495300</xdr:colOff>
      <xdr:row>19</xdr:row>
      <xdr:rowOff>19050</xdr:rowOff>
    </xdr:from>
    <xdr:to>
      <xdr:col>18</xdr:col>
      <xdr:colOff>397329</xdr:colOff>
      <xdr:row>33</xdr:row>
      <xdr:rowOff>4083</xdr:rowOff>
    </xdr:to>
    <xdr:graphicFrame macro="">
      <xdr:nvGraphicFramePr>
        <xdr:cNvPr id="38" name="Chart 37">
          <a:extLst>
            <a:ext uri="{FF2B5EF4-FFF2-40B4-BE49-F238E27FC236}">
              <a16:creationId xmlns:a16="http://schemas.microsoft.com/office/drawing/2014/main" id="{E3C54B74-96A6-4254-AB8D-42A6E1D80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103909</xdr:colOff>
      <xdr:row>4</xdr:row>
      <xdr:rowOff>11546</xdr:rowOff>
    </xdr:from>
    <xdr:to>
      <xdr:col>20</xdr:col>
      <xdr:colOff>600363</xdr:colOff>
      <xdr:row>19</xdr:row>
      <xdr:rowOff>19050</xdr:rowOff>
    </xdr:to>
    <xdr:graphicFrame macro="">
      <xdr:nvGraphicFramePr>
        <xdr:cNvPr id="8" name="Chart 7">
          <a:extLst>
            <a:ext uri="{FF2B5EF4-FFF2-40B4-BE49-F238E27FC236}">
              <a16:creationId xmlns:a16="http://schemas.microsoft.com/office/drawing/2014/main" id="{85FB884E-A71A-4993-B198-4827B841A0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647700</xdr:colOff>
      <xdr:row>0</xdr:row>
      <xdr:rowOff>0</xdr:rowOff>
    </xdr:from>
    <xdr:to>
      <xdr:col>25</xdr:col>
      <xdr:colOff>323850</xdr:colOff>
      <xdr:row>1</xdr:row>
      <xdr:rowOff>9524</xdr:rowOff>
    </xdr:to>
    <xdr:sp macro="[0]!ClearAllSlicers" textlink="">
      <xdr:nvSpPr>
        <xdr:cNvPr id="9" name="Rectangle 8">
          <a:extLst>
            <a:ext uri="{FF2B5EF4-FFF2-40B4-BE49-F238E27FC236}">
              <a16:creationId xmlns:a16="http://schemas.microsoft.com/office/drawing/2014/main" id="{71EE8B20-64E5-2A0D-898F-75C499179A6B}"/>
            </a:ext>
          </a:extLst>
        </xdr:cNvPr>
        <xdr:cNvSpPr/>
      </xdr:nvSpPr>
      <xdr:spPr>
        <a:xfrm>
          <a:off x="14668500" y="0"/>
          <a:ext cx="942975" cy="447674"/>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bg1"/>
              </a:solidFill>
            </a:rPr>
            <a:t>Clear filters</a:t>
          </a:r>
        </a:p>
      </xdr:txBody>
    </xdr:sp>
    <xdr:clientData/>
  </xdr:twoCellAnchor>
  <xdr:twoCellAnchor editAs="oneCell">
    <xdr:from>
      <xdr:col>0</xdr:col>
      <xdr:colOff>598715</xdr:colOff>
      <xdr:row>0</xdr:row>
      <xdr:rowOff>21771</xdr:rowOff>
    </xdr:from>
    <xdr:to>
      <xdr:col>1</xdr:col>
      <xdr:colOff>500744</xdr:colOff>
      <xdr:row>1</xdr:row>
      <xdr:rowOff>10886</xdr:rowOff>
    </xdr:to>
    <xdr:pic>
      <xdr:nvPicPr>
        <xdr:cNvPr id="14" name="Graphic 13" descr="Home with solid fill">
          <a:hlinkClick xmlns:r="http://schemas.openxmlformats.org/officeDocument/2006/relationships" r:id="rId7"/>
          <a:extLst>
            <a:ext uri="{FF2B5EF4-FFF2-40B4-BE49-F238E27FC236}">
              <a16:creationId xmlns:a16="http://schemas.microsoft.com/office/drawing/2014/main" id="{F48BF7A4-2E14-B560-4B57-83B9D796F0D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598715" y="21771"/>
          <a:ext cx="511629" cy="435429"/>
        </a:xfrm>
        <a:prstGeom prst="rect">
          <a:avLst/>
        </a:prstGeom>
      </xdr:spPr>
    </xdr:pic>
    <xdr:clientData/>
  </xdr:twoCellAnchor>
  <xdr:twoCellAnchor>
    <xdr:from>
      <xdr:col>23</xdr:col>
      <xdr:colOff>10885</xdr:colOff>
      <xdr:row>0</xdr:row>
      <xdr:rowOff>21771</xdr:rowOff>
    </xdr:from>
    <xdr:to>
      <xdr:col>23</xdr:col>
      <xdr:colOff>489856</xdr:colOff>
      <xdr:row>0</xdr:row>
      <xdr:rowOff>435429</xdr:rowOff>
    </xdr:to>
    <xdr:sp macro="" textlink="">
      <xdr:nvSpPr>
        <xdr:cNvPr id="15" name="Arrow: Left 14">
          <a:hlinkClick xmlns:r="http://schemas.openxmlformats.org/officeDocument/2006/relationships" r:id="rId10"/>
          <a:extLst>
            <a:ext uri="{FF2B5EF4-FFF2-40B4-BE49-F238E27FC236}">
              <a16:creationId xmlns:a16="http://schemas.microsoft.com/office/drawing/2014/main" id="{22410C01-69A7-4471-B74B-4D14C2E39D4D}"/>
            </a:ext>
          </a:extLst>
        </xdr:cNvPr>
        <xdr:cNvSpPr/>
      </xdr:nvSpPr>
      <xdr:spPr>
        <a:xfrm>
          <a:off x="14031685" y="21771"/>
          <a:ext cx="478971" cy="413658"/>
        </a:xfrm>
        <a:prstGeom prst="leftArrow">
          <a:avLst/>
        </a:prstGeom>
        <a:solidFill>
          <a:schemeClr val="bg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19</xdr:col>
      <xdr:colOff>315686</xdr:colOff>
      <xdr:row>19</xdr:row>
      <xdr:rowOff>217714</xdr:rowOff>
    </xdr:from>
    <xdr:to>
      <xdr:col>24</xdr:col>
      <xdr:colOff>250371</xdr:colOff>
      <xdr:row>33</xdr:row>
      <xdr:rowOff>76200</xdr:rowOff>
    </xdr:to>
    <mc:AlternateContent xmlns:mc="http://schemas.openxmlformats.org/markup-compatibility/2006">
      <mc:Choice xmlns:cx2="http://schemas.microsoft.com/office/drawing/2015/10/21/chartex" Requires="cx2">
        <xdr:graphicFrame macro="">
          <xdr:nvGraphicFramePr>
            <xdr:cNvPr id="16" name="Chart 15">
              <a:extLst>
                <a:ext uri="{FF2B5EF4-FFF2-40B4-BE49-F238E27FC236}">
                  <a16:creationId xmlns:a16="http://schemas.microsoft.com/office/drawing/2014/main" id="{1F9E5AD0-C1AE-4204-9A7F-95F62247D07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1898086" y="4393474"/>
              <a:ext cx="3028405" cy="246452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vinayak m" refreshedDate="46171.64331122685" backgroundQuery="1" createdVersion="8" refreshedVersion="8" minRefreshableVersion="3" recordCount="0" supportSubquery="1" supportAdvancedDrill="1" xr:uid="{52DDE51D-F0A7-40BF-BDD0-A9D8F165F045}">
  <cacheSource type="external" connectionId="14"/>
  <cacheFields count="2">
    <cacheField name="[Measures].[Sum of Amount 3]" caption="Sum of Amount 3" numFmtId="0" hierarchy="125" level="32767"/>
    <cacheField name="[fees].[income_class].[income_class]" caption="income_class" numFmtId="0" hierarchy="63" level="1">
      <sharedItems count="3">
        <s v="Cross Sell"/>
        <s v="New"/>
        <s v="Renewal"/>
      </sharedItems>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0"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2" memberValueDatatype="130" unbalanced="0">
      <fieldsUsage count="2">
        <fieldUsage x="-1"/>
        <fieldUsage x="1"/>
      </fieldsUsage>
    </cacheHierarchy>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0" memberValueDatatype="130" unbalanced="0"/>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0"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oneField="1">
      <fieldsUsage count="1">
        <fieldUsage x="0"/>
      </fieldsUsage>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vinayak m" refreshedDate="46171.643313773151" backgroundQuery="1" createdVersion="8" refreshedVersion="8" minRefreshableVersion="3" recordCount="0" supportSubquery="1" supportAdvancedDrill="1" xr:uid="{BD2AF19E-3360-453E-B51B-D9F97A27C0AF}">
  <cacheSource type="external" connectionId="14"/>
  <cacheFields count="2">
    <cacheField name="[invoice].[income_class].[income_class]" caption="income_class" numFmtId="0" hierarchy="81" level="1">
      <sharedItems count="3">
        <s v="Cross Sell"/>
        <s v="New"/>
        <s v="Renewal"/>
      </sharedItems>
    </cacheField>
    <cacheField name="[Measures].[Sum of Amount]" caption="Sum of Amount" numFmtId="0" hierarchy="120" level="32767"/>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0"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0" memberValueDatatype="130" unbalanced="0"/>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2" memberValueDatatype="130" unbalanced="0">
      <fieldsUsage count="2">
        <fieldUsage x="-1"/>
        <fieldUsage x="0"/>
      </fieldsUsage>
    </cacheHierarchy>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0"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oneField="1">
      <fieldsUsage count="1">
        <fieldUsage x="1"/>
      </fieldsUsage>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vinayak m" refreshedDate="46171.643316087961" backgroundQuery="1" createdVersion="8" refreshedVersion="8" minRefreshableVersion="3" recordCount="0" supportSubquery="1" supportAdvancedDrill="1" xr:uid="{CDB765E8-CCAD-4830-9EE5-ECA1D6333AAB}">
  <cacheSource type="external" connectionId="14"/>
  <cacheFields count="2">
    <cacheField name="[brokerage].[income_class].[income_class]" caption="income_class" numFmtId="0" hierarchy="11" level="1">
      <sharedItems count="3">
        <s v="Cross Sell"/>
        <s v="New"/>
        <s v="Renewal"/>
      </sharedItems>
    </cacheField>
    <cacheField name="[Measures].[Sum of Amount 2]" caption="Sum of Amount 2" numFmtId="0" hierarchy="124" level="32767"/>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fieldsUsage count="2">
        <fieldUsage x="-1"/>
        <fieldUsage x="0"/>
      </fieldsUsage>
    </cacheHierarchy>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0"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0" memberValueDatatype="130" unbalanced="0"/>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0"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oneField="1">
      <fieldsUsage count="1">
        <fieldUsage x="1"/>
      </fieldsUsage>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vinayak m" refreshedDate="46171.643317939815" backgroundQuery="1" createdVersion="8" refreshedVersion="8" minRefreshableVersion="3" recordCount="0" supportSubquery="1" supportAdvancedDrill="1" xr:uid="{0F3011ED-2572-4BC4-A6DC-EE36FADF87DB}">
  <cacheSource type="external" connectionId="14"/>
  <cacheFields count="3">
    <cacheField name="[Measures].[Sum of Budget_New]" caption="Sum of Budget_New" numFmtId="0" hierarchy="121" level="32767"/>
    <cacheField name="[Measures].[Sum of Budget_CrossSell]" caption="Sum of Budget_CrossSell" numFmtId="0" hierarchy="122" level="32767"/>
    <cacheField name="[Measures].[Sum of Budget_Renewal]" caption="Sum of Budget_Renewal" numFmtId="0" hierarchy="123" level="32767"/>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0"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0" memberValueDatatype="130" unbalanced="0"/>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0"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oneField="1">
      <fieldsUsage count="1">
        <fieldUsage x="0"/>
      </fieldsUsage>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oneField="1">
      <fieldsUsage count="1">
        <fieldUsage x="1"/>
      </fieldsUsage>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oneField="1">
      <fieldsUsage count="1">
        <fieldUsage x="2"/>
      </fieldsUsage>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vinayak m" refreshedDate="46171.668644328704" backgroundQuery="1" createdVersion="8" refreshedVersion="8" minRefreshableVersion="3" recordCount="0" supportSubquery="1" supportAdvancedDrill="1" xr:uid="{A5401792-E34D-4D0A-8F4C-409E757CD6EF}">
  <cacheSource type="external" connectionId="14"/>
  <cacheFields count="3">
    <cacheField name="[DateTable].[Month Name].[Month Name]" caption="Month Name" numFmtId="0" hierarchy="22" level="1">
      <sharedItems count="12">
        <s v="April"/>
        <s v="August"/>
        <s v="December"/>
        <s v="February"/>
        <s v="January"/>
        <s v="July"/>
        <s v="June"/>
        <s v="March"/>
        <s v="May"/>
        <s v="November"/>
        <s v="October"/>
        <s v="September"/>
      </sharedItems>
    </cacheField>
    <cacheField name="[Measures].[Sum of Amount]" caption="Sum of Amount" numFmtId="0" hierarchy="120" level="32767"/>
    <cacheField name="[Measures].[Achieved_Revenue]" caption="Achieved_Revenue" numFmtId="0" hierarchy="170" level="32767"/>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2" memberValueDatatype="130" unbalanced="0">
      <fieldsUsage count="2">
        <fieldUsage x="-1"/>
        <fieldUsage x="0"/>
      </fieldsUsage>
    </cacheHierarchy>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0"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0" memberValueDatatype="130" unbalanced="0"/>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0"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oneField="1">
      <fieldsUsage count="1">
        <fieldUsage x="1"/>
      </fieldsUsage>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oneField="1">
      <fieldsUsage count="1">
        <fieldUsage x="2"/>
      </fieldsUsage>
    </cacheHierarchy>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46759261" backgroundQuery="1" createdVersion="8" refreshedVersion="8" minRefreshableVersion="3" recordCount="0" supportSubquery="1" supportAdvancedDrill="1" xr:uid="{DE89265E-1A61-44EF-8336-111ABB78C267}">
  <cacheSource type="external" connectionId="14"/>
  <cacheFields count="8">
    <cacheField name="[Opportunity].[opportunity_name].[opportunity_name]" caption="opportunity_name" numFmtId="0" hierarchy="97" level="1">
      <sharedItems count="10">
        <s v="Adani Servic-EB"/>
        <s v="Northern Ind-PBN"/>
        <s v="Summit Expor-EB"/>
        <s v="Dabur Intern-LIB"/>
        <s v="Bharat Holdi-MRN"/>
        <s v="Lupin Intern-SME"/>
        <s v="Star Exports-LIB"/>
        <s v="Royal Ltd-EB"/>
        <s v="Reliance Ltd-CAR"/>
        <s v="General Indi-PBN"/>
      </sharedItems>
    </cacheField>
    <cacheField name="[Measures].[Sum of revenue_amount]" caption="Sum of revenue_amount" numFmtId="0" hierarchy="112" level="32767"/>
    <cacheField name="[Opportunity].[stage].[stage]" caption="stage" numFmtId="0" hierarchy="104" level="1">
      <sharedItems containsSemiMixedTypes="0" containsNonDate="0" containsString="0"/>
    </cacheField>
    <cacheField name="[Opportunity].[opportunity_id].[opportunity_id]" caption="opportunity_id" numFmtId="0" hierarchy="98" level="1">
      <sharedItems count="10">
        <s v="OPP1900003128"/>
        <s v="OPP1900003185"/>
        <s v="OPP1900003244"/>
        <s v="OPP1900003248"/>
        <s v="OPP1900003262"/>
        <s v="OPP1900003281"/>
        <s v="OPP1900003282"/>
        <s v="OPP1900003303"/>
        <s v="OPP1900003326"/>
        <s v="OPP1900003332"/>
      </sharedItems>
    </cacheField>
    <cacheField name="[Opportunity].[Account Executive].[Account Executive]" caption="Account Executive" numFmtId="0" hierarchy="100" level="1">
      <sharedItems count="10">
        <s v="Vikram Shah"/>
        <s v="Ritu Saxena"/>
        <s v="Sneha Rao"/>
        <s v="Arjun Prabhu"/>
        <s v="Pradeep Mohan"/>
        <s v="Lakshmi Rajan"/>
        <s v="Vijay Krishnan"/>
        <s v="Swati Deshpande"/>
        <s v="Chandra Mouli"/>
        <s v="Madhavi Latha"/>
      </sharedItems>
    </cacheField>
    <cacheField name="[Opportunity].[branch].[branch]" caption="branch" numFmtId="0" hierarchy="105" level="1">
      <sharedItems count="6">
        <s v="Mumbai"/>
        <s v="Delhi"/>
        <s v="Bangalore"/>
        <s v="Chennai"/>
        <s v="Pune"/>
        <s v="Hyderabad"/>
      </sharedItems>
    </cacheField>
    <cacheField name="[Individual_Budgets].[Branch].[Branch]" caption="Branch" numFmtId="0" hierarchy="67" level="1">
      <sharedItems containsSemiMixedTypes="0" containsNonDate="0" containsString="0"/>
    </cacheField>
    <cacheField name="[invoice].[invoice_date (Year)].[invoice_date (Year)]" caption="invoice_date (Year)" numFmtId="0" hierarchy="89"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6"/>
      </fieldsUsage>
    </cacheHierarchy>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fieldsUsage count="2">
        <fieldUsage x="-1"/>
        <fieldUsage x="7"/>
      </fieldsUsage>
    </cacheHierarchy>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fieldsUsage count="2">
        <fieldUsage x="-1"/>
        <fieldUsage x="0"/>
      </fieldsUsage>
    </cacheHierarchy>
    <cacheHierarchy uniqueName="[Opportunity].[opportunity_id]" caption="opportunity_id" attribute="1" defaultMemberUniqueName="[Opportunity].[opportunity_id].[All]" allUniqueName="[Opportunity].[opportunity_id].[All]" dimensionUniqueName="[Opportunity]" displayFolder="" count="2" memberValueDatatype="130" unbalanced="0">
      <fieldsUsage count="2">
        <fieldUsage x="-1"/>
        <fieldUsage x="3"/>
      </fieldsUsage>
    </cacheHierarchy>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2" memberValueDatatype="130" unbalanced="0">
      <fieldsUsage count="2">
        <fieldUsage x="-1"/>
        <fieldUsage x="4"/>
      </fieldsUsage>
    </cacheHierarchy>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2" memberValueDatatype="130" unbalanced="0">
      <fieldsUsage count="2">
        <fieldUsage x="-1"/>
        <fieldUsage x="2"/>
      </fieldsUsage>
    </cacheHierarchy>
    <cacheHierarchy uniqueName="[Opportunity].[branch]" caption="branch" attribute="1" defaultMemberUniqueName="[Opportunity].[branch].[All]" allUniqueName="[Opportunity].[branch].[All]" dimensionUniqueName="[Opportunity]" displayFolder="" count="2" memberValueDatatype="130" unbalanced="0">
      <fieldsUsage count="2">
        <fieldUsage x="-1"/>
        <fieldUsage x="5"/>
      </fieldsUsage>
    </cacheHierarchy>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oneField="1">
      <fieldsUsage count="1">
        <fieldUsage x="1"/>
      </fieldsUsage>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54629628" backgroundQuery="1" createdVersion="8" refreshedVersion="8" minRefreshableVersion="3" recordCount="0" supportSubquery="1" supportAdvancedDrill="1" xr:uid="{6567DBA9-4ED9-4DF6-BB95-722A8FB789C9}">
  <cacheSource type="external" connectionId="14"/>
  <cacheFields count="6">
    <cacheField name="[Measures].[New_Achievement_%]" caption="New_Achievement_%" numFmtId="0" hierarchy="127" level="32767"/>
    <cacheField name="[Measures].[Cross_Sell_Achievement_%]" caption="Cross_Sell_Achievement_%" numFmtId="0" hierarchy="128" level="32767"/>
    <cacheField name="[Measures].[Renewal_Achievement_%]" caption="Renewal_Achievement_%" numFmtId="0" hierarchy="129" level="32767"/>
    <cacheField name="[Measures].[Invoice_Achievement_%]" caption="Invoice_Achievement_%" numFmtId="0" hierarchy="153" level="32767"/>
    <cacheField name="[dim_branch].[Branch_Name].[Branch_Name]" caption="Branch_Name" numFmtId="0" hierarchy="32" level="1">
      <sharedItems count="7">
        <s v="Ahmedabad"/>
        <s v="Bangalore"/>
        <s v="Chennai"/>
        <s v="Delhi"/>
        <s v="Hyderabad"/>
        <s v="Mumbai"/>
        <s v="Pune"/>
      </sharedItems>
    </cacheField>
    <cacheField name="[invoice].[invoice_date (Year)].[invoice_date (Year)]" caption="invoice_date (Year)" numFmtId="0" hierarchy="89"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fieldsUsage count="2">
        <fieldUsage x="-1"/>
        <fieldUsage x="4"/>
      </fieldsUsage>
    </cacheHierarchy>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0" memberValueDatatype="130" unbalanced="0"/>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fieldsUsage count="2">
        <fieldUsage x="-1"/>
        <fieldUsage x="5"/>
      </fieldsUsage>
    </cacheHierarchy>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oneField="1">
      <fieldsUsage count="1">
        <fieldUsage x="0"/>
      </fieldsUsage>
    </cacheHierarchy>
    <cacheHierarchy uniqueName="[Measures].[Cross_Sell_Achievement_%]" caption="Cross_Sell_Achievement_%" measure="1" displayFolder="" measureGroup="Individual_Budgets" count="0" oneField="1">
      <fieldsUsage count="1">
        <fieldUsage x="1"/>
      </fieldsUsage>
    </cacheHierarchy>
    <cacheHierarchy uniqueName="[Measures].[Renewal_Achievement_%]" caption="Renewal_Achievement_%" measure="1" displayFolder="" measureGroup="Individual_Budgets" count="0" oneField="1">
      <fieldsUsage count="1">
        <fieldUsage x="2"/>
      </fieldsUsage>
    </cacheHierarchy>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oneField="1">
      <fieldsUsage count="1">
        <fieldUsage x="3"/>
      </fieldsUsage>
    </cacheHierarchy>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55324075" backgroundQuery="1" createdVersion="8" refreshedVersion="8" minRefreshableVersion="3" recordCount="0" supportSubquery="1" supportAdvancedDrill="1" xr:uid="{FBF190BB-84B0-490D-B356-F5B7FC301F9C}">
  <cacheSource type="external" connectionId="14"/>
  <cacheFields count="4">
    <cacheField name="[invoice].[branch_name].[branch_name]" caption="branch_name" numFmtId="0" hierarchy="77" level="1">
      <sharedItems count="7">
        <s v="Ahmedabad"/>
        <s v="Bangalore"/>
        <s v="Chennai"/>
        <s v="Delhi"/>
        <s v="Hyderabad"/>
        <s v="Mumbai"/>
        <s v="Pune"/>
      </sharedItems>
    </cacheField>
    <cacheField name="[Measures].[Revenue_per_Invoice]" caption="Revenue_per_Invoice" numFmtId="0" hierarchy="145" level="32767"/>
    <cacheField name="[Individual_Budgets].[Branch].[Branch]" caption="Branch" numFmtId="0" hierarchy="67" level="1">
      <sharedItems containsSemiMixedTypes="0" containsNonDate="0" containsString="0"/>
    </cacheField>
    <cacheField name="[invoice].[invoice_date (Year)].[invoice_date (Year)]" caption="invoice_date (Year)" numFmtId="0" hierarchy="89"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2"/>
      </fieldsUsage>
    </cacheHierarchy>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2" memberValueDatatype="130" unbalanced="0">
      <fieldsUsage count="2">
        <fieldUsage x="-1"/>
        <fieldUsage x="0"/>
      </fieldsUsage>
    </cacheHierarchy>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fieldsUsage count="2">
        <fieldUsage x="-1"/>
        <fieldUsage x="3"/>
      </fieldsUsage>
    </cacheHierarchy>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oneField="1">
      <fieldsUsage count="1">
        <fieldUsage x="1"/>
      </fieldsUsage>
    </cacheHierarchy>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60185186" backgroundQuery="1" createdVersion="8" refreshedVersion="8" minRefreshableVersion="3" recordCount="0" supportSubquery="1" supportAdvancedDrill="1" xr:uid="{0CC4B527-65E1-4C86-AA2D-F78010C1DBC2}">
  <cacheSource type="external" connectionId="14"/>
  <cacheFields count="11">
    <cacheField name="[Measures].[Placed_vs_Invoiced_Gap ]" caption="Placed_vs_Invoiced_Gap " numFmtId="0" hierarchy="130" level="32767"/>
    <cacheField name="[Measures].[Invoice_Achievement_%]" caption="Invoice_Achievement_%" numFmtId="0" hierarchy="153" level="32767"/>
    <cacheField name="[dim_branch].[Branch_Name].[Branch_Name]" caption="Branch_Name" numFmtId="0" hierarchy="32" level="1">
      <sharedItems count="7">
        <s v="Ahmedabad"/>
        <s v="Bangalore"/>
        <s v="Chennai"/>
        <s v="Delhi"/>
        <s v="Hyderabad"/>
        <s v="Mumbai"/>
        <s v="Pune"/>
      </sharedItems>
    </cacheField>
    <cacheField name="[Measures].[Placed_revenue]" caption="Placed_revenue" numFmtId="0" hierarchy="159" level="32767"/>
    <cacheField name="[Individual_Budgets].[Branch].[Branch]" caption="Branch" numFmtId="0" hierarchy="67" level="1">
      <sharedItems containsSemiMixedTypes="0" containsNonDate="0" containsString="0"/>
    </cacheField>
    <cacheField name="[Measures].[New_Achievement_%]" caption="New_Achievement_%" numFmtId="0" hierarchy="127" level="32767"/>
    <cacheField name="[Measures].[Cross_Sell_Achievement_%]" caption="Cross_Sell_Achievement_%" numFmtId="0" hierarchy="128" level="32767"/>
    <cacheField name="[Measures].[Renewal_Achievement_%]" caption="Renewal_Achievement_%" numFmtId="0" hierarchy="129" level="32767"/>
    <cacheField name="[Measures].[Overall_Achievement_%]" caption="Overall_Achievement_%" numFmtId="0" hierarchy="169" level="32767"/>
    <cacheField name="[Measures].[Total_Branch_Budget]" caption="Total_Branch_Budget" numFmtId="0" hierarchy="168" level="32767"/>
    <cacheField name="[brokerage].[income_class].[income_class]" caption="income_class" numFmtId="0" hierarchy="11"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fieldsUsage count="2">
        <fieldUsage x="-1"/>
        <fieldUsage x="10"/>
      </fieldsUsage>
    </cacheHierarchy>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fieldsUsage count="2">
        <fieldUsage x="-1"/>
        <fieldUsage x="2"/>
      </fieldsUsage>
    </cacheHierarchy>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4"/>
      </fieldsUsage>
    </cacheHierarchy>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oneField="1">
      <fieldsUsage count="1">
        <fieldUsage x="5"/>
      </fieldsUsage>
    </cacheHierarchy>
    <cacheHierarchy uniqueName="[Measures].[Cross_Sell_Achievement_%]" caption="Cross_Sell_Achievement_%" measure="1" displayFolder="" measureGroup="Individual_Budgets" count="0" oneField="1">
      <fieldsUsage count="1">
        <fieldUsage x="6"/>
      </fieldsUsage>
    </cacheHierarchy>
    <cacheHierarchy uniqueName="[Measures].[Renewal_Achievement_%]" caption="Renewal_Achievement_%" measure="1" displayFolder="" measureGroup="Individual_Budgets" count="0" oneField="1">
      <fieldsUsage count="1">
        <fieldUsage x="7"/>
      </fieldsUsage>
    </cacheHierarchy>
    <cacheHierarchy uniqueName="[Measures].[Placed_vs_Invoiced_Gap ]" caption="Placed_vs_Invoiced_Gap " measure="1" displayFolder="" measureGroup="invoice" count="0" oneField="1">
      <fieldsUsage count="1">
        <fieldUsage x="0"/>
      </fieldsUsage>
    </cacheHierarchy>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oneField="1">
      <fieldsUsage count="1">
        <fieldUsage x="1"/>
      </fieldsUsage>
    </cacheHierarchy>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oneField="1">
      <fieldsUsage count="1">
        <fieldUsage x="3"/>
      </fieldsUsage>
    </cacheHierarchy>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oneField="1">
      <fieldsUsage count="1">
        <fieldUsage x="9"/>
      </fieldsUsage>
    </cacheHierarchy>
    <cacheHierarchy uniqueName="[Measures].[Overall_Achievement_%]" caption="Overall_Achievement_%" measure="1" displayFolder="" measureGroup="Individual_Budgets" count="0" oneField="1">
      <fieldsUsage count="1">
        <fieldUsage x="8"/>
      </fieldsUsage>
    </cacheHierarchy>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6539352" backgroundQuery="1" createdVersion="8" refreshedVersion="8" minRefreshableVersion="3" recordCount="0" supportSubquery="1" supportAdvancedDrill="1" xr:uid="{5ACA0952-9471-4A67-8AEF-5BA8F58ED26C}">
  <cacheSource type="external" connectionId="14"/>
  <cacheFields count="12">
    <cacheField name="[Measures].[Open_Opportunity_Revenue]" caption="Open_Opportunity_Revenue" numFmtId="0" hierarchy="132" level="32767"/>
    <cacheField name="[Measures].[Closed_Won_Count]" caption="Closed_Won_Count" numFmtId="0" hierarchy="133" level="32767"/>
    <cacheField name="[Measures].[Closed_Won_Revenue]" caption="Closed_Won_Revenue" numFmtId="0" hierarchy="134" level="32767"/>
    <cacheField name="[Measures].[Closed_Lost_Count]" caption="Closed_Lost_Count" numFmtId="0" hierarchy="135" level="32767"/>
    <cacheField name="[Measures].[Conversion_Ratio]" caption="Conversion_Ratio" numFmtId="0" hierarchy="136" level="32767"/>
    <cacheField name="[Measures].[Pipeline_Coverage_Ratio]" caption="Pipeline_Coverage_Ratio" numFmtId="0" hierarchy="154" level="32767"/>
    <cacheField name="[Measures].[Average_Deal_Size]" caption="Average_Deal_Size" numFmtId="0" hierarchy="137" level="32767"/>
    <cacheField name="[Measures].[Branch_Conversion_Ratio]" caption="Branch_Conversion_Ratio" numFmtId="0" hierarchy="149" level="32767"/>
    <cacheField name="[Measures].[Open_Opportunity_Count]" caption="Open_Opportunity_Count" numFmtId="0" hierarchy="131" level="32767"/>
    <cacheField name="[dim_branch].[Branch_Name].[Branch_Name]" caption="Branch_Name" numFmtId="0" hierarchy="32" level="1">
      <sharedItems count="7">
        <s v="Ahmedabad"/>
        <s v="Bangalore"/>
        <s v="Chennai"/>
        <s v="Delhi"/>
        <s v="Hyderabad"/>
        <s v="Mumbai"/>
        <s v="Pune"/>
      </sharedItems>
    </cacheField>
    <cacheField name="[Individual_Budgets].[Branch].[Branch]" caption="Branch" numFmtId="0" hierarchy="67" level="1">
      <sharedItems containsSemiMixedTypes="0" containsNonDate="0" containsString="0"/>
    </cacheField>
    <cacheField name="[Opportunity].[stage].[stage]" caption="stage" numFmtId="0" hierarchy="104"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2" memberValueDatatype="130" unbalanced="0"/>
    <cacheHierarchy uniqueName="[brokerage].[policy_number]" caption="policy_number" attribute="1" defaultMemberUniqueName="[brokerage].[policy_number].[All]" allUniqueName="[brokerage].[policy_number].[All]" dimensionUniqueName="[brokerage]" displayFolder="" count="2" memberValueDatatype="130" unbalanced="0"/>
    <cacheHierarchy uniqueName="[brokerage].[policy_status]" caption="policy_status" attribute="1" defaultMemberUniqueName="[brokerage].[policy_status].[All]" allUniqueName="[brokerage].[policy_status].[All]" dimensionUniqueName="[brokerage]" displayFolder="" count="2" memberValueDatatype="130" unbalanced="0"/>
    <cacheHierarchy uniqueName="[brokerage].[Amount]" caption="Amount" attribute="1" defaultMemberUniqueName="[brokerage].[Amount].[All]" allUniqueName="[brokerage].[Amount].[All]" dimensionUniqueName="[brokerage]" displayFolder="" count="2" memberValueDatatype="5" unbalanced="0"/>
    <cacheHierarchy uniqueName="[brokerage].[policy_start_date]" caption="policy_start_date" attribute="1" time="1" defaultMemberUniqueName="[brokerage].[policy_start_date].[All]" allUniqueName="[brokerage].[policy_start_date].[All]" dimensionUniqueName="[brokerage]" displayFolder="" count="2" memberValueDatatype="7" unbalanced="0"/>
    <cacheHierarchy uniqueName="[brokerage].[policy_end_date]" caption="policy_end_date" attribute="1" time="1" defaultMemberUniqueName="[brokerage].[policy_end_date].[All]" allUniqueName="[brokerage].[policy_end_date].[All]" dimensionUniqueName="[brokerage]" displayFolder="" count="2" memberValueDatatype="7" unbalanced="0"/>
    <cacheHierarchy uniqueName="[brokerage].[product_group]" caption="product_group" attribute="1" defaultMemberUniqueName="[brokerage].[product_group].[All]" allUniqueName="[brokerage].[product_group].[All]" dimensionUniqueName="[brokerage]" displayFolder="" count="2" memberValueDatatype="130" unbalanced="0"/>
    <cacheHierarchy uniqueName="[brokerage].[Exec_ID]" caption="Exec_ID" attribute="1" defaultMemberUniqueName="[brokerage].[Exec_ID].[All]" allUniqueName="[brokerage].[Exec_ID].[All]" dimensionUniqueName="[brokerage]" displayFolder="" count="2" memberValueDatatype="130" unbalanced="0"/>
    <cacheHierarchy uniqueName="[brokerage].[Exec_Name]" caption="Exec_Name" attribute="1" defaultMemberUniqueName="[brokerage].[Exec_Name].[All]" allUniqueName="[brokerage].[Exec_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2" memberValueDatatype="130" unbalanced="0"/>
    <cacheHierarchy uniqueName="[brokerage].[solution_group]" caption="solution_group" attribute="1" defaultMemberUniqueName="[brokerage].[solution_group].[All]" allUniqueName="[brokerage].[solution_group].[All]" dimensionUniqueName="[brokerage]" displayFolder="" count="2"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2"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2" memberValueDatatype="130" unbalanced="0"/>
    <cacheHierarchy uniqueName="[brokerage].[renewal_status]" caption="renewal_status" attribute="1" defaultMemberUniqueName="[brokerage].[renewal_status].[All]" allUniqueName="[brokerage].[renewal_status].[All]" dimensionUniqueName="[brokerage]" displayFolder="" count="2" memberValueDatatype="130" unbalanced="0"/>
    <cacheHierarchy uniqueName="[brokerage].[lapse_reason]" caption="lapse_reason" attribute="1" defaultMemberUniqueName="[brokerage].[lapse_reason].[All]" allUniqueName="[brokerage].[lapse_reason].[All]" dimensionUniqueName="[brokerage]" displayFolder="" count="2" memberValueDatatype="130" unbalanced="0"/>
    <cacheHierarchy uniqueName="[brokerage].[last_updated_date]" caption="last_updated_date" attribute="1" time="1" defaultMemberUniqueName="[brokerage].[last_updated_date].[All]" allUniqueName="[brokerage].[last_updated_date].[All]" dimensionUniqueName="[brokerage]" displayFolder="" count="2" memberValueDatatype="7" unbalanced="0"/>
    <cacheHierarchy uniqueName="[brokerage].[Policy_ID]" caption="Policy_ID" attribute="1" defaultMemberUniqueName="[brokerage].[Policy_ID].[All]" allUniqueName="[brokerage].[Policy_ID].[All]" dimensionUniqueName="[brokerage]" displayFolder="" count="2" memberValueDatatype="130" unbalanced="0"/>
    <cacheHierarchy uniqueName="[BudgetAllocation].[Month]" caption="Month" attribute="1" defaultMemberUniqueName="[BudgetAllocation].[Month].[All]" allUniqueName="[BudgetAllocation].[Month].[All]" dimensionUniqueName="[BudgetAllocation]" displayFolder="" count="2" memberValueDatatype="20" unbalanced="0"/>
    <cacheHierarchy uniqueName="[BudgetAllocation].[AllocationPct]" caption="AllocationPct" attribute="1" defaultMemberUniqueName="[BudgetAllocation].[AllocationPct].[All]" allUniqueName="[BudgetAllocation].[AllocationPct].[All]" dimensionUniqueName="[BudgetAllocation]" displayFolder="" count="2" memberValueDatatype="5" unbalanced="0"/>
    <cacheHierarchy uniqueName="[DateTable].[Date]" caption="Date" attribute="1" time="1" keyAttribute="1" defaultMemberUniqueName="[DateTable].[Date].[All]" allUniqueName="[DateTable].[Date].[All]" dimensionUniqueName="[DateTable]" displayFolder="" count="2" memberValueDatatype="7" unbalanced="0"/>
    <cacheHierarchy uniqueName="[DateTable].[Year]" caption="Year" attribute="1" time="1" defaultMemberUniqueName="[DateTable].[Year].[All]" allUniqueName="[DateTable].[Year].[All]" dimensionUniqueName="[DateTable]" displayFolder="" count="2" memberValueDatatype="20" unbalanced="0"/>
    <cacheHierarchy uniqueName="[DateTable].[Month Name]" caption="Month Name" attribute="1" time="1" defaultMemberUniqueName="[DateTable].[Month Name].[All]" allUniqueName="[DateTable].[Month Name].[All]" dimensionUniqueName="[DateTable]" displayFolder="" count="2" memberValueDatatype="130" unbalanced="0"/>
    <cacheHierarchy uniqueName="[DateTable].[Month]" caption="Month" attribute="1" time="1" defaultMemberUniqueName="[DateTable].[Month].[All]" allUniqueName="[DateTable].[Month].[All]" dimensionUniqueName="[DateTable]" displayFolder="" count="2" memberValueDatatype="20" unbalanced="0"/>
    <cacheHierarchy uniqueName="[DateTable].[Quarter]" caption="Quarter" attribute="1" time="1" defaultMemberUniqueName="[DateTable].[Quarter].[All]" allUniqueName="[DateTable].[Quarter].[All]" dimensionUniqueName="[DateTable]" displayFolder="" count="2" memberValueDatatype="20" unbalanced="0"/>
    <cacheHierarchy uniqueName="[dim_account_exe].[Exec_ID]" caption="Exec_ID" attribute="1" defaultMemberUniqueName="[dim_account_exe].[Exec_ID].[All]" allUniqueName="[dim_account_exe].[Exec_ID].[All]" dimensionUniqueName="[dim_account_exe]" displayFolder="" count="2"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2" memberValueDatatype="130" unbalanced="0"/>
    <cacheHierarchy uniqueName="[dim_account_exe].[Branch_Name]" caption="Branch_Name" attribute="1" defaultMemberUniqueName="[dim_account_exe].[Branch_Name].[All]" allUniqueName="[dim_account_exe].[Branch_Name].[All]" dimensionUniqueName="[dim_account_exe]" displayFolder="" count="2" memberValueDatatype="130" unbalanced="0"/>
    <cacheHierarchy uniqueName="[dim_account_exe].[Role]" caption="Role" attribute="1" defaultMemberUniqueName="[dim_account_exe].[Role].[All]" allUniqueName="[dim_account_exe].[Role].[All]" dimensionUniqueName="[dim_account_exe]" displayFolder="" count="2"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2" memberValueDatatype="130" unbalanced="0"/>
    <cacheHierarchy uniqueName="[dim_account_exe].[Email]" caption="Email" attribute="1" defaultMemberUniqueName="[dim_account_exe].[Email].[All]" allUniqueName="[dim_account_exe].[Email].[All]" dimensionUniqueName="[dim_account_exe]" displayFolder="" count="2" memberValueDatatype="130" unbalanced="0"/>
    <cacheHierarchy uniqueName="[dim_branch].[Branch_ID]" caption="Branch_ID" attribute="1" defaultMemberUniqueName="[dim_branch].[Branch_ID].[All]" allUniqueName="[dim_branch].[Branch_ID].[All]" dimensionUniqueName="[dim_branch]" displayFolder="" count="2"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fieldsUsage count="2">
        <fieldUsage x="-1"/>
        <fieldUsage x="9"/>
      </fieldsUsage>
    </cacheHierarchy>
    <cacheHierarchy uniqueName="[dim_branch].[State]" caption="State" attribute="1" defaultMemberUniqueName="[dim_branch].[State].[All]" allUniqueName="[dim_branch].[State].[All]" dimensionUniqueName="[dim_branch]" displayFolder="" count="2" memberValueDatatype="130" unbalanced="0"/>
    <cacheHierarchy uniqueName="[dim_branch].[Region]" caption="Region" attribute="1" defaultMemberUniqueName="[dim_branch].[Region].[All]" allUniqueName="[dim_branch].[Region].[All]" dimensionUniqueName="[dim_branch]" displayFolder="" count="2" memberValueDatatype="130" unbalanced="0"/>
    <cacheHierarchy uniqueName="[dim_branch].[BranchHead_ID]" caption="BranchHead_ID" attribute="1" defaultMemberUniqueName="[dim_branch].[BranchHead_ID].[All]" allUniqueName="[dim_branch].[BranchHead_ID].[All]" dimensionUniqueName="[dim_branch]" displayFolder="" count="2" memberValueDatatype="130" unbalanced="0"/>
    <cacheHierarchy uniqueName="[dim_branch].[BranchHead_Name]" caption="BranchHead_Name" attribute="1" defaultMemberUniqueName="[dim_branch].[BranchHead_Name].[All]" allUniqueName="[dim_branch].[BranchHead_Name].[All]" dimensionUniqueName="[dim_branch]" displayFolder="" count="2" memberValueDatatype="130" unbalanced="0"/>
    <cacheHierarchy uniqueName="[dim_branch].[Established_Year]" caption="Established_Year" attribute="1" defaultMemberUniqueName="[dim_branch].[Established_Year].[All]" allUniqueName="[dim_branch].[Established_Year].[All]" dimensionUniqueName="[dim_branch]" displayFolder="" count="2" memberValueDatatype="20" unbalanced="0"/>
    <cacheHierarchy uniqueName="[dim_branch].[Target_FY_Lakh]" caption="Target_FY_Lakh" attribute="1" defaultMemberUniqueName="[dim_branch].[Target_FY_Lakh].[All]" allUniqueName="[dim_branch].[Target_FY_Lakh].[All]" dimensionUniqueName="[dim_branch]" displayFolder="" count="2" memberValueDatatype="5" unbalanced="0"/>
    <cacheHierarchy uniqueName="[dim_client].[Client_ID]" caption="Client_ID" attribute="1" defaultMemberUniqueName="[dim_client].[Client_ID].[All]" allUniqueName="[dim_client].[Client_ID].[All]" dimensionUniqueName="[dim_client]" displayFolder="" count="2" memberValueDatatype="130" unbalanced="0"/>
    <cacheHierarchy uniqueName="[dim_client].[Client_Name]" caption="Client_Name" attribute="1" defaultMemberUniqueName="[dim_client].[Client_Name].[All]" allUniqueName="[dim_client].[Client_Name].[All]" dimensionUniqueName="[dim_client]" displayFolder="" count="2" memberValueDatatype="130" unbalanced="0"/>
    <cacheHierarchy uniqueName="[dim_client].[Industry]" caption="Industry" attribute="1" defaultMemberUniqueName="[dim_client].[Industry].[All]" allUniqueName="[dim_client].[Industry].[All]" dimensionUniqueName="[dim_client]" displayFolder="" count="2" memberValueDatatype="130" unbalanced="0"/>
    <cacheHierarchy uniqueName="[dim_client].[City]" caption="City" attribute="1" defaultMemberUniqueName="[dim_client].[City].[All]" allUniqueName="[dim_client].[City].[All]" dimensionUniqueName="[dim_client]" displayFolder="" count="2" memberValueDatatype="130" unbalanced="0"/>
    <cacheHierarchy uniqueName="[dim_client].[State]" caption="State" attribute="1" defaultMemberUniqueName="[dim_client].[State].[All]" allUniqueName="[dim_client].[State].[All]" dimensionUniqueName="[dim_client]" displayFolder="" count="2" memberValueDatatype="130" unbalanced="0"/>
    <cacheHierarchy uniqueName="[dim_client].[Client_Since]" caption="Client_Since" attribute="1" time="1" defaultMemberUniqueName="[dim_client].[Client_Since].[All]" allUniqueName="[dim_client].[Client_Since].[All]" dimensionUniqueName="[dim_client]" displayFolder="" count="2" memberValueDatatype="7" unbalanced="0"/>
    <cacheHierarchy uniqueName="[dim_client].[Segment]" caption="Segment" attribute="1" defaultMemberUniqueName="[dim_client].[Segment].[All]" allUniqueName="[dim_client].[Segment].[All]" dimensionUniqueName="[dim_client]" displayFolder="" count="2" memberValueDatatype="130" unbalanced="0"/>
    <cacheHierarchy uniqueName="[dim_client].[RM_ID]" caption="RM_ID" attribute="1" defaultMemberUniqueName="[dim_client].[RM_ID].[All]" allUniqueName="[dim_client].[RM_ID].[All]" dimensionUniqueName="[dim_client]" displayFolder="" count="2" memberValueDatatype="130" unbalanced="0"/>
    <cacheHierarchy uniqueName="[dim_policy].[Policy_ID]" caption="Policy_ID" attribute="1" defaultMemberUniqueName="[dim_policy].[Policy_ID].[All]" allUniqueName="[dim_policy].[Policy_ID].[All]" dimensionUniqueName="[dim_policy]" displayFolder="" count="2" memberValueDatatype="130" unbalanced="0"/>
    <cacheHierarchy uniqueName="[dim_policy].[Policy_Number]" caption="Policy_Number" attribute="1" defaultMemberUniqueName="[dim_policy].[Policy_Number].[All]" allUniqueName="[dim_policy].[Policy_Number].[All]" dimensionUniqueName="[dim_policy]" displayFolder="" count="2" memberValueDatatype="130" unbalanced="0"/>
    <cacheHierarchy uniqueName="[dim_policy].[Product_Group]" caption="Product_Group" attribute="1" defaultMemberUniqueName="[dim_policy].[Product_Group].[All]" allUniqueName="[dim_policy].[Product_Group].[All]" dimensionUniqueName="[dim_policy]" displayFolder="" count="2" memberValueDatatype="130" unbalanced="0"/>
    <cacheHierarchy uniqueName="[dim_policy].[Policy_Status]" caption="Policy_Status" attribute="1" defaultMemberUniqueName="[dim_policy].[Policy_Status].[All]" allUniqueName="[dim_policy].[Policy_Status].[All]" dimensionUniqueName="[dim_policy]" displayFolder="" count="2" memberValueDatatype="130" unbalanced="0"/>
    <cacheHierarchy uniqueName="[dim_policy].[Policy_Start_Date]" caption="Policy_Start_Date" attribute="1" time="1" defaultMemberUniqueName="[dim_policy].[Policy_Start_Date].[All]" allUniqueName="[dim_policy].[Policy_Start_Date].[All]" dimensionUniqueName="[dim_policy]" displayFolder="" count="2" memberValueDatatype="7" unbalanced="0"/>
    <cacheHierarchy uniqueName="[dim_policy].[Policy_End_Date]" caption="Policy_End_Date" attribute="1" time="1" defaultMemberUniqueName="[dim_policy].[Policy_End_Date].[All]" allUniqueName="[dim_policy].[Policy_End_Date].[All]" dimensionUniqueName="[dim_policy]" displayFolder="" count="2" memberValueDatatype="7" unbalanced="0"/>
    <cacheHierarchy uniqueName="[dim_policy].[Renewal_Status]" caption="Renewal_Status" attribute="1" defaultMemberUniqueName="[dim_policy].[Renewal_Status].[All]" allUniqueName="[dim_policy].[Renewal_Status].[All]" dimensionUniqueName="[dim_policy]" displayFolder="" count="2"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2"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2" memberValueDatatype="130" unbalanced="0"/>
    <cacheHierarchy uniqueName="[dim_solution_group].[Segment]" caption="Segment" attribute="1" defaultMemberUniqueName="[dim_solution_group].[Segment].[All]" allUniqueName="[dim_solution_group].[Segment].[All]" dimensionUniqueName="[dim_solution_group]" displayFolder="" count="2" memberValueDatatype="130" unbalanced="0"/>
    <cacheHierarchy uniqueName="[dim_solution_group].[Category]" caption="Category" attribute="1" defaultMemberUniqueName="[dim_solution_group].[Category].[All]" allUniqueName="[dim_solution_group].[Category].[All]" dimensionUniqueName="[dim_solution_group]" displayFolder="" count="2" memberValueDatatype="130" unbalanced="0"/>
    <cacheHierarchy uniqueName="[fees].[client_name]" caption="client_name" attribute="1" defaultMemberUniqueName="[fees].[client_name].[All]" allUniqueName="[fees].[client_name].[All]" dimensionUniqueName="[fees]" displayFolder="" count="2" memberValueDatatype="130" unbalanced="0"/>
    <cacheHierarchy uniqueName="[fees].[branch_name]" caption="branch_name" attribute="1" defaultMemberUniqueName="[fees].[branch_name].[All]" allUniqueName="[fees].[branch_name].[All]" dimensionUniqueName="[fees]" displayFolder="" count="2" memberValueDatatype="130" unbalanced="0"/>
    <cacheHierarchy uniqueName="[fees].[solution_group]" caption="solution_group" attribute="1" defaultMemberUniqueName="[fees].[solution_group].[All]" allUniqueName="[fees].[solution_group].[All]" dimensionUniqueName="[fees]" displayFolder="" count="2" memberValueDatatype="130" unbalanced="0"/>
    <cacheHierarchy uniqueName="[fees].[Exec_ID]" caption="Exec_ID" attribute="1" defaultMemberUniqueName="[fees].[Exec_ID].[All]" allUniqueName="[fees].[Exec_ID].[All]" dimensionUniqueName="[fees]" displayFolder="" count="2" memberValueDatatype="130" unbalanced="0"/>
    <cacheHierarchy uniqueName="[fees].[Account_Executive]" caption="Account_Executive" attribute="1" defaultMemberUniqueName="[fees].[Account_Executive].[All]" allUniqueName="[fees].[Account_Executive].[All]" dimensionUniqueName="[fees]" displayFolder="" count="2" memberValueDatatype="130" unbalanced="0"/>
    <cacheHierarchy uniqueName="[fees].[income_class]" caption="income_class" attribute="1" defaultMemberUniqueName="[fees].[income_class].[All]" allUniqueName="[fees].[income_class].[All]" dimensionUniqueName="[fees]" displayFolder="" count="2" memberValueDatatype="130" unbalanced="0"/>
    <cacheHierarchy uniqueName="[fees].[Amount]" caption="Amount" attribute="1" defaultMemberUniqueName="[fees].[Amount].[All]" allUniqueName="[fees].[Amount].[All]" dimensionUniqueName="[fees]" displayFolder="" count="2" memberValueDatatype="5" unbalanced="0"/>
    <cacheHierarchy uniqueName="[fees].[income_due_date]" caption="income_due_date" attribute="1" time="1" defaultMemberUniqueName="[fees].[income_due_date].[All]" allUniqueName="[fees].[income_due_date].[All]" dimensionUniqueName="[fees]" displayFolder="" count="2" memberValueDatatype="7" unbalanced="0"/>
    <cacheHierarchy uniqueName="[fees].[revenue_transaction_type]" caption="revenue_transaction_type" attribute="1" defaultMemberUniqueName="[fees].[revenue_transaction_type].[All]" allUniqueName="[fees].[revenue_transaction_type].[All]" dimensionUniqueName="[fees]" displayFolder="" count="2"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10"/>
      </fieldsUsage>
    </cacheHierarchy>
    <cacheHierarchy uniqueName="[Individual_Budgets].[Exec_ID]" caption="Exec_ID" attribute="1" defaultMemberUniqueName="[Individual_Budgets].[Exec_ID].[All]" allUniqueName="[Individual_Budgets].[Exec_ID].[All]" dimensionUniqueName="[Individual_Budgets]" displayFolder="" count="2"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2" memberValueDatatype="130" unbalanced="0"/>
    <cacheHierarchy uniqueName="[Individual_Budgets].[New_Role2]" caption="New_Role2" attribute="1" defaultMemberUniqueName="[Individual_Budgets].[New_Role2].[All]" allUniqueName="[Individual_Budgets].[New_Role2].[All]" dimensionUniqueName="[Individual_Budgets]" displayFolder="" count="2" memberValueDatatype="130" unbalanced="0"/>
    <cacheHierarchy uniqueName="[Individual_Budgets].[Budget_New]" caption="Budget_New" attribute="1" defaultMemberUniqueName="[Individual_Budgets].[Budget_New].[All]" allUniqueName="[Individual_Budgets].[Budget_New].[All]" dimensionUniqueName="[Individual_Budgets]" displayFolder="" count="2"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2"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2" memberValueDatatype="5" unbalanced="0"/>
    <cacheHierarchy uniqueName="[invoice].[invoice_number]" caption="invoice_number" attribute="1" defaultMemberUniqueName="[invoice].[invoice_number].[All]" allUniqueName="[invoice].[invoice_number].[All]" dimensionUniqueName="[invoice]" displayFolder="" count="2" memberValueDatatype="130" unbalanced="0"/>
    <cacheHierarchy uniqueName="[invoice].[invoice_date]" caption="invoice_date" attribute="1" time="1" defaultMemberUniqueName="[invoice].[invoice_date].[All]" allUniqueName="[invoice].[invoice_date].[All]" dimensionUniqueName="[invoice]" displayFolder="" count="2"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2" memberValueDatatype="130" unbalanced="0"/>
    <cacheHierarchy uniqueName="[invoice].[branch_name]" caption="branch_name" attribute="1" defaultMemberUniqueName="[invoice].[branch_name].[All]" allUniqueName="[invoice].[branch_name].[All]" dimensionUniqueName="[invoice]" displayFolder="" count="2" memberValueDatatype="130" unbalanced="0"/>
    <cacheHierarchy uniqueName="[invoice].[solution_group]" caption="solution_group" attribute="1" defaultMemberUniqueName="[invoice].[solution_group].[All]" allUniqueName="[invoice].[solution_group].[All]" dimensionUniqueName="[invoice]" displayFolder="" count="2" memberValueDatatype="130" unbalanced="0"/>
    <cacheHierarchy uniqueName="[invoice].[Exec_ID]" caption="Exec_ID" attribute="1" defaultMemberUniqueName="[invoice].[Exec_ID].[All]" allUniqueName="[invoice].[Exec_ID].[All]" dimensionUniqueName="[invoice]" displayFolder="" count="2" memberValueDatatype="130" unbalanced="0"/>
    <cacheHierarchy uniqueName="[invoice].[Account_Executive]" caption="Account_Executive" attribute="1" defaultMemberUniqueName="[invoice].[Account_Executive].[All]" allUniqueName="[invoice].[Account_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2" memberValueDatatype="130" unbalanced="0"/>
    <cacheHierarchy uniqueName="[invoice].[Client_Name]" caption="Client_Name" attribute="1" defaultMemberUniqueName="[invoice].[Client_Name].[All]" allUniqueName="[invoice].[Client_Name].[All]" dimensionUniqueName="[invoice]" displayFolder="" count="2" memberValueDatatype="130" unbalanced="0"/>
    <cacheHierarchy uniqueName="[invoice].[policy_number]" caption="policy_number" attribute="1" defaultMemberUniqueName="[invoice].[policy_number].[All]" allUniqueName="[invoice].[policy_number].[All]" dimensionUniqueName="[invoice]" displayFolder="" count="2" memberValueDatatype="130" unbalanced="0"/>
    <cacheHierarchy uniqueName="[invoice].[Amount]" caption="Amount" attribute="1" defaultMemberUniqueName="[invoice].[Amount].[All]" allUniqueName="[invoice].[Amount].[All]" dimensionUniqueName="[invoice]" displayFolder="" count="2" memberValueDatatype="5" unbalanced="0"/>
    <cacheHierarchy uniqueName="[invoice].[income_due_date]" caption="income_due_date" attribute="1" time="1" defaultMemberUniqueName="[invoice].[income_due_date].[All]" allUniqueName="[invoice].[income_due_date].[All]" dimensionUniqueName="[invoice]" displayFolder="" count="2" memberValueDatatype="7" unbalanced="0"/>
    <cacheHierarchy uniqueName="[invoice].[dim_policy.Policy_ID]" caption="dim_policy.Policy_ID" attribute="1" defaultMemberUniqueName="[invoice].[dim_policy.Policy_ID].[All]" allUniqueName="[invoice].[dim_policy.Policy_ID].[All]" dimensionUniqueName="[invoice]" displayFolder="" count="2" memberValueDatatype="130" unbalanced="0"/>
    <cacheHierarchy uniqueName="[invoice].[Industry]" caption="Industry" attribute="1" defaultMemberUniqueName="[invoice].[Industry].[All]" allUniqueName="[invoice].[Industry].[All]" dimensionUniqueName="[invoice]" displayFolder="" count="2" memberValueDatatype="130" unbalanced="0"/>
    <cacheHierarchy uniqueName="[invoice].[Segment]" caption="Segment" attribute="1" defaultMemberUniqueName="[invoice].[Segment].[All]" allUniqueName="[invoice].[Segment].[All]" dimensionUniqueName="[invoice]" displayFolder="" count="2"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2" memberValueDatatype="130" unbalanced="0"/>
    <cacheHierarchy uniqueName="[invoice].[invoice_date (Month)]" caption="invoice_date (Month)" attribute="1" defaultMemberUniqueName="[invoice].[invoice_date (Month)].[All]" allUniqueName="[invoice].[invoice_date (Month)].[All]" dimensionUniqueName="[invoice]" displayFolder="" count="2" memberValueDatatype="130" unbalanced="0"/>
    <cacheHierarchy uniqueName="[meeting].[Account Exe ID]" caption="Account Exe ID" attribute="1" defaultMemberUniqueName="[meeting].[Account Exe ID].[All]" allUniqueName="[meeting].[Account Exe ID].[All]" dimensionUniqueName="[meeting]" displayFolder="" count="2" memberValueDatatype="130" unbalanced="0"/>
    <cacheHierarchy uniqueName="[meeting].[Account Executive]" caption="Account Executive" attribute="1" defaultMemberUniqueName="[meeting].[Account Executive].[All]" allUniqueName="[meeting].[Account Executive].[All]" dimensionUniqueName="[meeting]" displayFolder="" count="2" memberValueDatatype="130" unbalanced="0"/>
    <cacheHierarchy uniqueName="[meeting].[branch_name]" caption="branch_name" attribute="1" defaultMemberUniqueName="[meeting].[branch_name].[All]" allUniqueName="[meeting].[branch_name].[All]" dimensionUniqueName="[meeting]" displayFolder="" count="2" memberValueDatatype="130" unbalanced="0"/>
    <cacheHierarchy uniqueName="[meeting].[global_attendees]" caption="global_attendees" attribute="1" defaultMemberUniqueName="[meeting].[global_attendees].[All]" allUniqueName="[meeting].[global_attendees].[All]" dimensionUniqueName="[meeting]" displayFolder="" count="2" memberValueDatatype="130" unbalanced="0"/>
    <cacheHierarchy uniqueName="[meeting].[meeting_date]" caption="meeting_date" attribute="1" time="1" defaultMemberUniqueName="[meeting].[meeting_date].[All]" allUniqueName="[meeting].[meeting_date].[All]" dimensionUniqueName="[meeting]" displayFolder="" count="2" memberValueDatatype="7"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cacheHierarchy uniqueName="[Opportunity].[opportunity_id]" caption="opportunity_id" attribute="1" defaultMemberUniqueName="[Opportunity].[opportunity_id].[All]" allUniqueName="[Opportunity].[opportunity_id].[All]" dimensionUniqueName="[Opportunity]" displayFolder="" count="2" memberValueDatatype="130" unbalanced="0"/>
    <cacheHierarchy uniqueName="[Opportunity].[Account Exe Id]" caption="Account Exe Id" attribute="1" defaultMemberUniqueName="[Opportunity].[Account Exe Id].[All]" allUniqueName="[Opportunity].[Account Exe Id].[All]" dimensionUniqueName="[Opportunity]" displayFolder="" count="2" memberValueDatatype="20" unbalanced="0"/>
    <cacheHierarchy uniqueName="[Opportunity].[Account Executive]" caption="Account Executive" attribute="1" defaultMemberUniqueName="[Opportunity].[Account Executive].[All]" allUniqueName="[Opportunity].[Account Executive].[All]" dimensionUniqueName="[Opportunity]" displayFolder="" count="2" memberValueDatatype="130" unbalanced="0"/>
    <cacheHierarchy uniqueName="[Opportunity].[premium_amount]" caption="premium_amount" attribute="1" defaultMemberUniqueName="[Opportunity].[premium_amount].[All]" allUniqueName="[Opportunity].[premium_amount].[All]" dimensionUniqueName="[Opportunity]" displayFolder="" count="2" memberValueDatatype="20" unbalanced="0"/>
    <cacheHierarchy uniqueName="[Opportunity].[revenue_amount]" caption="revenue_amount" attribute="1" defaultMemberUniqueName="[Opportunity].[revenue_amount].[All]" allUniqueName="[Opportunity].[revenue_amount].[All]" dimensionUniqueName="[Opportunity]" displayFolder="" count="2" memberValueDatatype="20" unbalanced="0"/>
    <cacheHierarchy uniqueName="[Opportunity].[closing_date]" caption="closing_date" attribute="1" time="1" defaultMemberUniqueName="[Opportunity].[closing_date].[All]" allUniqueName="[Opportunity].[closing_date].[All]" dimensionUniqueName="[Opportunity]" displayFolder="" count="2" memberValueDatatype="7" unbalanced="0"/>
    <cacheHierarchy uniqueName="[Opportunity].[stage]" caption="stage" attribute="1" defaultMemberUniqueName="[Opportunity].[stage].[All]" allUniqueName="[Opportunity].[stage].[All]" dimensionUniqueName="[Opportunity]" displayFolder="" count="2" memberValueDatatype="130" unbalanced="0">
      <fieldsUsage count="2">
        <fieldUsage x="-1"/>
        <fieldUsage x="11"/>
      </fieldsUsage>
    </cacheHierarchy>
    <cacheHierarchy uniqueName="[Opportunity].[branch]" caption="branch" attribute="1" defaultMemberUniqueName="[Opportunity].[branch].[All]" allUniqueName="[Opportunity].[branch].[All]" dimensionUniqueName="[Opportunity]" displayFolder="" count="2" memberValueDatatype="130" unbalanced="0"/>
    <cacheHierarchy uniqueName="[Opportunity].[specialty]" caption="specialty" attribute="1" defaultMemberUniqueName="[Opportunity].[specialty].[All]" allUniqueName="[Opportunity].[specialty].[All]" dimensionUniqueName="[Opportunity]" displayFolder="" count="2" memberValueDatatype="130" unbalanced="0"/>
    <cacheHierarchy uniqueName="[Opportunity].[product_group]" caption="product_group" attribute="1" defaultMemberUniqueName="[Opportunity].[product_group].[All]" allUniqueName="[Opportunity].[product_group].[All]" dimensionUniqueName="[Opportunity]" displayFolder="" count="2" memberValueDatatype="130" unbalanced="0"/>
    <cacheHierarchy uniqueName="[Opportunity].[product_sub_group]" caption="product_sub_group" attribute="1" defaultMemberUniqueName="[Opportunity].[product_sub_group].[All]" allUniqueName="[Opportunity].[product_sub_group].[All]" dimensionUniqueName="[Opportunity]" displayFolder="" count="2" memberValueDatatype="130" unbalanced="0"/>
    <cacheHierarchy uniqueName="[Opportunity].[risk_details]" caption="risk_details" attribute="1" defaultMemberUniqueName="[Opportunity].[risk_details].[All]" allUniqueName="[Opportunity].[risk_details].[All]" dimensionUniqueName="[Opportunity]" displayFolder="" count="2"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2"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oneField="1">
      <fieldsUsage count="1">
        <fieldUsage x="8"/>
      </fieldsUsage>
    </cacheHierarchy>
    <cacheHierarchy uniqueName="[Measures].[Open_Opportunity_Revenue]" caption="Open_Opportunity_Revenue" measure="1" displayFolder="" measureGroup="Opportunity" count="0" oneField="1">
      <fieldsUsage count="1">
        <fieldUsage x="0"/>
      </fieldsUsage>
    </cacheHierarchy>
    <cacheHierarchy uniqueName="[Measures].[Closed_Won_Count]" caption="Closed_Won_Count" measure="1" displayFolder="" measureGroup="Opportunity" count="0" oneField="1">
      <fieldsUsage count="1">
        <fieldUsage x="1"/>
      </fieldsUsage>
    </cacheHierarchy>
    <cacheHierarchy uniqueName="[Measures].[Closed_Won_Revenue]" caption="Closed_Won_Revenue" measure="1" displayFolder="" measureGroup="Opportunity" count="0" oneField="1">
      <fieldsUsage count="1">
        <fieldUsage x="2"/>
      </fieldsUsage>
    </cacheHierarchy>
    <cacheHierarchy uniqueName="[Measures].[Closed_Lost_Count]" caption="Closed_Lost_Count" measure="1" displayFolder="" measureGroup="Opportunity" count="0" oneField="1">
      <fieldsUsage count="1">
        <fieldUsage x="3"/>
      </fieldsUsage>
    </cacheHierarchy>
    <cacheHierarchy uniqueName="[Measures].[Conversion_Ratio]" caption="Conversion_Ratio" measure="1" displayFolder="" measureGroup="Opportunity" count="0" oneField="1">
      <fieldsUsage count="1">
        <fieldUsage x="4"/>
      </fieldsUsage>
    </cacheHierarchy>
    <cacheHierarchy uniqueName="[Measures].[Average_Deal_Size]" caption="Average_Deal_Size" measure="1" displayFolder="" measureGroup="Opportunity" count="0" oneField="1">
      <fieldsUsage count="1">
        <fieldUsage x="6"/>
      </fieldsUsage>
    </cacheHierarchy>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oneField="1">
      <fieldsUsage count="1">
        <fieldUsage x="7"/>
      </fieldsUsage>
    </cacheHierarchy>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oneField="1">
      <fieldsUsage count="1">
        <fieldUsage x="5"/>
      </fieldsUsage>
    </cacheHierarchy>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65972221" backgroundQuery="1" createdVersion="8" refreshedVersion="8" minRefreshableVersion="3" recordCount="0" supportSubquery="1" supportAdvancedDrill="1" xr:uid="{4CCEBEF4-AD62-475C-AD23-50D77D0D66AD}">
  <cacheSource type="external" connectionId="14"/>
  <cacheFields count="5">
    <cacheField name="[Opportunity].[stage].[stage]" caption="stage" numFmtId="0" hierarchy="104" level="1">
      <sharedItems count="5">
        <s v="Lost"/>
        <s v="Negotiate"/>
        <s v="Propose Solution"/>
        <s v="Qualify Opportunity"/>
        <s v="Won"/>
      </sharedItems>
    </cacheField>
    <cacheField name="[Measures].[Count of opportunity_id]" caption="Count of opportunity_id" numFmtId="0" hierarchy="111" level="32767"/>
    <cacheField name="[Measures].[Sum of revenue_amount]" caption="Sum of revenue_amount" numFmtId="0" hierarchy="112" level="32767"/>
    <cacheField name="[Measures].[Average of revenue_amount]" caption="Average of revenue_amount" numFmtId="0" hierarchy="113" level="32767"/>
    <cacheField name="[Individual_Budgets].[Branch].[Branch]" caption="Branch" numFmtId="0" hierarchy="67"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4"/>
      </fieldsUsage>
    </cacheHierarchy>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2" memberValueDatatype="130" unbalanced="0">
      <fieldsUsage count="2">
        <fieldUsage x="-1"/>
        <fieldUsage x="0"/>
      </fieldsUsage>
    </cacheHierarchy>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oneField="1">
      <fieldsUsage count="1">
        <fieldUsage x="1"/>
      </fieldsUsage>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oneField="1">
      <fieldsUsage count="1">
        <fieldUsage x="2"/>
      </fieldsUsage>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oneField="1">
      <fieldsUsage count="1">
        <fieldUsage x="3"/>
      </fieldsUsage>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71759263" backgroundQuery="1" createdVersion="8" refreshedVersion="8" minRefreshableVersion="3" recordCount="0" supportSubquery="1" supportAdvancedDrill="1" xr:uid="{0977B587-5DCA-49ED-A95F-DE0FA2B4DC75}">
  <cacheSource type="external" connectionId="14"/>
  <cacheFields count="7">
    <cacheField name="[Opportunity].[opportunity_name].[opportunity_name]" caption="opportunity_name" numFmtId="0" hierarchy="97" level="1">
      <sharedItems count="10">
        <s v="Adani Servic-EB"/>
        <s v="Northern Ind-PBN"/>
        <s v="Summit Expor-EB"/>
        <s v="Dabur Intern-LIB"/>
        <s v="Bharat Holdi-MRN"/>
        <s v="Lupin Intern-SME"/>
        <s v="Star Exports-LIB"/>
        <s v="Royal Ltd-EB"/>
        <s v="Reliance Ltd-CAR"/>
        <s v="General Indi-PBN"/>
      </sharedItems>
    </cacheField>
    <cacheField name="[Measures].[Sum of revenue_amount]" caption="Sum of revenue_amount" numFmtId="0" hierarchy="112" level="32767"/>
    <cacheField name="[Opportunity].[stage].[stage]" caption="stage" numFmtId="0" hierarchy="104" level="1">
      <sharedItems count="4">
        <s v="Won"/>
        <s v="Negotiate"/>
        <s v="Qualify Opportunity"/>
        <s v="Propose Solution"/>
      </sharedItems>
    </cacheField>
    <cacheField name="[Opportunity].[Account Executive].[Account Executive]" caption="Account Executive" numFmtId="0" hierarchy="100" level="1">
      <sharedItems count="10">
        <s v="Vikram Shah"/>
        <s v="Ritu Saxena"/>
        <s v="Sneha Rao"/>
        <s v="Arjun Prabhu"/>
        <s v="Pradeep Mohan"/>
        <s v="Lakshmi Rajan"/>
        <s v="Vijay Krishnan"/>
        <s v="Swati Deshpande"/>
        <s v="Chandra Mouli"/>
        <s v="Madhavi Latha"/>
      </sharedItems>
    </cacheField>
    <cacheField name="[Opportunity].[opportunity_id].[opportunity_id]" caption="opportunity_id" numFmtId="0" hierarchy="98" level="1">
      <sharedItems count="10">
        <s v="OPP1900003128"/>
        <s v="OPP1900003185"/>
        <s v="OPP1900003244"/>
        <s v="OPP1900003248"/>
        <s v="OPP1900003262"/>
        <s v="OPP1900003281"/>
        <s v="OPP1900003282"/>
        <s v="OPP1900003303"/>
        <s v="OPP1900003326"/>
        <s v="OPP1900003332"/>
      </sharedItems>
    </cacheField>
    <cacheField name="[Opportunity].[branch].[branch]" caption="branch" numFmtId="0" hierarchy="105" level="1">
      <sharedItems count="6">
        <s v="Mumbai"/>
        <s v="Delhi"/>
        <s v="Bangalore"/>
        <s v="Chennai"/>
        <s v="Pune"/>
        <s v="Hyderabad"/>
      </sharedItems>
    </cacheField>
    <cacheField name="[Individual_Budgets].[Branch].[Branch]" caption="Branch" numFmtId="0" hierarchy="67"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6"/>
      </fieldsUsage>
    </cacheHierarchy>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fieldsUsage count="2">
        <fieldUsage x="-1"/>
        <fieldUsage x="0"/>
      </fieldsUsage>
    </cacheHierarchy>
    <cacheHierarchy uniqueName="[Opportunity].[opportunity_id]" caption="opportunity_id" attribute="1" defaultMemberUniqueName="[Opportunity].[opportunity_id].[All]" allUniqueName="[Opportunity].[opportunity_id].[All]" dimensionUniqueName="[Opportunity]" displayFolder="" count="2" memberValueDatatype="130" unbalanced="0">
      <fieldsUsage count="2">
        <fieldUsage x="-1"/>
        <fieldUsage x="4"/>
      </fieldsUsage>
    </cacheHierarchy>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2" memberValueDatatype="130" unbalanced="0">
      <fieldsUsage count="2">
        <fieldUsage x="-1"/>
        <fieldUsage x="3"/>
      </fieldsUsage>
    </cacheHierarchy>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2" memberValueDatatype="130" unbalanced="0">
      <fieldsUsage count="2">
        <fieldUsage x="-1"/>
        <fieldUsage x="2"/>
      </fieldsUsage>
    </cacheHierarchy>
    <cacheHierarchy uniqueName="[Opportunity].[branch]" caption="branch" attribute="1" defaultMemberUniqueName="[Opportunity].[branch].[All]" allUniqueName="[Opportunity].[branch].[All]" dimensionUniqueName="[Opportunity]" displayFolder="" count="2" memberValueDatatype="130" unbalanced="0">
      <fieldsUsage count="2">
        <fieldUsage x="-1"/>
        <fieldUsage x="5"/>
      </fieldsUsage>
    </cacheHierarchy>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oneField="1">
      <fieldsUsage count="1">
        <fieldUsage x="1"/>
      </fieldsUsage>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78472221" backgroundQuery="1" createdVersion="8" refreshedVersion="8" minRefreshableVersion="3" recordCount="0" supportSubquery="1" supportAdvancedDrill="1" xr:uid="{E6CE99BB-E8D0-46EC-8F69-505DBA131380}">
  <cacheSource type="external" connectionId="14"/>
  <cacheFields count="4">
    <cacheField name="[meeting].[Account Executive].[Account Executive]" caption="Account Executive" numFmtId="0" hierarchy="93" level="1">
      <sharedItems count="10">
        <s v="Arjun Prabhu"/>
        <s v="Chandra Mouli"/>
        <s v="Deepak Verma"/>
        <s v="Kavitha Reddy"/>
        <s v="Meera Pillai"/>
        <s v="Neha Joshi"/>
        <s v="Pallavi More"/>
        <s v="Pooja Singhania"/>
        <s v="Pradeep Mohan"/>
        <s v="Rajiv Mehta"/>
      </sharedItems>
    </cacheField>
    <cacheField name="[Measures].[Count of meeting_date]" caption="Count of meeting_date" numFmtId="0" hierarchy="115" level="32767"/>
    <cacheField name="[Individual_Budgets].[Branch].[Branch]" caption="Branch" numFmtId="0" hierarchy="67" level="1">
      <sharedItems containsSemiMixedTypes="0" containsNonDate="0" containsString="0"/>
    </cacheField>
    <cacheField name="[meeting].[branch_name].[branch_name]" caption="branch_name" numFmtId="0" hierarchy="94"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2"/>
      </fieldsUsage>
    </cacheHierarchy>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2" memberValueDatatype="130" unbalanced="0">
      <fieldsUsage count="2">
        <fieldUsage x="-1"/>
        <fieldUsage x="0"/>
      </fieldsUsage>
    </cacheHierarchy>
    <cacheHierarchy uniqueName="[meeting].[branch_name]" caption="branch_name" attribute="1" defaultMemberUniqueName="[meeting].[branch_name].[All]" allUniqueName="[meeting].[branch_name].[All]" dimensionUniqueName="[meeting]" displayFolder="" count="2" memberValueDatatype="130" unbalanced="0">
      <fieldsUsage count="2">
        <fieldUsage x="-1"/>
        <fieldUsage x="3"/>
      </fieldsUsage>
    </cacheHierarchy>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oneField="1">
      <fieldsUsage count="1">
        <fieldUsage x="1"/>
      </fieldsUsage>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77314813" backgroundQuery="1" createdVersion="8" refreshedVersion="8" minRefreshableVersion="3" recordCount="0" supportSubquery="1" supportAdvancedDrill="1" xr:uid="{AD7CFB24-F234-4518-B90D-F19FC8537389}">
  <cacheSource type="external" connectionId="14"/>
  <cacheFields count="7">
    <cacheField name="[Measures].[Meetings_per_Exec]" caption="Meetings_per_Exec" numFmtId="0" hierarchy="139" level="32767"/>
    <cacheField name="[Measures].[Meeting_to_Opportunity_Ratio]" caption="Meeting_to_Opportunity_Ratio" numFmtId="0" hierarchy="140" level="32767"/>
    <cacheField name="[Measures].[Meeting_to_Won_Ratio]" caption="Meeting_to_Won_Ratio" numFmtId="0" hierarchy="141" level="32767"/>
    <cacheField name="[Measures].[Total_Meeting_Count_2019]" caption="Total_Meeting_Count_2019" numFmtId="0" hierarchy="138" level="32767"/>
    <cacheField name="[Measures].[Total_Meeting_Count_2020]" caption="Total_Meeting_Count_2020" numFmtId="0" hierarchy="156" level="32767"/>
    <cacheField name="[meeting].[branch_name].[branch_name]" caption="branch_name" numFmtId="0" hierarchy="94" level="1">
      <sharedItems count="7">
        <s v="Ahmedabad"/>
        <s v="Bangalore"/>
        <s v="Chennai"/>
        <s v="Delhi"/>
        <s v="Hyderabad"/>
        <s v="Mumbai"/>
        <s v="Pune"/>
      </sharedItems>
    </cacheField>
    <cacheField name="[Individual_Budgets].[Branch].[Branch]" caption="Branch" numFmtId="0" hierarchy="67"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2" memberValueDatatype="130" unbalanced="0"/>
    <cacheHierarchy uniqueName="[brokerage].[policy_number]" caption="policy_number" attribute="1" defaultMemberUniqueName="[brokerage].[policy_number].[All]" allUniqueName="[brokerage].[policy_number].[All]" dimensionUniqueName="[brokerage]" displayFolder="" count="2" memberValueDatatype="130" unbalanced="0"/>
    <cacheHierarchy uniqueName="[brokerage].[policy_status]" caption="policy_status" attribute="1" defaultMemberUniqueName="[brokerage].[policy_status].[All]" allUniqueName="[brokerage].[policy_status].[All]" dimensionUniqueName="[brokerage]" displayFolder="" count="2" memberValueDatatype="130" unbalanced="0"/>
    <cacheHierarchy uniqueName="[brokerage].[Amount]" caption="Amount" attribute="1" defaultMemberUniqueName="[brokerage].[Amount].[All]" allUniqueName="[brokerage].[Amount].[All]" dimensionUniqueName="[brokerage]" displayFolder="" count="2" memberValueDatatype="5" unbalanced="0"/>
    <cacheHierarchy uniqueName="[brokerage].[policy_start_date]" caption="policy_start_date" attribute="1" time="1" defaultMemberUniqueName="[brokerage].[policy_start_date].[All]" allUniqueName="[brokerage].[policy_start_date].[All]" dimensionUniqueName="[brokerage]" displayFolder="" count="2" memberValueDatatype="7" unbalanced="0"/>
    <cacheHierarchy uniqueName="[brokerage].[policy_end_date]" caption="policy_end_date" attribute="1" time="1" defaultMemberUniqueName="[brokerage].[policy_end_date].[All]" allUniqueName="[brokerage].[policy_end_date].[All]" dimensionUniqueName="[brokerage]" displayFolder="" count="2" memberValueDatatype="7" unbalanced="0"/>
    <cacheHierarchy uniqueName="[brokerage].[product_group]" caption="product_group" attribute="1" defaultMemberUniqueName="[brokerage].[product_group].[All]" allUniqueName="[brokerage].[product_group].[All]" dimensionUniqueName="[brokerage]" displayFolder="" count="2" memberValueDatatype="130" unbalanced="0"/>
    <cacheHierarchy uniqueName="[brokerage].[Exec_ID]" caption="Exec_ID" attribute="1" defaultMemberUniqueName="[brokerage].[Exec_ID].[All]" allUniqueName="[brokerage].[Exec_ID].[All]" dimensionUniqueName="[brokerage]" displayFolder="" count="2" memberValueDatatype="130" unbalanced="0"/>
    <cacheHierarchy uniqueName="[brokerage].[Exec_Name]" caption="Exec_Name" attribute="1" defaultMemberUniqueName="[brokerage].[Exec_Name].[All]" allUniqueName="[brokerage].[Exec_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2" memberValueDatatype="130" unbalanced="0"/>
    <cacheHierarchy uniqueName="[brokerage].[solution_group]" caption="solution_group" attribute="1" defaultMemberUniqueName="[brokerage].[solution_group].[All]" allUniqueName="[brokerage].[solution_group].[All]" dimensionUniqueName="[brokerage]" displayFolder="" count="2"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2"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2" memberValueDatatype="130" unbalanced="0"/>
    <cacheHierarchy uniqueName="[brokerage].[renewal_status]" caption="renewal_status" attribute="1" defaultMemberUniqueName="[brokerage].[renewal_status].[All]" allUniqueName="[brokerage].[renewal_status].[All]" dimensionUniqueName="[brokerage]" displayFolder="" count="2" memberValueDatatype="130" unbalanced="0"/>
    <cacheHierarchy uniqueName="[brokerage].[lapse_reason]" caption="lapse_reason" attribute="1" defaultMemberUniqueName="[brokerage].[lapse_reason].[All]" allUniqueName="[brokerage].[lapse_reason].[All]" dimensionUniqueName="[brokerage]" displayFolder="" count="2" memberValueDatatype="130" unbalanced="0"/>
    <cacheHierarchy uniqueName="[brokerage].[last_updated_date]" caption="last_updated_date" attribute="1" time="1" defaultMemberUniqueName="[brokerage].[last_updated_date].[All]" allUniqueName="[brokerage].[last_updated_date].[All]" dimensionUniqueName="[brokerage]" displayFolder="" count="2" memberValueDatatype="7" unbalanced="0"/>
    <cacheHierarchy uniqueName="[brokerage].[Policy_ID]" caption="Policy_ID" attribute="1" defaultMemberUniqueName="[brokerage].[Policy_ID].[All]" allUniqueName="[brokerage].[Policy_ID].[All]" dimensionUniqueName="[brokerage]" displayFolder="" count="2" memberValueDatatype="130" unbalanced="0"/>
    <cacheHierarchy uniqueName="[BudgetAllocation].[Month]" caption="Month" attribute="1" defaultMemberUniqueName="[BudgetAllocation].[Month].[All]" allUniqueName="[BudgetAllocation].[Month].[All]" dimensionUniqueName="[BudgetAllocation]" displayFolder="" count="2" memberValueDatatype="20" unbalanced="0"/>
    <cacheHierarchy uniqueName="[BudgetAllocation].[AllocationPct]" caption="AllocationPct" attribute="1" defaultMemberUniqueName="[BudgetAllocation].[AllocationPct].[All]" allUniqueName="[BudgetAllocation].[AllocationPct].[All]" dimensionUniqueName="[BudgetAllocation]" displayFolder="" count="2" memberValueDatatype="5" unbalanced="0"/>
    <cacheHierarchy uniqueName="[DateTable].[Date]" caption="Date" attribute="1" time="1" keyAttribute="1" defaultMemberUniqueName="[DateTable].[Date].[All]" allUniqueName="[DateTable].[Date].[All]" dimensionUniqueName="[DateTable]" displayFolder="" count="2" memberValueDatatype="7" unbalanced="0"/>
    <cacheHierarchy uniqueName="[DateTable].[Year]" caption="Year" attribute="1" time="1" defaultMemberUniqueName="[DateTable].[Year].[All]" allUniqueName="[DateTable].[Year].[All]" dimensionUniqueName="[DateTable]" displayFolder="" count="2" memberValueDatatype="20" unbalanced="0"/>
    <cacheHierarchy uniqueName="[DateTable].[Month Name]" caption="Month Name" attribute="1" time="1" defaultMemberUniqueName="[DateTable].[Month Name].[All]" allUniqueName="[DateTable].[Month Name].[All]" dimensionUniqueName="[DateTable]" displayFolder="" count="2" memberValueDatatype="130" unbalanced="0"/>
    <cacheHierarchy uniqueName="[DateTable].[Month]" caption="Month" attribute="1" time="1" defaultMemberUniqueName="[DateTable].[Month].[All]" allUniqueName="[DateTable].[Month].[All]" dimensionUniqueName="[DateTable]" displayFolder="" count="2" memberValueDatatype="20" unbalanced="0"/>
    <cacheHierarchy uniqueName="[DateTable].[Quarter]" caption="Quarter" attribute="1" time="1" defaultMemberUniqueName="[DateTable].[Quarter].[All]" allUniqueName="[DateTable].[Quarter].[All]" dimensionUniqueName="[DateTable]" displayFolder="" count="2" memberValueDatatype="20" unbalanced="0"/>
    <cacheHierarchy uniqueName="[dim_account_exe].[Exec_ID]" caption="Exec_ID" attribute="1" defaultMemberUniqueName="[dim_account_exe].[Exec_ID].[All]" allUniqueName="[dim_account_exe].[Exec_ID].[All]" dimensionUniqueName="[dim_account_exe]" displayFolder="" count="2"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2" memberValueDatatype="130" unbalanced="0"/>
    <cacheHierarchy uniqueName="[dim_account_exe].[Branch_Name]" caption="Branch_Name" attribute="1" defaultMemberUniqueName="[dim_account_exe].[Branch_Name].[All]" allUniqueName="[dim_account_exe].[Branch_Name].[All]" dimensionUniqueName="[dim_account_exe]" displayFolder="" count="2" memberValueDatatype="130" unbalanced="0"/>
    <cacheHierarchy uniqueName="[dim_account_exe].[Role]" caption="Role" attribute="1" defaultMemberUniqueName="[dim_account_exe].[Role].[All]" allUniqueName="[dim_account_exe].[Role].[All]" dimensionUniqueName="[dim_account_exe]" displayFolder="" count="2"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2" memberValueDatatype="130" unbalanced="0"/>
    <cacheHierarchy uniqueName="[dim_account_exe].[Email]" caption="Email" attribute="1" defaultMemberUniqueName="[dim_account_exe].[Email].[All]" allUniqueName="[dim_account_exe].[Email].[All]" dimensionUniqueName="[dim_account_exe]" displayFolder="" count="2" memberValueDatatype="130" unbalanced="0"/>
    <cacheHierarchy uniqueName="[dim_branch].[Branch_ID]" caption="Branch_ID" attribute="1" defaultMemberUniqueName="[dim_branch].[Branch_ID].[All]" allUniqueName="[dim_branch].[Branch_ID].[All]" dimensionUniqueName="[dim_branch]" displayFolder="" count="2"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2" memberValueDatatype="130" unbalanced="0"/>
    <cacheHierarchy uniqueName="[dim_branch].[Region]" caption="Region" attribute="1" defaultMemberUniqueName="[dim_branch].[Region].[All]" allUniqueName="[dim_branch].[Region].[All]" dimensionUniqueName="[dim_branch]" displayFolder="" count="2" memberValueDatatype="130" unbalanced="0"/>
    <cacheHierarchy uniqueName="[dim_branch].[BranchHead_ID]" caption="BranchHead_ID" attribute="1" defaultMemberUniqueName="[dim_branch].[BranchHead_ID].[All]" allUniqueName="[dim_branch].[BranchHead_ID].[All]" dimensionUniqueName="[dim_branch]" displayFolder="" count="2" memberValueDatatype="130" unbalanced="0"/>
    <cacheHierarchy uniqueName="[dim_branch].[BranchHead_Name]" caption="BranchHead_Name" attribute="1" defaultMemberUniqueName="[dim_branch].[BranchHead_Name].[All]" allUniqueName="[dim_branch].[BranchHead_Name].[All]" dimensionUniqueName="[dim_branch]" displayFolder="" count="2" memberValueDatatype="130" unbalanced="0"/>
    <cacheHierarchy uniqueName="[dim_branch].[Established_Year]" caption="Established_Year" attribute="1" defaultMemberUniqueName="[dim_branch].[Established_Year].[All]" allUniqueName="[dim_branch].[Established_Year].[All]" dimensionUniqueName="[dim_branch]" displayFolder="" count="2" memberValueDatatype="20" unbalanced="0"/>
    <cacheHierarchy uniqueName="[dim_branch].[Target_FY_Lakh]" caption="Target_FY_Lakh" attribute="1" defaultMemberUniqueName="[dim_branch].[Target_FY_Lakh].[All]" allUniqueName="[dim_branch].[Target_FY_Lakh].[All]" dimensionUniqueName="[dim_branch]" displayFolder="" count="2" memberValueDatatype="5" unbalanced="0"/>
    <cacheHierarchy uniqueName="[dim_client].[Client_ID]" caption="Client_ID" attribute="1" defaultMemberUniqueName="[dim_client].[Client_ID].[All]" allUniqueName="[dim_client].[Client_ID].[All]" dimensionUniqueName="[dim_client]" displayFolder="" count="2" memberValueDatatype="130" unbalanced="0"/>
    <cacheHierarchy uniqueName="[dim_client].[Client_Name]" caption="Client_Name" attribute="1" defaultMemberUniqueName="[dim_client].[Client_Name].[All]" allUniqueName="[dim_client].[Client_Name].[All]" dimensionUniqueName="[dim_client]" displayFolder="" count="2" memberValueDatatype="130" unbalanced="0"/>
    <cacheHierarchy uniqueName="[dim_client].[Industry]" caption="Industry" attribute="1" defaultMemberUniqueName="[dim_client].[Industry].[All]" allUniqueName="[dim_client].[Industry].[All]" dimensionUniqueName="[dim_client]" displayFolder="" count="2" memberValueDatatype="130" unbalanced="0"/>
    <cacheHierarchy uniqueName="[dim_client].[City]" caption="City" attribute="1" defaultMemberUniqueName="[dim_client].[City].[All]" allUniqueName="[dim_client].[City].[All]" dimensionUniqueName="[dim_client]" displayFolder="" count="2" memberValueDatatype="130" unbalanced="0"/>
    <cacheHierarchy uniqueName="[dim_client].[State]" caption="State" attribute="1" defaultMemberUniqueName="[dim_client].[State].[All]" allUniqueName="[dim_client].[State].[All]" dimensionUniqueName="[dim_client]" displayFolder="" count="2" memberValueDatatype="130" unbalanced="0"/>
    <cacheHierarchy uniqueName="[dim_client].[Client_Since]" caption="Client_Since" attribute="1" time="1" defaultMemberUniqueName="[dim_client].[Client_Since].[All]" allUniqueName="[dim_client].[Client_Since].[All]" dimensionUniqueName="[dim_client]" displayFolder="" count="2" memberValueDatatype="7" unbalanced="0"/>
    <cacheHierarchy uniqueName="[dim_client].[Segment]" caption="Segment" attribute="1" defaultMemberUniqueName="[dim_client].[Segment].[All]" allUniqueName="[dim_client].[Segment].[All]" dimensionUniqueName="[dim_client]" displayFolder="" count="2" memberValueDatatype="130" unbalanced="0"/>
    <cacheHierarchy uniqueName="[dim_client].[RM_ID]" caption="RM_ID" attribute="1" defaultMemberUniqueName="[dim_client].[RM_ID].[All]" allUniqueName="[dim_client].[RM_ID].[All]" dimensionUniqueName="[dim_client]" displayFolder="" count="2" memberValueDatatype="130" unbalanced="0"/>
    <cacheHierarchy uniqueName="[dim_policy].[Policy_ID]" caption="Policy_ID" attribute="1" defaultMemberUniqueName="[dim_policy].[Policy_ID].[All]" allUniqueName="[dim_policy].[Policy_ID].[All]" dimensionUniqueName="[dim_policy]" displayFolder="" count="2" memberValueDatatype="130" unbalanced="0"/>
    <cacheHierarchy uniqueName="[dim_policy].[Policy_Number]" caption="Policy_Number" attribute="1" defaultMemberUniqueName="[dim_policy].[Policy_Number].[All]" allUniqueName="[dim_policy].[Policy_Number].[All]" dimensionUniqueName="[dim_policy]" displayFolder="" count="2" memberValueDatatype="130" unbalanced="0"/>
    <cacheHierarchy uniqueName="[dim_policy].[Product_Group]" caption="Product_Group" attribute="1" defaultMemberUniqueName="[dim_policy].[Product_Group].[All]" allUniqueName="[dim_policy].[Product_Group].[All]" dimensionUniqueName="[dim_policy]" displayFolder="" count="2" memberValueDatatype="130" unbalanced="0"/>
    <cacheHierarchy uniqueName="[dim_policy].[Policy_Status]" caption="Policy_Status" attribute="1" defaultMemberUniqueName="[dim_policy].[Policy_Status].[All]" allUniqueName="[dim_policy].[Policy_Status].[All]" dimensionUniqueName="[dim_policy]" displayFolder="" count="2" memberValueDatatype="130" unbalanced="0"/>
    <cacheHierarchy uniqueName="[dim_policy].[Policy_Start_Date]" caption="Policy_Start_Date" attribute="1" time="1" defaultMemberUniqueName="[dim_policy].[Policy_Start_Date].[All]" allUniqueName="[dim_policy].[Policy_Start_Date].[All]" dimensionUniqueName="[dim_policy]" displayFolder="" count="2" memberValueDatatype="7" unbalanced="0"/>
    <cacheHierarchy uniqueName="[dim_policy].[Policy_End_Date]" caption="Policy_End_Date" attribute="1" time="1" defaultMemberUniqueName="[dim_policy].[Policy_End_Date].[All]" allUniqueName="[dim_policy].[Policy_End_Date].[All]" dimensionUniqueName="[dim_policy]" displayFolder="" count="2" memberValueDatatype="7" unbalanced="0"/>
    <cacheHierarchy uniqueName="[dim_policy].[Renewal_Status]" caption="Renewal_Status" attribute="1" defaultMemberUniqueName="[dim_policy].[Renewal_Status].[All]" allUniqueName="[dim_policy].[Renewal_Status].[All]" dimensionUniqueName="[dim_policy]" displayFolder="" count="2"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2"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2" memberValueDatatype="130" unbalanced="0"/>
    <cacheHierarchy uniqueName="[dim_solution_group].[Segment]" caption="Segment" attribute="1" defaultMemberUniqueName="[dim_solution_group].[Segment].[All]" allUniqueName="[dim_solution_group].[Segment].[All]" dimensionUniqueName="[dim_solution_group]" displayFolder="" count="2" memberValueDatatype="130" unbalanced="0"/>
    <cacheHierarchy uniqueName="[dim_solution_group].[Category]" caption="Category" attribute="1" defaultMemberUniqueName="[dim_solution_group].[Category].[All]" allUniqueName="[dim_solution_group].[Category].[All]" dimensionUniqueName="[dim_solution_group]" displayFolder="" count="2" memberValueDatatype="130" unbalanced="0"/>
    <cacheHierarchy uniqueName="[fees].[client_name]" caption="client_name" attribute="1" defaultMemberUniqueName="[fees].[client_name].[All]" allUniqueName="[fees].[client_name].[All]" dimensionUniqueName="[fees]" displayFolder="" count="2" memberValueDatatype="130" unbalanced="0"/>
    <cacheHierarchy uniqueName="[fees].[branch_name]" caption="branch_name" attribute="1" defaultMemberUniqueName="[fees].[branch_name].[All]" allUniqueName="[fees].[branch_name].[All]" dimensionUniqueName="[fees]" displayFolder="" count="2" memberValueDatatype="130" unbalanced="0"/>
    <cacheHierarchy uniqueName="[fees].[solution_group]" caption="solution_group" attribute="1" defaultMemberUniqueName="[fees].[solution_group].[All]" allUniqueName="[fees].[solution_group].[All]" dimensionUniqueName="[fees]" displayFolder="" count="2" memberValueDatatype="130" unbalanced="0"/>
    <cacheHierarchy uniqueName="[fees].[Exec_ID]" caption="Exec_ID" attribute="1" defaultMemberUniqueName="[fees].[Exec_ID].[All]" allUniqueName="[fees].[Exec_ID].[All]" dimensionUniqueName="[fees]" displayFolder="" count="2" memberValueDatatype="130" unbalanced="0"/>
    <cacheHierarchy uniqueName="[fees].[Account_Executive]" caption="Account_Executive" attribute="1" defaultMemberUniqueName="[fees].[Account_Executive].[All]" allUniqueName="[fees].[Account_Executive].[All]" dimensionUniqueName="[fees]" displayFolder="" count="2" memberValueDatatype="130" unbalanced="0"/>
    <cacheHierarchy uniqueName="[fees].[income_class]" caption="income_class" attribute="1" defaultMemberUniqueName="[fees].[income_class].[All]" allUniqueName="[fees].[income_class].[All]" dimensionUniqueName="[fees]" displayFolder="" count="2" memberValueDatatype="130" unbalanced="0"/>
    <cacheHierarchy uniqueName="[fees].[Amount]" caption="Amount" attribute="1" defaultMemberUniqueName="[fees].[Amount].[All]" allUniqueName="[fees].[Amount].[All]" dimensionUniqueName="[fees]" displayFolder="" count="2" memberValueDatatype="5" unbalanced="0"/>
    <cacheHierarchy uniqueName="[fees].[income_due_date]" caption="income_due_date" attribute="1" time="1" defaultMemberUniqueName="[fees].[income_due_date].[All]" allUniqueName="[fees].[income_due_date].[All]" dimensionUniqueName="[fees]" displayFolder="" count="2" memberValueDatatype="7" unbalanced="0"/>
    <cacheHierarchy uniqueName="[fees].[revenue_transaction_type]" caption="revenue_transaction_type" attribute="1" defaultMemberUniqueName="[fees].[revenue_transaction_type].[All]" allUniqueName="[fees].[revenue_transaction_type].[All]" dimensionUniqueName="[fees]" displayFolder="" count="2"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6"/>
      </fieldsUsage>
    </cacheHierarchy>
    <cacheHierarchy uniqueName="[Individual_Budgets].[Exec_ID]" caption="Exec_ID" attribute="1" defaultMemberUniqueName="[Individual_Budgets].[Exec_ID].[All]" allUniqueName="[Individual_Budgets].[Exec_ID].[All]" dimensionUniqueName="[Individual_Budgets]" displayFolder="" count="2"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2" memberValueDatatype="130" unbalanced="0"/>
    <cacheHierarchy uniqueName="[Individual_Budgets].[New_Role2]" caption="New_Role2" attribute="1" defaultMemberUniqueName="[Individual_Budgets].[New_Role2].[All]" allUniqueName="[Individual_Budgets].[New_Role2].[All]" dimensionUniqueName="[Individual_Budgets]" displayFolder="" count="2" memberValueDatatype="130" unbalanced="0"/>
    <cacheHierarchy uniqueName="[Individual_Budgets].[Budget_New]" caption="Budget_New" attribute="1" defaultMemberUniqueName="[Individual_Budgets].[Budget_New].[All]" allUniqueName="[Individual_Budgets].[Budget_New].[All]" dimensionUniqueName="[Individual_Budgets]" displayFolder="" count="2"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2"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2" memberValueDatatype="5" unbalanced="0"/>
    <cacheHierarchy uniqueName="[invoice].[invoice_number]" caption="invoice_number" attribute="1" defaultMemberUniqueName="[invoice].[invoice_number].[All]" allUniqueName="[invoice].[invoice_number].[All]" dimensionUniqueName="[invoice]" displayFolder="" count="2" memberValueDatatype="130" unbalanced="0"/>
    <cacheHierarchy uniqueName="[invoice].[invoice_date]" caption="invoice_date" attribute="1" time="1" defaultMemberUniqueName="[invoice].[invoice_date].[All]" allUniqueName="[invoice].[invoice_date].[All]" dimensionUniqueName="[invoice]" displayFolder="" count="2"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2" memberValueDatatype="130" unbalanced="0"/>
    <cacheHierarchy uniqueName="[invoice].[branch_name]" caption="branch_name" attribute="1" defaultMemberUniqueName="[invoice].[branch_name].[All]" allUniqueName="[invoice].[branch_name].[All]" dimensionUniqueName="[invoice]" displayFolder="" count="2" memberValueDatatype="130" unbalanced="0"/>
    <cacheHierarchy uniqueName="[invoice].[solution_group]" caption="solution_group" attribute="1" defaultMemberUniqueName="[invoice].[solution_group].[All]" allUniqueName="[invoice].[solution_group].[All]" dimensionUniqueName="[invoice]" displayFolder="" count="2" memberValueDatatype="130" unbalanced="0"/>
    <cacheHierarchy uniqueName="[invoice].[Exec_ID]" caption="Exec_ID" attribute="1" defaultMemberUniqueName="[invoice].[Exec_ID].[All]" allUniqueName="[invoice].[Exec_ID].[All]" dimensionUniqueName="[invoice]" displayFolder="" count="2" memberValueDatatype="130" unbalanced="0"/>
    <cacheHierarchy uniqueName="[invoice].[Account_Executive]" caption="Account_Executive" attribute="1" defaultMemberUniqueName="[invoice].[Account_Executive].[All]" allUniqueName="[invoice].[Account_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2" memberValueDatatype="130" unbalanced="0"/>
    <cacheHierarchy uniqueName="[invoice].[Client_Name]" caption="Client_Name" attribute="1" defaultMemberUniqueName="[invoice].[Client_Name].[All]" allUniqueName="[invoice].[Client_Name].[All]" dimensionUniqueName="[invoice]" displayFolder="" count="2" memberValueDatatype="130" unbalanced="0"/>
    <cacheHierarchy uniqueName="[invoice].[policy_number]" caption="policy_number" attribute="1" defaultMemberUniqueName="[invoice].[policy_number].[All]" allUniqueName="[invoice].[policy_number].[All]" dimensionUniqueName="[invoice]" displayFolder="" count="2" memberValueDatatype="130" unbalanced="0"/>
    <cacheHierarchy uniqueName="[invoice].[Amount]" caption="Amount" attribute="1" defaultMemberUniqueName="[invoice].[Amount].[All]" allUniqueName="[invoice].[Amount].[All]" dimensionUniqueName="[invoice]" displayFolder="" count="2" memberValueDatatype="5" unbalanced="0"/>
    <cacheHierarchy uniqueName="[invoice].[income_due_date]" caption="income_due_date" attribute="1" time="1" defaultMemberUniqueName="[invoice].[income_due_date].[All]" allUniqueName="[invoice].[income_due_date].[All]" dimensionUniqueName="[invoice]" displayFolder="" count="2" memberValueDatatype="7" unbalanced="0"/>
    <cacheHierarchy uniqueName="[invoice].[dim_policy.Policy_ID]" caption="dim_policy.Policy_ID" attribute="1" defaultMemberUniqueName="[invoice].[dim_policy.Policy_ID].[All]" allUniqueName="[invoice].[dim_policy.Policy_ID].[All]" dimensionUniqueName="[invoice]" displayFolder="" count="2" memberValueDatatype="130" unbalanced="0"/>
    <cacheHierarchy uniqueName="[invoice].[Industry]" caption="Industry" attribute="1" defaultMemberUniqueName="[invoice].[Industry].[All]" allUniqueName="[invoice].[Industry].[All]" dimensionUniqueName="[invoice]" displayFolder="" count="2" memberValueDatatype="130" unbalanced="0"/>
    <cacheHierarchy uniqueName="[invoice].[Segment]" caption="Segment" attribute="1" defaultMemberUniqueName="[invoice].[Segment].[All]" allUniqueName="[invoice].[Segment].[All]" dimensionUniqueName="[invoice]" displayFolder="" count="2"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2" memberValueDatatype="130" unbalanced="0"/>
    <cacheHierarchy uniqueName="[invoice].[invoice_date (Month)]" caption="invoice_date (Month)" attribute="1" defaultMemberUniqueName="[invoice].[invoice_date (Month)].[All]" allUniqueName="[invoice].[invoice_date (Month)].[All]" dimensionUniqueName="[invoice]" displayFolder="" count="2" memberValueDatatype="130" unbalanced="0"/>
    <cacheHierarchy uniqueName="[meeting].[Account Exe ID]" caption="Account Exe ID" attribute="1" defaultMemberUniqueName="[meeting].[Account Exe ID].[All]" allUniqueName="[meeting].[Account Exe ID].[All]" dimensionUniqueName="[meeting]" displayFolder="" count="2" memberValueDatatype="130" unbalanced="0"/>
    <cacheHierarchy uniqueName="[meeting].[Account Executive]" caption="Account Executive" attribute="1" defaultMemberUniqueName="[meeting].[Account Executive].[All]" allUniqueName="[meeting].[Account Executive].[All]" dimensionUniqueName="[meeting]" displayFolder="" count="2" memberValueDatatype="130" unbalanced="0"/>
    <cacheHierarchy uniqueName="[meeting].[branch_name]" caption="branch_name" attribute="1" defaultMemberUniqueName="[meeting].[branch_name].[All]" allUniqueName="[meeting].[branch_name].[All]" dimensionUniqueName="[meeting]" displayFolder="" count="2" memberValueDatatype="130" unbalanced="0">
      <fieldsUsage count="2">
        <fieldUsage x="-1"/>
        <fieldUsage x="5"/>
      </fieldsUsage>
    </cacheHierarchy>
    <cacheHierarchy uniqueName="[meeting].[global_attendees]" caption="global_attendees" attribute="1" defaultMemberUniqueName="[meeting].[global_attendees].[All]" allUniqueName="[meeting].[global_attendees].[All]" dimensionUniqueName="[meeting]" displayFolder="" count="2" memberValueDatatype="130" unbalanced="0"/>
    <cacheHierarchy uniqueName="[meeting].[meeting_date]" caption="meeting_date" attribute="1" time="1" defaultMemberUniqueName="[meeting].[meeting_date].[All]" allUniqueName="[meeting].[meeting_date].[All]" dimensionUniqueName="[meeting]" displayFolder="" count="2" memberValueDatatype="7"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cacheHierarchy uniqueName="[Opportunity].[opportunity_id]" caption="opportunity_id" attribute="1" defaultMemberUniqueName="[Opportunity].[opportunity_id].[All]" allUniqueName="[Opportunity].[opportunity_id].[All]" dimensionUniqueName="[Opportunity]" displayFolder="" count="2" memberValueDatatype="130" unbalanced="0"/>
    <cacheHierarchy uniqueName="[Opportunity].[Account Exe Id]" caption="Account Exe Id" attribute="1" defaultMemberUniqueName="[Opportunity].[Account Exe Id].[All]" allUniqueName="[Opportunity].[Account Exe Id].[All]" dimensionUniqueName="[Opportunity]" displayFolder="" count="2" memberValueDatatype="20" unbalanced="0"/>
    <cacheHierarchy uniqueName="[Opportunity].[Account Executive]" caption="Account Executive" attribute="1" defaultMemberUniqueName="[Opportunity].[Account Executive].[All]" allUniqueName="[Opportunity].[Account Executive].[All]" dimensionUniqueName="[Opportunity]" displayFolder="" count="2" memberValueDatatype="130" unbalanced="0"/>
    <cacheHierarchy uniqueName="[Opportunity].[premium_amount]" caption="premium_amount" attribute="1" defaultMemberUniqueName="[Opportunity].[premium_amount].[All]" allUniqueName="[Opportunity].[premium_amount].[All]" dimensionUniqueName="[Opportunity]" displayFolder="" count="2" memberValueDatatype="20" unbalanced="0"/>
    <cacheHierarchy uniqueName="[Opportunity].[revenue_amount]" caption="revenue_amount" attribute="1" defaultMemberUniqueName="[Opportunity].[revenue_amount].[All]" allUniqueName="[Opportunity].[revenue_amount].[All]" dimensionUniqueName="[Opportunity]" displayFolder="" count="2" memberValueDatatype="20" unbalanced="0"/>
    <cacheHierarchy uniqueName="[Opportunity].[closing_date]" caption="closing_date" attribute="1" time="1" defaultMemberUniqueName="[Opportunity].[closing_date].[All]" allUniqueName="[Opportunity].[closing_date].[All]" dimensionUniqueName="[Opportunity]" displayFolder="" count="2" memberValueDatatype="7" unbalanced="0"/>
    <cacheHierarchy uniqueName="[Opportunity].[stage]" caption="stage" attribute="1" defaultMemberUniqueName="[Opportunity].[stage].[All]" allUniqueName="[Opportunity].[stage].[All]" dimensionUniqueName="[Opportunity]" displayFolder="" count="2" memberValueDatatype="130" unbalanced="0"/>
    <cacheHierarchy uniqueName="[Opportunity].[branch]" caption="branch" attribute="1" defaultMemberUniqueName="[Opportunity].[branch].[All]" allUniqueName="[Opportunity].[branch].[All]" dimensionUniqueName="[Opportunity]" displayFolder="" count="2" memberValueDatatype="130" unbalanced="0"/>
    <cacheHierarchy uniqueName="[Opportunity].[specialty]" caption="specialty" attribute="1" defaultMemberUniqueName="[Opportunity].[specialty].[All]" allUniqueName="[Opportunity].[specialty].[All]" dimensionUniqueName="[Opportunity]" displayFolder="" count="2" memberValueDatatype="130" unbalanced="0"/>
    <cacheHierarchy uniqueName="[Opportunity].[product_group]" caption="product_group" attribute="1" defaultMemberUniqueName="[Opportunity].[product_group].[All]" allUniqueName="[Opportunity].[product_group].[All]" dimensionUniqueName="[Opportunity]" displayFolder="" count="2" memberValueDatatype="130" unbalanced="0"/>
    <cacheHierarchy uniqueName="[Opportunity].[product_sub_group]" caption="product_sub_group" attribute="1" defaultMemberUniqueName="[Opportunity].[product_sub_group].[All]" allUniqueName="[Opportunity].[product_sub_group].[All]" dimensionUniqueName="[Opportunity]" displayFolder="" count="2" memberValueDatatype="130" unbalanced="0"/>
    <cacheHierarchy uniqueName="[Opportunity].[risk_details]" caption="risk_details" attribute="1" defaultMemberUniqueName="[Opportunity].[risk_details].[All]" allUniqueName="[Opportunity].[risk_details].[All]" dimensionUniqueName="[Opportunity]" displayFolder="" count="2"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2"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oneField="1">
      <fieldsUsage count="1">
        <fieldUsage x="3"/>
      </fieldsUsage>
    </cacheHierarchy>
    <cacheHierarchy uniqueName="[Measures].[Meetings_per_Exec]" caption="Meetings_per_Exec" measure="1" displayFolder="" measureGroup="meeting" count="0" oneField="1">
      <fieldsUsage count="1">
        <fieldUsage x="0"/>
      </fieldsUsage>
    </cacheHierarchy>
    <cacheHierarchy uniqueName="[Measures].[Meeting_to_Opportunity_Ratio]" caption="Meeting_to_Opportunity_Ratio" measure="1" displayFolder="" measureGroup="meeting" count="0" oneField="1">
      <fieldsUsage count="1">
        <fieldUsage x="1"/>
      </fieldsUsage>
    </cacheHierarchy>
    <cacheHierarchy uniqueName="[Measures].[Meeting_to_Won_Ratio]" caption="Meeting_to_Won_Ratio" measure="1" displayFolder="" measureGroup="meeting" count="0" oneField="1">
      <fieldsUsage count="1">
        <fieldUsage x="2"/>
      </fieldsUsage>
    </cacheHierarchy>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oneField="1">
      <fieldsUsage count="1">
        <fieldUsage x="4"/>
      </fieldsUsage>
    </cacheHierarchy>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79166668" backgroundQuery="1" createdVersion="8" refreshedVersion="8" minRefreshableVersion="3" recordCount="0" supportSubquery="1" supportAdvancedDrill="1" xr:uid="{13E63EE2-158F-4616-9762-568AAAA33A44}">
  <cacheSource type="external" connectionId="14"/>
  <cacheFields count="6">
    <cacheField name="[meeting].[branch_name].[branch_name]" caption="branch_name" numFmtId="0" hierarchy="94" level="1">
      <sharedItems count="7">
        <s v="Ahmedabad"/>
        <s v="Bangalore"/>
        <s v="Chennai"/>
        <s v="Delhi"/>
        <s v="Hyderabad"/>
        <s v="Mumbai"/>
        <s v="Pune"/>
      </sharedItems>
    </cacheField>
    <cacheField name="[Measures].[Count of meeting_date]" caption="Count of meeting_date" numFmtId="0" hierarchy="115" level="32767"/>
    <cacheField name="[Measures].[Distinct Count of Account Exe ID]" caption="Distinct Count of Account Exe ID" numFmtId="0" hierarchy="118" level="32767"/>
    <cacheField name="[meeting].[meeting_date].[meeting_date]" caption="meeting_date" numFmtId="0" hierarchy="96" level="1">
      <sharedItems containsSemiMixedTypes="0" containsNonDate="0" containsString="0"/>
    </cacheField>
    <cacheField name="[Measures].[Meetings_per_Exec]" caption="Meetings_per_Exec" numFmtId="0" hierarchy="139" level="32767"/>
    <cacheField name="[Individual_Budgets].[Branch].[Branch]" caption="Branch" numFmtId="0" hierarchy="67"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5"/>
      </fieldsUsage>
    </cacheHierarchy>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2" memberValueDatatype="130" unbalanced="0">
      <fieldsUsage count="2">
        <fieldUsage x="-1"/>
        <fieldUsage x="0"/>
      </fieldsUsage>
    </cacheHierarchy>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2" memberValueDatatype="7" unbalanced="0">
      <fieldsUsage count="2">
        <fieldUsage x="-1"/>
        <fieldUsage x="3"/>
      </fieldsUsage>
    </cacheHierarchy>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oneField="1">
      <fieldsUsage count="1">
        <fieldUsage x="1"/>
      </fieldsUsage>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oneField="1">
      <fieldsUsage count="1">
        <fieldUsage x="2"/>
      </fieldsUsage>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oneField="1">
      <fieldsUsage count="1">
        <fieldUsage x="4"/>
      </fieldsUsage>
    </cacheHierarchy>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85069441" backgroundQuery="1" createdVersion="8" refreshedVersion="8" minRefreshableVersion="3" recordCount="0" supportSubquery="1" supportAdvancedDrill="1" xr:uid="{054314B2-102D-4660-841B-CDFA186B0313}">
  <cacheSource type="external" connectionId="14"/>
  <cacheFields count="7">
    <cacheField name="[invoice].[Account_Executive].[Account_Executive]" caption="Account_Executive" numFmtId="0" hierarchy="80" level="1">
      <sharedItems count="41">
        <s v="Abhinav Shivam"/>
        <s v="Ananya Suresh"/>
        <s v="Animesh Rawat"/>
        <s v="Anjali Mehta"/>
        <s v="Arjun Prabhu"/>
        <s v="Arun Khanna"/>
        <s v="Bhavani Devi"/>
        <s v="Chandra Mouli"/>
        <s v="Deepak Verma"/>
        <s v="Divya Menon"/>
        <s v="Gilbert"/>
        <s v="Juli"/>
        <s v="Karthik Iyer"/>
        <s v="Kavya Sharma"/>
        <s v="Ketan Jain"/>
        <s v="Lakshmi Rajan"/>
        <s v="Madhavi Latha"/>
        <s v="Mark"/>
        <s v="Meera Pillai"/>
        <s v="Mohit Gupta"/>
        <s v="Muthu Raman"/>
        <s v="Neha Joshi"/>
        <s v="Nitin Joshi"/>
        <s v="Pallavi More"/>
        <s v="Pooja Singhania"/>
        <s v="Pradeep Mohan"/>
        <s v="Rahul Kumar"/>
        <s v="Ravi Shankar"/>
        <s v="Rekha Pawar"/>
        <s v="Ritu Saxena"/>
        <s v="Rohit Desai"/>
        <s v="Sachin Bhor"/>
        <s v="Sanjay Patil"/>
        <s v="Sneha Rao"/>
        <s v="Srinivas Rao"/>
        <s v="Sunita Arora"/>
        <s v="Swati Deshpande"/>
        <s v="Vidit Shah"/>
        <s v="Vijay Krishnan"/>
        <s v="Vikram Shah"/>
        <s v="Vinay"/>
      </sharedItems>
    </cacheField>
    <cacheField name="[Measures].[Count of invoice_number]" caption="Count of invoice_number" numFmtId="0" hierarchy="119" level="32767"/>
    <cacheField name="[invoice].[branch_name].[branch_name]" caption="branch_name" numFmtId="0" hierarchy="77" level="1">
      <sharedItems count="7">
        <s v="Ahmedabad"/>
        <s v="Chennai"/>
        <s v="Mumbai"/>
        <s v="Bangalore"/>
        <s v="Delhi"/>
        <s v="Hyderabad"/>
        <s v="Pune"/>
      </sharedItems>
    </cacheField>
    <cacheField name="[Measures].[Average_Invoice_Value]" caption="Average_Invoice_Value" numFmtId="0" hierarchy="143" level="32767"/>
    <cacheField name="[Measures].[Sum of Amount]" caption="Sum of Amount" numFmtId="0" hierarchy="120" level="32767"/>
    <cacheField name="[Individual_Budgets].[Branch].[Branch]" caption="Branch" numFmtId="0" hierarchy="67" level="1">
      <sharedItems containsSemiMixedTypes="0" containsNonDate="0" containsString="0"/>
    </cacheField>
    <cacheField name="[invoice].[income_class].[income_class]" caption="income_class" numFmtId="0" hierarchy="81"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2" memberValueDatatype="130" unbalanced="0"/>
    <cacheHierarchy uniqueName="[brokerage].[policy_number]" caption="policy_number" attribute="1" defaultMemberUniqueName="[brokerage].[policy_number].[All]" allUniqueName="[brokerage].[policy_number].[All]" dimensionUniqueName="[brokerage]" displayFolder="" count="2" memberValueDatatype="130" unbalanced="0"/>
    <cacheHierarchy uniqueName="[brokerage].[policy_status]" caption="policy_status" attribute="1" defaultMemberUniqueName="[brokerage].[policy_status].[All]" allUniqueName="[brokerage].[policy_status].[All]" dimensionUniqueName="[brokerage]" displayFolder="" count="2" memberValueDatatype="130" unbalanced="0"/>
    <cacheHierarchy uniqueName="[brokerage].[Amount]" caption="Amount" attribute="1" defaultMemberUniqueName="[brokerage].[Amount].[All]" allUniqueName="[brokerage].[Amount].[All]" dimensionUniqueName="[brokerage]" displayFolder="" count="2" memberValueDatatype="5" unbalanced="0"/>
    <cacheHierarchy uniqueName="[brokerage].[policy_start_date]" caption="policy_start_date" attribute="1" time="1" defaultMemberUniqueName="[brokerage].[policy_start_date].[All]" allUniqueName="[brokerage].[policy_start_date].[All]" dimensionUniqueName="[brokerage]" displayFolder="" count="2" memberValueDatatype="7" unbalanced="0"/>
    <cacheHierarchy uniqueName="[brokerage].[policy_end_date]" caption="policy_end_date" attribute="1" time="1" defaultMemberUniqueName="[brokerage].[policy_end_date].[All]" allUniqueName="[brokerage].[policy_end_date].[All]" dimensionUniqueName="[brokerage]" displayFolder="" count="2" memberValueDatatype="7" unbalanced="0"/>
    <cacheHierarchy uniqueName="[brokerage].[product_group]" caption="product_group" attribute="1" defaultMemberUniqueName="[brokerage].[product_group].[All]" allUniqueName="[brokerage].[product_group].[All]" dimensionUniqueName="[brokerage]" displayFolder="" count="2" memberValueDatatype="130" unbalanced="0"/>
    <cacheHierarchy uniqueName="[brokerage].[Exec_ID]" caption="Exec_ID" attribute="1" defaultMemberUniqueName="[brokerage].[Exec_ID].[All]" allUniqueName="[brokerage].[Exec_ID].[All]" dimensionUniqueName="[brokerage]" displayFolder="" count="2" memberValueDatatype="130" unbalanced="0"/>
    <cacheHierarchy uniqueName="[brokerage].[Exec_Name]" caption="Exec_Name" attribute="1" defaultMemberUniqueName="[brokerage].[Exec_Name].[All]" allUniqueName="[brokerage].[Exec_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2" memberValueDatatype="130" unbalanced="0"/>
    <cacheHierarchy uniqueName="[brokerage].[solution_group]" caption="solution_group" attribute="1" defaultMemberUniqueName="[brokerage].[solution_group].[All]" allUniqueName="[brokerage].[solution_group].[All]" dimensionUniqueName="[brokerage]" displayFolder="" count="2"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2"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2" memberValueDatatype="130" unbalanced="0"/>
    <cacheHierarchy uniqueName="[brokerage].[renewal_status]" caption="renewal_status" attribute="1" defaultMemberUniqueName="[brokerage].[renewal_status].[All]" allUniqueName="[brokerage].[renewal_status].[All]" dimensionUniqueName="[brokerage]" displayFolder="" count="2" memberValueDatatype="130" unbalanced="0"/>
    <cacheHierarchy uniqueName="[brokerage].[lapse_reason]" caption="lapse_reason" attribute="1" defaultMemberUniqueName="[brokerage].[lapse_reason].[All]" allUniqueName="[brokerage].[lapse_reason].[All]" dimensionUniqueName="[brokerage]" displayFolder="" count="2" memberValueDatatype="130" unbalanced="0"/>
    <cacheHierarchy uniqueName="[brokerage].[last_updated_date]" caption="last_updated_date" attribute="1" time="1" defaultMemberUniqueName="[brokerage].[last_updated_date].[All]" allUniqueName="[brokerage].[last_updated_date].[All]" dimensionUniqueName="[brokerage]" displayFolder="" count="2" memberValueDatatype="7" unbalanced="0"/>
    <cacheHierarchy uniqueName="[brokerage].[Policy_ID]" caption="Policy_ID" attribute="1" defaultMemberUniqueName="[brokerage].[Policy_ID].[All]" allUniqueName="[brokerage].[Policy_ID].[All]" dimensionUniqueName="[brokerage]" displayFolder="" count="2" memberValueDatatype="130" unbalanced="0"/>
    <cacheHierarchy uniqueName="[BudgetAllocation].[Month]" caption="Month" attribute="1" defaultMemberUniqueName="[BudgetAllocation].[Month].[All]" allUniqueName="[BudgetAllocation].[Month].[All]" dimensionUniqueName="[BudgetAllocation]" displayFolder="" count="2" memberValueDatatype="20" unbalanced="0"/>
    <cacheHierarchy uniqueName="[BudgetAllocation].[AllocationPct]" caption="AllocationPct" attribute="1" defaultMemberUniqueName="[BudgetAllocation].[AllocationPct].[All]" allUniqueName="[BudgetAllocation].[AllocationPct].[All]" dimensionUniqueName="[BudgetAllocation]" displayFolder="" count="2" memberValueDatatype="5" unbalanced="0"/>
    <cacheHierarchy uniqueName="[DateTable].[Date]" caption="Date" attribute="1" time="1" keyAttribute="1" defaultMemberUniqueName="[DateTable].[Date].[All]" allUniqueName="[DateTable].[Date].[All]" dimensionUniqueName="[DateTable]" displayFolder="" count="2" memberValueDatatype="7" unbalanced="0"/>
    <cacheHierarchy uniqueName="[DateTable].[Year]" caption="Year" attribute="1" time="1" defaultMemberUniqueName="[DateTable].[Year].[All]" allUniqueName="[DateTable].[Year].[All]" dimensionUniqueName="[DateTable]" displayFolder="" count="2" memberValueDatatype="20" unbalanced="0"/>
    <cacheHierarchy uniqueName="[DateTable].[Month Name]" caption="Month Name" attribute="1" time="1" defaultMemberUniqueName="[DateTable].[Month Name].[All]" allUniqueName="[DateTable].[Month Name].[All]" dimensionUniqueName="[DateTable]" displayFolder="" count="2" memberValueDatatype="130" unbalanced="0"/>
    <cacheHierarchy uniqueName="[DateTable].[Month]" caption="Month" attribute="1" time="1" defaultMemberUniqueName="[DateTable].[Month].[All]" allUniqueName="[DateTable].[Month].[All]" dimensionUniqueName="[DateTable]" displayFolder="" count="2" memberValueDatatype="20" unbalanced="0"/>
    <cacheHierarchy uniqueName="[DateTable].[Quarter]" caption="Quarter" attribute="1" time="1" defaultMemberUniqueName="[DateTable].[Quarter].[All]" allUniqueName="[DateTable].[Quarter].[All]" dimensionUniqueName="[DateTable]" displayFolder="" count="2" memberValueDatatype="20" unbalanced="0"/>
    <cacheHierarchy uniqueName="[dim_account_exe].[Exec_ID]" caption="Exec_ID" attribute="1" defaultMemberUniqueName="[dim_account_exe].[Exec_ID].[All]" allUniqueName="[dim_account_exe].[Exec_ID].[All]" dimensionUniqueName="[dim_account_exe]" displayFolder="" count="2"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2" memberValueDatatype="130" unbalanced="0"/>
    <cacheHierarchy uniqueName="[dim_account_exe].[Branch_Name]" caption="Branch_Name" attribute="1" defaultMemberUniqueName="[dim_account_exe].[Branch_Name].[All]" allUniqueName="[dim_account_exe].[Branch_Name].[All]" dimensionUniqueName="[dim_account_exe]" displayFolder="" count="2" memberValueDatatype="130" unbalanced="0"/>
    <cacheHierarchy uniqueName="[dim_account_exe].[Role]" caption="Role" attribute="1" defaultMemberUniqueName="[dim_account_exe].[Role].[All]" allUniqueName="[dim_account_exe].[Role].[All]" dimensionUniqueName="[dim_account_exe]" displayFolder="" count="2"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2" memberValueDatatype="130" unbalanced="0"/>
    <cacheHierarchy uniqueName="[dim_account_exe].[Email]" caption="Email" attribute="1" defaultMemberUniqueName="[dim_account_exe].[Email].[All]" allUniqueName="[dim_account_exe].[Email].[All]" dimensionUniqueName="[dim_account_exe]" displayFolder="" count="2" memberValueDatatype="130" unbalanced="0"/>
    <cacheHierarchy uniqueName="[dim_branch].[Branch_ID]" caption="Branch_ID" attribute="1" defaultMemberUniqueName="[dim_branch].[Branch_ID].[All]" allUniqueName="[dim_branch].[Branch_ID].[All]" dimensionUniqueName="[dim_branch]" displayFolder="" count="2"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2" memberValueDatatype="130" unbalanced="0"/>
    <cacheHierarchy uniqueName="[dim_branch].[Region]" caption="Region" attribute="1" defaultMemberUniqueName="[dim_branch].[Region].[All]" allUniqueName="[dim_branch].[Region].[All]" dimensionUniqueName="[dim_branch]" displayFolder="" count="2" memberValueDatatype="130" unbalanced="0"/>
    <cacheHierarchy uniqueName="[dim_branch].[BranchHead_ID]" caption="BranchHead_ID" attribute="1" defaultMemberUniqueName="[dim_branch].[BranchHead_ID].[All]" allUniqueName="[dim_branch].[BranchHead_ID].[All]" dimensionUniqueName="[dim_branch]" displayFolder="" count="2" memberValueDatatype="130" unbalanced="0"/>
    <cacheHierarchy uniqueName="[dim_branch].[BranchHead_Name]" caption="BranchHead_Name" attribute="1" defaultMemberUniqueName="[dim_branch].[BranchHead_Name].[All]" allUniqueName="[dim_branch].[BranchHead_Name].[All]" dimensionUniqueName="[dim_branch]" displayFolder="" count="2" memberValueDatatype="130" unbalanced="0"/>
    <cacheHierarchy uniqueName="[dim_branch].[Established_Year]" caption="Established_Year" attribute="1" defaultMemberUniqueName="[dim_branch].[Established_Year].[All]" allUniqueName="[dim_branch].[Established_Year].[All]" dimensionUniqueName="[dim_branch]" displayFolder="" count="2" memberValueDatatype="20" unbalanced="0"/>
    <cacheHierarchy uniqueName="[dim_branch].[Target_FY_Lakh]" caption="Target_FY_Lakh" attribute="1" defaultMemberUniqueName="[dim_branch].[Target_FY_Lakh].[All]" allUniqueName="[dim_branch].[Target_FY_Lakh].[All]" dimensionUniqueName="[dim_branch]" displayFolder="" count="2" memberValueDatatype="5" unbalanced="0"/>
    <cacheHierarchy uniqueName="[dim_client].[Client_ID]" caption="Client_ID" attribute="1" defaultMemberUniqueName="[dim_client].[Client_ID].[All]" allUniqueName="[dim_client].[Client_ID].[All]" dimensionUniqueName="[dim_client]" displayFolder="" count="2" memberValueDatatype="130" unbalanced="0"/>
    <cacheHierarchy uniqueName="[dim_client].[Client_Name]" caption="Client_Name" attribute="1" defaultMemberUniqueName="[dim_client].[Client_Name].[All]" allUniqueName="[dim_client].[Client_Name].[All]" dimensionUniqueName="[dim_client]" displayFolder="" count="2" memberValueDatatype="130" unbalanced="0"/>
    <cacheHierarchy uniqueName="[dim_client].[Industry]" caption="Industry" attribute="1" defaultMemberUniqueName="[dim_client].[Industry].[All]" allUniqueName="[dim_client].[Industry].[All]" dimensionUniqueName="[dim_client]" displayFolder="" count="2" memberValueDatatype="130" unbalanced="0"/>
    <cacheHierarchy uniqueName="[dim_client].[City]" caption="City" attribute="1" defaultMemberUniqueName="[dim_client].[City].[All]" allUniqueName="[dim_client].[City].[All]" dimensionUniqueName="[dim_client]" displayFolder="" count="2" memberValueDatatype="130" unbalanced="0"/>
    <cacheHierarchy uniqueName="[dim_client].[State]" caption="State" attribute="1" defaultMemberUniqueName="[dim_client].[State].[All]" allUniqueName="[dim_client].[State].[All]" dimensionUniqueName="[dim_client]" displayFolder="" count="2" memberValueDatatype="130" unbalanced="0"/>
    <cacheHierarchy uniqueName="[dim_client].[Client_Since]" caption="Client_Since" attribute="1" time="1" defaultMemberUniqueName="[dim_client].[Client_Since].[All]" allUniqueName="[dim_client].[Client_Since].[All]" dimensionUniqueName="[dim_client]" displayFolder="" count="2" memberValueDatatype="7" unbalanced="0"/>
    <cacheHierarchy uniqueName="[dim_client].[Segment]" caption="Segment" attribute="1" defaultMemberUniqueName="[dim_client].[Segment].[All]" allUniqueName="[dim_client].[Segment].[All]" dimensionUniqueName="[dim_client]" displayFolder="" count="2" memberValueDatatype="130" unbalanced="0"/>
    <cacheHierarchy uniqueName="[dim_client].[RM_ID]" caption="RM_ID" attribute="1" defaultMemberUniqueName="[dim_client].[RM_ID].[All]" allUniqueName="[dim_client].[RM_ID].[All]" dimensionUniqueName="[dim_client]" displayFolder="" count="2" memberValueDatatype="130" unbalanced="0"/>
    <cacheHierarchy uniqueName="[dim_policy].[Policy_ID]" caption="Policy_ID" attribute="1" defaultMemberUniqueName="[dim_policy].[Policy_ID].[All]" allUniqueName="[dim_policy].[Policy_ID].[All]" dimensionUniqueName="[dim_policy]" displayFolder="" count="2" memberValueDatatype="130" unbalanced="0"/>
    <cacheHierarchy uniqueName="[dim_policy].[Policy_Number]" caption="Policy_Number" attribute="1" defaultMemberUniqueName="[dim_policy].[Policy_Number].[All]" allUniqueName="[dim_policy].[Policy_Number].[All]" dimensionUniqueName="[dim_policy]" displayFolder="" count="2" memberValueDatatype="130" unbalanced="0"/>
    <cacheHierarchy uniqueName="[dim_policy].[Product_Group]" caption="Product_Group" attribute="1" defaultMemberUniqueName="[dim_policy].[Product_Group].[All]" allUniqueName="[dim_policy].[Product_Group].[All]" dimensionUniqueName="[dim_policy]" displayFolder="" count="2" memberValueDatatype="130" unbalanced="0"/>
    <cacheHierarchy uniqueName="[dim_policy].[Policy_Status]" caption="Policy_Status" attribute="1" defaultMemberUniqueName="[dim_policy].[Policy_Status].[All]" allUniqueName="[dim_policy].[Policy_Status].[All]" dimensionUniqueName="[dim_policy]" displayFolder="" count="2" memberValueDatatype="130" unbalanced="0"/>
    <cacheHierarchy uniqueName="[dim_policy].[Policy_Start_Date]" caption="Policy_Start_Date" attribute="1" time="1" defaultMemberUniqueName="[dim_policy].[Policy_Start_Date].[All]" allUniqueName="[dim_policy].[Policy_Start_Date].[All]" dimensionUniqueName="[dim_policy]" displayFolder="" count="2" memberValueDatatype="7" unbalanced="0"/>
    <cacheHierarchy uniqueName="[dim_policy].[Policy_End_Date]" caption="Policy_End_Date" attribute="1" time="1" defaultMemberUniqueName="[dim_policy].[Policy_End_Date].[All]" allUniqueName="[dim_policy].[Policy_End_Date].[All]" dimensionUniqueName="[dim_policy]" displayFolder="" count="2" memberValueDatatype="7" unbalanced="0"/>
    <cacheHierarchy uniqueName="[dim_policy].[Renewal_Status]" caption="Renewal_Status" attribute="1" defaultMemberUniqueName="[dim_policy].[Renewal_Status].[All]" allUniqueName="[dim_policy].[Renewal_Status].[All]" dimensionUniqueName="[dim_policy]" displayFolder="" count="2"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2"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2" memberValueDatatype="130" unbalanced="0"/>
    <cacheHierarchy uniqueName="[dim_solution_group].[Segment]" caption="Segment" attribute="1" defaultMemberUniqueName="[dim_solution_group].[Segment].[All]" allUniqueName="[dim_solution_group].[Segment].[All]" dimensionUniqueName="[dim_solution_group]" displayFolder="" count="2" memberValueDatatype="130" unbalanced="0"/>
    <cacheHierarchy uniqueName="[dim_solution_group].[Category]" caption="Category" attribute="1" defaultMemberUniqueName="[dim_solution_group].[Category].[All]" allUniqueName="[dim_solution_group].[Category].[All]" dimensionUniqueName="[dim_solution_group]" displayFolder="" count="2" memberValueDatatype="130" unbalanced="0"/>
    <cacheHierarchy uniqueName="[fees].[client_name]" caption="client_name" attribute="1" defaultMemberUniqueName="[fees].[client_name].[All]" allUniqueName="[fees].[client_name].[All]" dimensionUniqueName="[fees]" displayFolder="" count="2" memberValueDatatype="130" unbalanced="0"/>
    <cacheHierarchy uniqueName="[fees].[branch_name]" caption="branch_name" attribute="1" defaultMemberUniqueName="[fees].[branch_name].[All]" allUniqueName="[fees].[branch_name].[All]" dimensionUniqueName="[fees]" displayFolder="" count="2" memberValueDatatype="130" unbalanced="0"/>
    <cacheHierarchy uniqueName="[fees].[solution_group]" caption="solution_group" attribute="1" defaultMemberUniqueName="[fees].[solution_group].[All]" allUniqueName="[fees].[solution_group].[All]" dimensionUniqueName="[fees]" displayFolder="" count="2" memberValueDatatype="130" unbalanced="0"/>
    <cacheHierarchy uniqueName="[fees].[Exec_ID]" caption="Exec_ID" attribute="1" defaultMemberUniqueName="[fees].[Exec_ID].[All]" allUniqueName="[fees].[Exec_ID].[All]" dimensionUniqueName="[fees]" displayFolder="" count="2" memberValueDatatype="130" unbalanced="0"/>
    <cacheHierarchy uniqueName="[fees].[Account_Executive]" caption="Account_Executive" attribute="1" defaultMemberUniqueName="[fees].[Account_Executive].[All]" allUniqueName="[fees].[Account_Executive].[All]" dimensionUniqueName="[fees]" displayFolder="" count="2" memberValueDatatype="130" unbalanced="0"/>
    <cacheHierarchy uniqueName="[fees].[income_class]" caption="income_class" attribute="1" defaultMemberUniqueName="[fees].[income_class].[All]" allUniqueName="[fees].[income_class].[All]" dimensionUniqueName="[fees]" displayFolder="" count="2" memberValueDatatype="130" unbalanced="0"/>
    <cacheHierarchy uniqueName="[fees].[Amount]" caption="Amount" attribute="1" defaultMemberUniqueName="[fees].[Amount].[All]" allUniqueName="[fees].[Amount].[All]" dimensionUniqueName="[fees]" displayFolder="" count="2" memberValueDatatype="5" unbalanced="0"/>
    <cacheHierarchy uniqueName="[fees].[income_due_date]" caption="income_due_date" attribute="1" time="1" defaultMemberUniqueName="[fees].[income_due_date].[All]" allUniqueName="[fees].[income_due_date].[All]" dimensionUniqueName="[fees]" displayFolder="" count="2" memberValueDatatype="7" unbalanced="0"/>
    <cacheHierarchy uniqueName="[fees].[revenue_transaction_type]" caption="revenue_transaction_type" attribute="1" defaultMemberUniqueName="[fees].[revenue_transaction_type].[All]" allUniqueName="[fees].[revenue_transaction_type].[All]" dimensionUniqueName="[fees]" displayFolder="" count="2"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5"/>
      </fieldsUsage>
    </cacheHierarchy>
    <cacheHierarchy uniqueName="[Individual_Budgets].[Exec_ID]" caption="Exec_ID" attribute="1" defaultMemberUniqueName="[Individual_Budgets].[Exec_ID].[All]" allUniqueName="[Individual_Budgets].[Exec_ID].[All]" dimensionUniqueName="[Individual_Budgets]" displayFolder="" count="2"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2" memberValueDatatype="130" unbalanced="0"/>
    <cacheHierarchy uniqueName="[Individual_Budgets].[New_Role2]" caption="New_Role2" attribute="1" defaultMemberUniqueName="[Individual_Budgets].[New_Role2].[All]" allUniqueName="[Individual_Budgets].[New_Role2].[All]" dimensionUniqueName="[Individual_Budgets]" displayFolder="" count="2" memberValueDatatype="130" unbalanced="0"/>
    <cacheHierarchy uniqueName="[Individual_Budgets].[Budget_New]" caption="Budget_New" attribute="1" defaultMemberUniqueName="[Individual_Budgets].[Budget_New].[All]" allUniqueName="[Individual_Budgets].[Budget_New].[All]" dimensionUniqueName="[Individual_Budgets]" displayFolder="" count="2"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2"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2" memberValueDatatype="5" unbalanced="0"/>
    <cacheHierarchy uniqueName="[invoice].[invoice_number]" caption="invoice_number" attribute="1" defaultMemberUniqueName="[invoice].[invoice_number].[All]" allUniqueName="[invoice].[invoice_number].[All]" dimensionUniqueName="[invoice]" displayFolder="" count="2" memberValueDatatype="130" unbalanced="0"/>
    <cacheHierarchy uniqueName="[invoice].[invoice_date]" caption="invoice_date" attribute="1" time="1" defaultMemberUniqueName="[invoice].[invoice_date].[All]" allUniqueName="[invoice].[invoice_date].[All]" dimensionUniqueName="[invoice]" displayFolder="" count="2"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2" memberValueDatatype="130" unbalanced="0"/>
    <cacheHierarchy uniqueName="[invoice].[branch_name]" caption="branch_name" attribute="1" defaultMemberUniqueName="[invoice].[branch_name].[All]" allUniqueName="[invoice].[branch_name].[All]" dimensionUniqueName="[invoice]" displayFolder="" count="2" memberValueDatatype="130" unbalanced="0">
      <fieldsUsage count="2">
        <fieldUsage x="-1"/>
        <fieldUsage x="2"/>
      </fieldsUsage>
    </cacheHierarchy>
    <cacheHierarchy uniqueName="[invoice].[solution_group]" caption="solution_group" attribute="1" defaultMemberUniqueName="[invoice].[solution_group].[All]" allUniqueName="[invoice].[solution_group].[All]" dimensionUniqueName="[invoice]" displayFolder="" count="2" memberValueDatatype="130" unbalanced="0"/>
    <cacheHierarchy uniqueName="[invoice].[Exec_ID]" caption="Exec_ID" attribute="1" defaultMemberUniqueName="[invoice].[Exec_ID].[All]" allUniqueName="[invoice].[Exec_ID].[All]" dimensionUniqueName="[invoice]" displayFolder="" count="2" memberValueDatatype="130" unbalanced="0"/>
    <cacheHierarchy uniqueName="[invoice].[Account_Executive]" caption="Account_Executive" attribute="1" defaultMemberUniqueName="[invoice].[Account_Executive].[All]" allUniqueName="[invoice].[Account_Executive].[All]" dimensionUniqueName="[invoice]" displayFolder="" count="2" memberValueDatatype="130" unbalanced="0">
      <fieldsUsage count="2">
        <fieldUsage x="-1"/>
        <fieldUsage x="0"/>
      </fieldsUsage>
    </cacheHierarchy>
    <cacheHierarchy uniqueName="[invoice].[income_class]" caption="income_class" attribute="1" defaultMemberUniqueName="[invoice].[income_class].[All]" allUniqueName="[invoice].[income_class].[All]" dimensionUniqueName="[invoice]" displayFolder="" count="2" memberValueDatatype="130" unbalanced="0">
      <fieldsUsage count="2">
        <fieldUsage x="-1"/>
        <fieldUsage x="6"/>
      </fieldsUsage>
    </cacheHierarchy>
    <cacheHierarchy uniqueName="[invoice].[Client_Name]" caption="Client_Name" attribute="1" defaultMemberUniqueName="[invoice].[Client_Name].[All]" allUniqueName="[invoice].[Client_Name].[All]" dimensionUniqueName="[invoice]" displayFolder="" count="2" memberValueDatatype="130" unbalanced="0"/>
    <cacheHierarchy uniqueName="[invoice].[policy_number]" caption="policy_number" attribute="1" defaultMemberUniqueName="[invoice].[policy_number].[All]" allUniqueName="[invoice].[policy_number].[All]" dimensionUniqueName="[invoice]" displayFolder="" count="2" memberValueDatatype="130" unbalanced="0"/>
    <cacheHierarchy uniqueName="[invoice].[Amount]" caption="Amount" attribute="1" defaultMemberUniqueName="[invoice].[Amount].[All]" allUniqueName="[invoice].[Amount].[All]" dimensionUniqueName="[invoice]" displayFolder="" count="2" memberValueDatatype="5" unbalanced="0"/>
    <cacheHierarchy uniqueName="[invoice].[income_due_date]" caption="income_due_date" attribute="1" time="1" defaultMemberUniqueName="[invoice].[income_due_date].[All]" allUniqueName="[invoice].[income_due_date].[All]" dimensionUniqueName="[invoice]" displayFolder="" count="2" memberValueDatatype="7" unbalanced="0"/>
    <cacheHierarchy uniqueName="[invoice].[dim_policy.Policy_ID]" caption="dim_policy.Policy_ID" attribute="1" defaultMemberUniqueName="[invoice].[dim_policy.Policy_ID].[All]" allUniqueName="[invoice].[dim_policy.Policy_ID].[All]" dimensionUniqueName="[invoice]" displayFolder="" count="2" memberValueDatatype="130" unbalanced="0"/>
    <cacheHierarchy uniqueName="[invoice].[Industry]" caption="Industry" attribute="1" defaultMemberUniqueName="[invoice].[Industry].[All]" allUniqueName="[invoice].[Industry].[All]" dimensionUniqueName="[invoice]" displayFolder="" count="2" memberValueDatatype="130" unbalanced="0"/>
    <cacheHierarchy uniqueName="[invoice].[Segment]" caption="Segment" attribute="1" defaultMemberUniqueName="[invoice].[Segment].[All]" allUniqueName="[invoice].[Segment].[All]" dimensionUniqueName="[invoice]" displayFolder="" count="2"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2" memberValueDatatype="130" unbalanced="0"/>
    <cacheHierarchy uniqueName="[invoice].[invoice_date (Month)]" caption="invoice_date (Month)" attribute="1" defaultMemberUniqueName="[invoice].[invoice_date (Month)].[All]" allUniqueName="[invoice].[invoice_date (Month)].[All]" dimensionUniqueName="[invoice]" displayFolder="" count="2" memberValueDatatype="130" unbalanced="0"/>
    <cacheHierarchy uniqueName="[meeting].[Account Exe ID]" caption="Account Exe ID" attribute="1" defaultMemberUniqueName="[meeting].[Account Exe ID].[All]" allUniqueName="[meeting].[Account Exe ID].[All]" dimensionUniqueName="[meeting]" displayFolder="" count="2" memberValueDatatype="130" unbalanced="0"/>
    <cacheHierarchy uniqueName="[meeting].[Account Executive]" caption="Account Executive" attribute="1" defaultMemberUniqueName="[meeting].[Account Executive].[All]" allUniqueName="[meeting].[Account Executive].[All]" dimensionUniqueName="[meeting]" displayFolder="" count="2" memberValueDatatype="130" unbalanced="0"/>
    <cacheHierarchy uniqueName="[meeting].[branch_name]" caption="branch_name" attribute="1" defaultMemberUniqueName="[meeting].[branch_name].[All]" allUniqueName="[meeting].[branch_name].[All]" dimensionUniqueName="[meeting]" displayFolder="" count="2" memberValueDatatype="130" unbalanced="0"/>
    <cacheHierarchy uniqueName="[meeting].[global_attendees]" caption="global_attendees" attribute="1" defaultMemberUniqueName="[meeting].[global_attendees].[All]" allUniqueName="[meeting].[global_attendees].[All]" dimensionUniqueName="[meeting]" displayFolder="" count="2" memberValueDatatype="130" unbalanced="0"/>
    <cacheHierarchy uniqueName="[meeting].[meeting_date]" caption="meeting_date" attribute="1" time="1" defaultMemberUniqueName="[meeting].[meeting_date].[All]" allUniqueName="[meeting].[meeting_date].[All]" dimensionUniqueName="[meeting]" displayFolder="" count="2" memberValueDatatype="7"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cacheHierarchy uniqueName="[Opportunity].[opportunity_id]" caption="opportunity_id" attribute="1" defaultMemberUniqueName="[Opportunity].[opportunity_id].[All]" allUniqueName="[Opportunity].[opportunity_id].[All]" dimensionUniqueName="[Opportunity]" displayFolder="" count="2" memberValueDatatype="130" unbalanced="0"/>
    <cacheHierarchy uniqueName="[Opportunity].[Account Exe Id]" caption="Account Exe Id" attribute="1" defaultMemberUniqueName="[Opportunity].[Account Exe Id].[All]" allUniqueName="[Opportunity].[Account Exe Id].[All]" dimensionUniqueName="[Opportunity]" displayFolder="" count="2" memberValueDatatype="20" unbalanced="0"/>
    <cacheHierarchy uniqueName="[Opportunity].[Account Executive]" caption="Account Executive" attribute="1" defaultMemberUniqueName="[Opportunity].[Account Executive].[All]" allUniqueName="[Opportunity].[Account Executive].[All]" dimensionUniqueName="[Opportunity]" displayFolder="" count="2" memberValueDatatype="130" unbalanced="0"/>
    <cacheHierarchy uniqueName="[Opportunity].[premium_amount]" caption="premium_amount" attribute="1" defaultMemberUniqueName="[Opportunity].[premium_amount].[All]" allUniqueName="[Opportunity].[premium_amount].[All]" dimensionUniqueName="[Opportunity]" displayFolder="" count="2" memberValueDatatype="20" unbalanced="0"/>
    <cacheHierarchy uniqueName="[Opportunity].[revenue_amount]" caption="revenue_amount" attribute="1" defaultMemberUniqueName="[Opportunity].[revenue_amount].[All]" allUniqueName="[Opportunity].[revenue_amount].[All]" dimensionUniqueName="[Opportunity]" displayFolder="" count="2" memberValueDatatype="20" unbalanced="0"/>
    <cacheHierarchy uniqueName="[Opportunity].[closing_date]" caption="closing_date" attribute="1" time="1" defaultMemberUniqueName="[Opportunity].[closing_date].[All]" allUniqueName="[Opportunity].[closing_date].[All]" dimensionUniqueName="[Opportunity]" displayFolder="" count="2" memberValueDatatype="7" unbalanced="0"/>
    <cacheHierarchy uniqueName="[Opportunity].[stage]" caption="stage" attribute="1" defaultMemberUniqueName="[Opportunity].[stage].[All]" allUniqueName="[Opportunity].[stage].[All]" dimensionUniqueName="[Opportunity]" displayFolder="" count="2" memberValueDatatype="130" unbalanced="0"/>
    <cacheHierarchy uniqueName="[Opportunity].[branch]" caption="branch" attribute="1" defaultMemberUniqueName="[Opportunity].[branch].[All]" allUniqueName="[Opportunity].[branch].[All]" dimensionUniqueName="[Opportunity]" displayFolder="" count="2" memberValueDatatype="130" unbalanced="0"/>
    <cacheHierarchy uniqueName="[Opportunity].[specialty]" caption="specialty" attribute="1" defaultMemberUniqueName="[Opportunity].[specialty].[All]" allUniqueName="[Opportunity].[specialty].[All]" dimensionUniqueName="[Opportunity]" displayFolder="" count="2" memberValueDatatype="130" unbalanced="0"/>
    <cacheHierarchy uniqueName="[Opportunity].[product_group]" caption="product_group" attribute="1" defaultMemberUniqueName="[Opportunity].[product_group].[All]" allUniqueName="[Opportunity].[product_group].[All]" dimensionUniqueName="[Opportunity]" displayFolder="" count="2" memberValueDatatype="130" unbalanced="0"/>
    <cacheHierarchy uniqueName="[Opportunity].[product_sub_group]" caption="product_sub_group" attribute="1" defaultMemberUniqueName="[Opportunity].[product_sub_group].[All]" allUniqueName="[Opportunity].[product_sub_group].[All]" dimensionUniqueName="[Opportunity]" displayFolder="" count="2" memberValueDatatype="130" unbalanced="0"/>
    <cacheHierarchy uniqueName="[Opportunity].[risk_details]" caption="risk_details" attribute="1" defaultMemberUniqueName="[Opportunity].[risk_details].[All]" allUniqueName="[Opportunity].[risk_details].[All]" dimensionUniqueName="[Opportunity]" displayFolder="" count="2"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2"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oneField="1">
      <fieldsUsage count="1">
        <fieldUsage x="1"/>
      </fieldsUsage>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oneField="1">
      <fieldsUsage count="1">
        <fieldUsage x="4"/>
      </fieldsUsage>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oneField="1">
      <fieldsUsage count="1">
        <fieldUsage x="3"/>
      </fieldsUsage>
    </cacheHierarchy>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86111111" backgroundQuery="1" createdVersion="8" refreshedVersion="8" minRefreshableVersion="3" recordCount="0" supportSubquery="1" supportAdvancedDrill="1" xr:uid="{0ED69DB4-B097-46D7-9769-A6B4FB38B78A}">
  <cacheSource type="external" connectionId="14"/>
  <cacheFields count="6">
    <cacheField name="[Measures].[Invoices_by_Exec]" caption="Invoices_by_Exec" numFmtId="0" hierarchy="142" level="32767"/>
    <cacheField name="[Measures].[Revenue_per_Invoice]" caption="Revenue_per_Invoice" numFmtId="0" hierarchy="145" level="32767"/>
    <cacheField name="[Measures].[RevenueGrowth%_YoY ]" caption="RevenueGrowth%_YoY " numFmtId="0" hierarchy="157" level="32767"/>
    <cacheField name="[invoice].[invoice_date (Year)].[invoice_date (Year)]" caption="invoice_date (Year)" numFmtId="0" hierarchy="89" level="1">
      <sharedItems count="2">
        <s v="2019"/>
        <s v="2020"/>
      </sharedItems>
    </cacheField>
    <cacheField name="[Individual_Budgets].[Branch].[Branch]" caption="Branch" numFmtId="0" hierarchy="67" level="1">
      <sharedItems containsSemiMixedTypes="0" containsNonDate="0" containsString="0"/>
    </cacheField>
    <cacheField name="[invoice].[income_class].[income_class]" caption="income_class" numFmtId="0" hierarchy="81"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4"/>
      </fieldsUsage>
    </cacheHierarchy>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2" memberValueDatatype="130" unbalanced="0">
      <fieldsUsage count="2">
        <fieldUsage x="-1"/>
        <fieldUsage x="5"/>
      </fieldsUsage>
    </cacheHierarchy>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fieldsUsage count="2">
        <fieldUsage x="-1"/>
        <fieldUsage x="3"/>
      </fieldsUsage>
    </cacheHierarchy>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oneField="1">
      <fieldsUsage count="1">
        <fieldUsage x="0"/>
      </fieldsUsage>
    </cacheHierarchy>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oneField="1">
      <fieldsUsage count="1">
        <fieldUsage x="1"/>
      </fieldsUsage>
    </cacheHierarchy>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oneField="1">
      <fieldsUsage count="1">
        <fieldUsage x="2"/>
      </fieldsUsage>
    </cacheHierarchy>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85648149" backgroundQuery="1" createdVersion="8" refreshedVersion="8" minRefreshableVersion="3" recordCount="0" supportSubquery="1" supportAdvancedDrill="1" xr:uid="{8EF64FCF-30EA-4142-AF31-C884E099A960}">
  <cacheSource type="external" connectionId="14"/>
  <cacheFields count="4">
    <cacheField name="[invoice].[income_class].[income_class]" caption="income_class" numFmtId="0" hierarchy="81" level="1">
      <sharedItems count="3">
        <s v="Cross Sell"/>
        <s v="New"/>
        <s v="Renewal"/>
      </sharedItems>
    </cacheField>
    <cacheField name="[Measures].[Count of invoice_number]" caption="Count of invoice_number" numFmtId="0" hierarchy="119" level="32767"/>
    <cacheField name="[invoice].[branch_name].[branch_name]" caption="branch_name" numFmtId="0" hierarchy="77" level="1">
      <sharedItems count="7">
        <s v="Ahmedabad"/>
        <s v="Bangalore"/>
        <s v="Chennai"/>
        <s v="Delhi"/>
        <s v="Hyderabad"/>
        <s v="Mumbai"/>
        <s v="Pune"/>
      </sharedItems>
    </cacheField>
    <cacheField name="[Individual_Budgets].[Branch].[Branch]" caption="Branch" numFmtId="0" hierarchy="67"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3"/>
      </fieldsUsage>
    </cacheHierarchy>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2" memberValueDatatype="130" unbalanced="0">
      <fieldsUsage count="2">
        <fieldUsage x="-1"/>
        <fieldUsage x="2"/>
      </fieldsUsage>
    </cacheHierarchy>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2" memberValueDatatype="130" unbalanced="0">
      <fieldsUsage count="2">
        <fieldUsage x="-1"/>
        <fieldUsage x="0"/>
      </fieldsUsage>
    </cacheHierarchy>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oneField="1">
      <fieldsUsage count="1">
        <fieldUsage x="1"/>
      </fieldsUsage>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91898146" backgroundQuery="1" createdVersion="8" refreshedVersion="8" minRefreshableVersion="3" recordCount="0" supportSubquery="1" supportAdvancedDrill="1" xr:uid="{4E396A6E-72CF-47E3-B40C-3163E6B303C2}">
  <cacheSource type="external" connectionId="14"/>
  <cacheFields count="5">
    <cacheField name="[Measures].[Revenue_per_Client]" caption="Revenue_per_Client" numFmtId="0" hierarchy="165" level="32767"/>
    <cacheField name="[invoice].[branch_name].[branch_name]" caption="branch_name" numFmtId="0" hierarchy="77" level="1">
      <sharedItems count="7">
        <s v="Ahmedabad"/>
        <s v="Bangalore"/>
        <s v="Chennai"/>
        <s v="Delhi"/>
        <s v="Hyderabad"/>
        <s v="Mumbai"/>
        <s v="Pune"/>
      </sharedItems>
    </cacheField>
    <cacheField name="[invoice].[Account_Executive].[Account_Executive]" caption="Account_Executive" numFmtId="0" hierarchy="80" level="1">
      <sharedItems count="41">
        <s v="Abhinav Shivam"/>
        <s v="Animesh Rawat"/>
        <s v="Gilbert"/>
        <s v="Juli"/>
        <s v="Ketan Jain"/>
        <s v="Mark"/>
        <s v="Vidit Shah"/>
        <s v="Vinay"/>
        <s v="Arjun Prabhu"/>
        <s v="Divya Menon"/>
        <s v="Karthik Iyer"/>
        <s v="Meera Pillai"/>
        <s v="Rahul Kumar"/>
        <s v="Sneha Rao"/>
        <s v="Ananya Suresh"/>
        <s v="Lakshmi Rajan"/>
        <s v="Muthu Raman"/>
        <s v="Pradeep Mohan"/>
        <s v="Vijay Krishnan"/>
        <s v="Arun Khanna"/>
        <s v="Deepak Verma"/>
        <s v="Kavya Sharma"/>
        <s v="Mohit Gupta"/>
        <s v="Ritu Saxena"/>
        <s v="Sunita Arora"/>
        <s v="Bhavani Devi"/>
        <s v="Chandra Mouli"/>
        <s v="Madhavi Latha"/>
        <s v="Ravi Shankar"/>
        <s v="Srinivas Rao"/>
        <s v="Anjali Mehta"/>
        <s v="Neha Joshi"/>
        <s v="Pooja Singhania"/>
        <s v="Rohit Desai"/>
        <s v="Sanjay Patil"/>
        <s v="Vikram Shah"/>
        <s v="Nitin Joshi"/>
        <s v="Pallavi More"/>
        <s v="Rekha Pawar"/>
        <s v="Sachin Bhor"/>
        <s v="Swati Deshpande"/>
      </sharedItems>
    </cacheField>
    <cacheField name="[Individual_Budgets].[Branch].[Branch]" caption="Branch" numFmtId="0" hierarchy="67" level="1">
      <sharedItems containsSemiMixedTypes="0" containsNonDate="0" containsString="0"/>
    </cacheField>
    <cacheField name="[invoice].[Segment].[Segment]" caption="Segment" numFmtId="0" hierarchy="88"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2" memberValueDatatype="130" unbalanced="0"/>
    <cacheHierarchy uniqueName="[brokerage].[policy_number]" caption="policy_number" attribute="1" defaultMemberUniqueName="[brokerage].[policy_number].[All]" allUniqueName="[brokerage].[policy_number].[All]" dimensionUniqueName="[brokerage]" displayFolder="" count="2" memberValueDatatype="130" unbalanced="0"/>
    <cacheHierarchy uniqueName="[brokerage].[policy_status]" caption="policy_status" attribute="1" defaultMemberUniqueName="[brokerage].[policy_status].[All]" allUniqueName="[brokerage].[policy_status].[All]" dimensionUniqueName="[brokerage]" displayFolder="" count="2" memberValueDatatype="130" unbalanced="0"/>
    <cacheHierarchy uniqueName="[brokerage].[Amount]" caption="Amount" attribute="1" defaultMemberUniqueName="[brokerage].[Amount].[All]" allUniqueName="[brokerage].[Amount].[All]" dimensionUniqueName="[brokerage]" displayFolder="" count="2" memberValueDatatype="5" unbalanced="0"/>
    <cacheHierarchy uniqueName="[brokerage].[policy_start_date]" caption="policy_start_date" attribute="1" time="1" defaultMemberUniqueName="[brokerage].[policy_start_date].[All]" allUniqueName="[brokerage].[policy_start_date].[All]" dimensionUniqueName="[brokerage]" displayFolder="" count="2" memberValueDatatype="7" unbalanced="0"/>
    <cacheHierarchy uniqueName="[brokerage].[policy_end_date]" caption="policy_end_date" attribute="1" time="1" defaultMemberUniqueName="[brokerage].[policy_end_date].[All]" allUniqueName="[brokerage].[policy_end_date].[All]" dimensionUniqueName="[brokerage]" displayFolder="" count="2" memberValueDatatype="7" unbalanced="0"/>
    <cacheHierarchy uniqueName="[brokerage].[product_group]" caption="product_group" attribute="1" defaultMemberUniqueName="[brokerage].[product_group].[All]" allUniqueName="[brokerage].[product_group].[All]" dimensionUniqueName="[brokerage]" displayFolder="" count="2" memberValueDatatype="130" unbalanced="0"/>
    <cacheHierarchy uniqueName="[brokerage].[Exec_ID]" caption="Exec_ID" attribute="1" defaultMemberUniqueName="[brokerage].[Exec_ID].[All]" allUniqueName="[brokerage].[Exec_ID].[All]" dimensionUniqueName="[brokerage]" displayFolder="" count="2" memberValueDatatype="130" unbalanced="0"/>
    <cacheHierarchy uniqueName="[brokerage].[Exec_Name]" caption="Exec_Name" attribute="1" defaultMemberUniqueName="[brokerage].[Exec_Name].[All]" allUniqueName="[brokerage].[Exec_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2" memberValueDatatype="130" unbalanced="0"/>
    <cacheHierarchy uniqueName="[brokerage].[solution_group]" caption="solution_group" attribute="1" defaultMemberUniqueName="[brokerage].[solution_group].[All]" allUniqueName="[brokerage].[solution_group].[All]" dimensionUniqueName="[brokerage]" displayFolder="" count="2"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2"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2" memberValueDatatype="130" unbalanced="0"/>
    <cacheHierarchy uniqueName="[brokerage].[renewal_status]" caption="renewal_status" attribute="1" defaultMemberUniqueName="[brokerage].[renewal_status].[All]" allUniqueName="[brokerage].[renewal_status].[All]" dimensionUniqueName="[brokerage]" displayFolder="" count="2" memberValueDatatype="130" unbalanced="0"/>
    <cacheHierarchy uniqueName="[brokerage].[lapse_reason]" caption="lapse_reason" attribute="1" defaultMemberUniqueName="[brokerage].[lapse_reason].[All]" allUniqueName="[brokerage].[lapse_reason].[All]" dimensionUniqueName="[brokerage]" displayFolder="" count="2" memberValueDatatype="130" unbalanced="0"/>
    <cacheHierarchy uniqueName="[brokerage].[last_updated_date]" caption="last_updated_date" attribute="1" time="1" defaultMemberUniqueName="[brokerage].[last_updated_date].[All]" allUniqueName="[brokerage].[last_updated_date].[All]" dimensionUniqueName="[brokerage]" displayFolder="" count="2" memberValueDatatype="7" unbalanced="0"/>
    <cacheHierarchy uniqueName="[brokerage].[Policy_ID]" caption="Policy_ID" attribute="1" defaultMemberUniqueName="[brokerage].[Policy_ID].[All]" allUniqueName="[brokerage].[Policy_ID].[All]" dimensionUniqueName="[brokerage]" displayFolder="" count="2" memberValueDatatype="130" unbalanced="0"/>
    <cacheHierarchy uniqueName="[BudgetAllocation].[Month]" caption="Month" attribute="1" defaultMemberUniqueName="[BudgetAllocation].[Month].[All]" allUniqueName="[BudgetAllocation].[Month].[All]" dimensionUniqueName="[BudgetAllocation]" displayFolder="" count="2" memberValueDatatype="20" unbalanced="0"/>
    <cacheHierarchy uniqueName="[BudgetAllocation].[AllocationPct]" caption="AllocationPct" attribute="1" defaultMemberUniqueName="[BudgetAllocation].[AllocationPct].[All]" allUniqueName="[BudgetAllocation].[AllocationPct].[All]" dimensionUniqueName="[BudgetAllocation]" displayFolder="" count="2" memberValueDatatype="5" unbalanced="0"/>
    <cacheHierarchy uniqueName="[DateTable].[Date]" caption="Date" attribute="1" time="1" keyAttribute="1" defaultMemberUniqueName="[DateTable].[Date].[All]" allUniqueName="[DateTable].[Date].[All]" dimensionUniqueName="[DateTable]" displayFolder="" count="2" memberValueDatatype="7" unbalanced="0"/>
    <cacheHierarchy uniqueName="[DateTable].[Year]" caption="Year" attribute="1" time="1" defaultMemberUniqueName="[DateTable].[Year].[All]" allUniqueName="[DateTable].[Year].[All]" dimensionUniqueName="[DateTable]" displayFolder="" count="2" memberValueDatatype="20" unbalanced="0"/>
    <cacheHierarchy uniqueName="[DateTable].[Month Name]" caption="Month Name" attribute="1" time="1" defaultMemberUniqueName="[DateTable].[Month Name].[All]" allUniqueName="[DateTable].[Month Name].[All]" dimensionUniqueName="[DateTable]" displayFolder="" count="2" memberValueDatatype="130" unbalanced="0"/>
    <cacheHierarchy uniqueName="[DateTable].[Month]" caption="Month" attribute="1" time="1" defaultMemberUniqueName="[DateTable].[Month].[All]" allUniqueName="[DateTable].[Month].[All]" dimensionUniqueName="[DateTable]" displayFolder="" count="2" memberValueDatatype="20" unbalanced="0"/>
    <cacheHierarchy uniqueName="[DateTable].[Quarter]" caption="Quarter" attribute="1" time="1" defaultMemberUniqueName="[DateTable].[Quarter].[All]" allUniqueName="[DateTable].[Quarter].[All]" dimensionUniqueName="[DateTable]" displayFolder="" count="2" memberValueDatatype="20" unbalanced="0"/>
    <cacheHierarchy uniqueName="[dim_account_exe].[Exec_ID]" caption="Exec_ID" attribute="1" defaultMemberUniqueName="[dim_account_exe].[Exec_ID].[All]" allUniqueName="[dim_account_exe].[Exec_ID].[All]" dimensionUniqueName="[dim_account_exe]" displayFolder="" count="2"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2" memberValueDatatype="130" unbalanced="0"/>
    <cacheHierarchy uniqueName="[dim_account_exe].[Branch_Name]" caption="Branch_Name" attribute="1" defaultMemberUniqueName="[dim_account_exe].[Branch_Name].[All]" allUniqueName="[dim_account_exe].[Branch_Name].[All]" dimensionUniqueName="[dim_account_exe]" displayFolder="" count="2" memberValueDatatype="130" unbalanced="0"/>
    <cacheHierarchy uniqueName="[dim_account_exe].[Role]" caption="Role" attribute="1" defaultMemberUniqueName="[dim_account_exe].[Role].[All]" allUniqueName="[dim_account_exe].[Role].[All]" dimensionUniqueName="[dim_account_exe]" displayFolder="" count="2"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2" memberValueDatatype="130" unbalanced="0"/>
    <cacheHierarchy uniqueName="[dim_account_exe].[Email]" caption="Email" attribute="1" defaultMemberUniqueName="[dim_account_exe].[Email].[All]" allUniqueName="[dim_account_exe].[Email].[All]" dimensionUniqueName="[dim_account_exe]" displayFolder="" count="2" memberValueDatatype="130" unbalanced="0"/>
    <cacheHierarchy uniqueName="[dim_branch].[Branch_ID]" caption="Branch_ID" attribute="1" defaultMemberUniqueName="[dim_branch].[Branch_ID].[All]" allUniqueName="[dim_branch].[Branch_ID].[All]" dimensionUniqueName="[dim_branch]" displayFolder="" count="2"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2" memberValueDatatype="130" unbalanced="0"/>
    <cacheHierarchy uniqueName="[dim_branch].[Region]" caption="Region" attribute="1" defaultMemberUniqueName="[dim_branch].[Region].[All]" allUniqueName="[dim_branch].[Region].[All]" dimensionUniqueName="[dim_branch]" displayFolder="" count="2" memberValueDatatype="130" unbalanced="0"/>
    <cacheHierarchy uniqueName="[dim_branch].[BranchHead_ID]" caption="BranchHead_ID" attribute="1" defaultMemberUniqueName="[dim_branch].[BranchHead_ID].[All]" allUniqueName="[dim_branch].[BranchHead_ID].[All]" dimensionUniqueName="[dim_branch]" displayFolder="" count="2" memberValueDatatype="130" unbalanced="0"/>
    <cacheHierarchy uniqueName="[dim_branch].[BranchHead_Name]" caption="BranchHead_Name" attribute="1" defaultMemberUniqueName="[dim_branch].[BranchHead_Name].[All]" allUniqueName="[dim_branch].[BranchHead_Name].[All]" dimensionUniqueName="[dim_branch]" displayFolder="" count="2" memberValueDatatype="130" unbalanced="0"/>
    <cacheHierarchy uniqueName="[dim_branch].[Established_Year]" caption="Established_Year" attribute="1" defaultMemberUniqueName="[dim_branch].[Established_Year].[All]" allUniqueName="[dim_branch].[Established_Year].[All]" dimensionUniqueName="[dim_branch]" displayFolder="" count="2" memberValueDatatype="20" unbalanced="0"/>
    <cacheHierarchy uniqueName="[dim_branch].[Target_FY_Lakh]" caption="Target_FY_Lakh" attribute="1" defaultMemberUniqueName="[dim_branch].[Target_FY_Lakh].[All]" allUniqueName="[dim_branch].[Target_FY_Lakh].[All]" dimensionUniqueName="[dim_branch]" displayFolder="" count="2" memberValueDatatype="5" unbalanced="0"/>
    <cacheHierarchy uniqueName="[dim_client].[Client_ID]" caption="Client_ID" attribute="1" defaultMemberUniqueName="[dim_client].[Client_ID].[All]" allUniqueName="[dim_client].[Client_ID].[All]" dimensionUniqueName="[dim_client]" displayFolder="" count="2" memberValueDatatype="130" unbalanced="0"/>
    <cacheHierarchy uniqueName="[dim_client].[Client_Name]" caption="Client_Name" attribute="1" defaultMemberUniqueName="[dim_client].[Client_Name].[All]" allUniqueName="[dim_client].[Client_Name].[All]" dimensionUniqueName="[dim_client]" displayFolder="" count="2" memberValueDatatype="130" unbalanced="0"/>
    <cacheHierarchy uniqueName="[dim_client].[Industry]" caption="Industry" attribute="1" defaultMemberUniqueName="[dim_client].[Industry].[All]" allUniqueName="[dim_client].[Industry].[All]" dimensionUniqueName="[dim_client]" displayFolder="" count="2" memberValueDatatype="130" unbalanced="0"/>
    <cacheHierarchy uniqueName="[dim_client].[City]" caption="City" attribute="1" defaultMemberUniqueName="[dim_client].[City].[All]" allUniqueName="[dim_client].[City].[All]" dimensionUniqueName="[dim_client]" displayFolder="" count="2" memberValueDatatype="130" unbalanced="0"/>
    <cacheHierarchy uniqueName="[dim_client].[State]" caption="State" attribute="1" defaultMemberUniqueName="[dim_client].[State].[All]" allUniqueName="[dim_client].[State].[All]" dimensionUniqueName="[dim_client]" displayFolder="" count="2" memberValueDatatype="130" unbalanced="0"/>
    <cacheHierarchy uniqueName="[dim_client].[Client_Since]" caption="Client_Since" attribute="1" time="1" defaultMemberUniqueName="[dim_client].[Client_Since].[All]" allUniqueName="[dim_client].[Client_Since].[All]" dimensionUniqueName="[dim_client]" displayFolder="" count="2" memberValueDatatype="7" unbalanced="0"/>
    <cacheHierarchy uniqueName="[dim_client].[Segment]" caption="Segment" attribute="1" defaultMemberUniqueName="[dim_client].[Segment].[All]" allUniqueName="[dim_client].[Segment].[All]" dimensionUniqueName="[dim_client]" displayFolder="" count="2" memberValueDatatype="130" unbalanced="0"/>
    <cacheHierarchy uniqueName="[dim_client].[RM_ID]" caption="RM_ID" attribute="1" defaultMemberUniqueName="[dim_client].[RM_ID].[All]" allUniqueName="[dim_client].[RM_ID].[All]" dimensionUniqueName="[dim_client]" displayFolder="" count="2" memberValueDatatype="130" unbalanced="0"/>
    <cacheHierarchy uniqueName="[dim_policy].[Policy_ID]" caption="Policy_ID" attribute="1" defaultMemberUniqueName="[dim_policy].[Policy_ID].[All]" allUniqueName="[dim_policy].[Policy_ID].[All]" dimensionUniqueName="[dim_policy]" displayFolder="" count="2" memberValueDatatype="130" unbalanced="0"/>
    <cacheHierarchy uniqueName="[dim_policy].[Policy_Number]" caption="Policy_Number" attribute="1" defaultMemberUniqueName="[dim_policy].[Policy_Number].[All]" allUniqueName="[dim_policy].[Policy_Number].[All]" dimensionUniqueName="[dim_policy]" displayFolder="" count="2" memberValueDatatype="130" unbalanced="0"/>
    <cacheHierarchy uniqueName="[dim_policy].[Product_Group]" caption="Product_Group" attribute="1" defaultMemberUniqueName="[dim_policy].[Product_Group].[All]" allUniqueName="[dim_policy].[Product_Group].[All]" dimensionUniqueName="[dim_policy]" displayFolder="" count="2" memberValueDatatype="130" unbalanced="0"/>
    <cacheHierarchy uniqueName="[dim_policy].[Policy_Status]" caption="Policy_Status" attribute="1" defaultMemberUniqueName="[dim_policy].[Policy_Status].[All]" allUniqueName="[dim_policy].[Policy_Status].[All]" dimensionUniqueName="[dim_policy]" displayFolder="" count="2" memberValueDatatype="130" unbalanced="0"/>
    <cacheHierarchy uniqueName="[dim_policy].[Policy_Start_Date]" caption="Policy_Start_Date" attribute="1" time="1" defaultMemberUniqueName="[dim_policy].[Policy_Start_Date].[All]" allUniqueName="[dim_policy].[Policy_Start_Date].[All]" dimensionUniqueName="[dim_policy]" displayFolder="" count="2" memberValueDatatype="7" unbalanced="0"/>
    <cacheHierarchy uniqueName="[dim_policy].[Policy_End_Date]" caption="Policy_End_Date" attribute="1" time="1" defaultMemberUniqueName="[dim_policy].[Policy_End_Date].[All]" allUniqueName="[dim_policy].[Policy_End_Date].[All]" dimensionUniqueName="[dim_policy]" displayFolder="" count="2" memberValueDatatype="7" unbalanced="0"/>
    <cacheHierarchy uniqueName="[dim_policy].[Renewal_Status]" caption="Renewal_Status" attribute="1" defaultMemberUniqueName="[dim_policy].[Renewal_Status].[All]" allUniqueName="[dim_policy].[Renewal_Status].[All]" dimensionUniqueName="[dim_policy]" displayFolder="" count="2"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2"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2" memberValueDatatype="130" unbalanced="0"/>
    <cacheHierarchy uniqueName="[dim_solution_group].[Segment]" caption="Segment" attribute="1" defaultMemberUniqueName="[dim_solution_group].[Segment].[All]" allUniqueName="[dim_solution_group].[Segment].[All]" dimensionUniqueName="[dim_solution_group]" displayFolder="" count="2" memberValueDatatype="130" unbalanced="0"/>
    <cacheHierarchy uniqueName="[dim_solution_group].[Category]" caption="Category" attribute="1" defaultMemberUniqueName="[dim_solution_group].[Category].[All]" allUniqueName="[dim_solution_group].[Category].[All]" dimensionUniqueName="[dim_solution_group]" displayFolder="" count="2" memberValueDatatype="130" unbalanced="0"/>
    <cacheHierarchy uniqueName="[fees].[client_name]" caption="client_name" attribute="1" defaultMemberUniqueName="[fees].[client_name].[All]" allUniqueName="[fees].[client_name].[All]" dimensionUniqueName="[fees]" displayFolder="" count="2" memberValueDatatype="130" unbalanced="0"/>
    <cacheHierarchy uniqueName="[fees].[branch_name]" caption="branch_name" attribute="1" defaultMemberUniqueName="[fees].[branch_name].[All]" allUniqueName="[fees].[branch_name].[All]" dimensionUniqueName="[fees]" displayFolder="" count="2" memberValueDatatype="130" unbalanced="0"/>
    <cacheHierarchy uniqueName="[fees].[solution_group]" caption="solution_group" attribute="1" defaultMemberUniqueName="[fees].[solution_group].[All]" allUniqueName="[fees].[solution_group].[All]" dimensionUniqueName="[fees]" displayFolder="" count="2" memberValueDatatype="130" unbalanced="0"/>
    <cacheHierarchy uniqueName="[fees].[Exec_ID]" caption="Exec_ID" attribute="1" defaultMemberUniqueName="[fees].[Exec_ID].[All]" allUniqueName="[fees].[Exec_ID].[All]" dimensionUniqueName="[fees]" displayFolder="" count="2" memberValueDatatype="130" unbalanced="0"/>
    <cacheHierarchy uniqueName="[fees].[Account_Executive]" caption="Account_Executive" attribute="1" defaultMemberUniqueName="[fees].[Account_Executive].[All]" allUniqueName="[fees].[Account_Executive].[All]" dimensionUniqueName="[fees]" displayFolder="" count="2" memberValueDatatype="130" unbalanced="0"/>
    <cacheHierarchy uniqueName="[fees].[income_class]" caption="income_class" attribute="1" defaultMemberUniqueName="[fees].[income_class].[All]" allUniqueName="[fees].[income_class].[All]" dimensionUniqueName="[fees]" displayFolder="" count="2" memberValueDatatype="130" unbalanced="0"/>
    <cacheHierarchy uniqueName="[fees].[Amount]" caption="Amount" attribute="1" defaultMemberUniqueName="[fees].[Amount].[All]" allUniqueName="[fees].[Amount].[All]" dimensionUniqueName="[fees]" displayFolder="" count="2" memberValueDatatype="5" unbalanced="0"/>
    <cacheHierarchy uniqueName="[fees].[income_due_date]" caption="income_due_date" attribute="1" time="1" defaultMemberUniqueName="[fees].[income_due_date].[All]" allUniqueName="[fees].[income_due_date].[All]" dimensionUniqueName="[fees]" displayFolder="" count="2" memberValueDatatype="7" unbalanced="0"/>
    <cacheHierarchy uniqueName="[fees].[revenue_transaction_type]" caption="revenue_transaction_type" attribute="1" defaultMemberUniqueName="[fees].[revenue_transaction_type].[All]" allUniqueName="[fees].[revenue_transaction_type].[All]" dimensionUniqueName="[fees]" displayFolder="" count="2"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3"/>
      </fieldsUsage>
    </cacheHierarchy>
    <cacheHierarchy uniqueName="[Individual_Budgets].[Exec_ID]" caption="Exec_ID" attribute="1" defaultMemberUniqueName="[Individual_Budgets].[Exec_ID].[All]" allUniqueName="[Individual_Budgets].[Exec_ID].[All]" dimensionUniqueName="[Individual_Budgets]" displayFolder="" count="2"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2" memberValueDatatype="130" unbalanced="0"/>
    <cacheHierarchy uniqueName="[Individual_Budgets].[New_Role2]" caption="New_Role2" attribute="1" defaultMemberUniqueName="[Individual_Budgets].[New_Role2].[All]" allUniqueName="[Individual_Budgets].[New_Role2].[All]" dimensionUniqueName="[Individual_Budgets]" displayFolder="" count="2" memberValueDatatype="130" unbalanced="0"/>
    <cacheHierarchy uniqueName="[Individual_Budgets].[Budget_New]" caption="Budget_New" attribute="1" defaultMemberUniqueName="[Individual_Budgets].[Budget_New].[All]" allUniqueName="[Individual_Budgets].[Budget_New].[All]" dimensionUniqueName="[Individual_Budgets]" displayFolder="" count="2"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2"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2" memberValueDatatype="5" unbalanced="0"/>
    <cacheHierarchy uniqueName="[invoice].[invoice_number]" caption="invoice_number" attribute="1" defaultMemberUniqueName="[invoice].[invoice_number].[All]" allUniqueName="[invoice].[invoice_number].[All]" dimensionUniqueName="[invoice]" displayFolder="" count="2" memberValueDatatype="130" unbalanced="0"/>
    <cacheHierarchy uniqueName="[invoice].[invoice_date]" caption="invoice_date" attribute="1" time="1" defaultMemberUniqueName="[invoice].[invoice_date].[All]" allUniqueName="[invoice].[invoice_date].[All]" dimensionUniqueName="[invoice]" displayFolder="" count="2"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2" memberValueDatatype="130" unbalanced="0"/>
    <cacheHierarchy uniqueName="[invoice].[branch_name]" caption="branch_name" attribute="1" defaultMemberUniqueName="[invoice].[branch_name].[All]" allUniqueName="[invoice].[branch_name].[All]" dimensionUniqueName="[invoice]" displayFolder="" count="2" memberValueDatatype="130" unbalanced="0">
      <fieldsUsage count="2">
        <fieldUsage x="-1"/>
        <fieldUsage x="1"/>
      </fieldsUsage>
    </cacheHierarchy>
    <cacheHierarchy uniqueName="[invoice].[solution_group]" caption="solution_group" attribute="1" defaultMemberUniqueName="[invoice].[solution_group].[All]" allUniqueName="[invoice].[solution_group].[All]" dimensionUniqueName="[invoice]" displayFolder="" count="2" memberValueDatatype="130" unbalanced="0"/>
    <cacheHierarchy uniqueName="[invoice].[Exec_ID]" caption="Exec_ID" attribute="1" defaultMemberUniqueName="[invoice].[Exec_ID].[All]" allUniqueName="[invoice].[Exec_ID].[All]" dimensionUniqueName="[invoice]" displayFolder="" count="2" memberValueDatatype="130" unbalanced="0"/>
    <cacheHierarchy uniqueName="[invoice].[Account_Executive]" caption="Account_Executive" attribute="1" defaultMemberUniqueName="[invoice].[Account_Executive].[All]" allUniqueName="[invoice].[Account_Executive].[All]" dimensionUniqueName="[invoice]" displayFolder="" count="2" memberValueDatatype="130" unbalanced="0">
      <fieldsUsage count="2">
        <fieldUsage x="-1"/>
        <fieldUsage x="2"/>
      </fieldsUsage>
    </cacheHierarchy>
    <cacheHierarchy uniqueName="[invoice].[income_class]" caption="income_class" attribute="1" defaultMemberUniqueName="[invoice].[income_class].[All]" allUniqueName="[invoice].[income_class].[All]" dimensionUniqueName="[invoice]" displayFolder="" count="2" memberValueDatatype="130" unbalanced="0"/>
    <cacheHierarchy uniqueName="[invoice].[Client_Name]" caption="Client_Name" attribute="1" defaultMemberUniqueName="[invoice].[Client_Name].[All]" allUniqueName="[invoice].[Client_Name].[All]" dimensionUniqueName="[invoice]" displayFolder="" count="2" memberValueDatatype="130" unbalanced="0"/>
    <cacheHierarchy uniqueName="[invoice].[policy_number]" caption="policy_number" attribute="1" defaultMemberUniqueName="[invoice].[policy_number].[All]" allUniqueName="[invoice].[policy_number].[All]" dimensionUniqueName="[invoice]" displayFolder="" count="2" memberValueDatatype="130" unbalanced="0"/>
    <cacheHierarchy uniqueName="[invoice].[Amount]" caption="Amount" attribute="1" defaultMemberUniqueName="[invoice].[Amount].[All]" allUniqueName="[invoice].[Amount].[All]" dimensionUniqueName="[invoice]" displayFolder="" count="2" memberValueDatatype="5" unbalanced="0"/>
    <cacheHierarchy uniqueName="[invoice].[income_due_date]" caption="income_due_date" attribute="1" time="1" defaultMemberUniqueName="[invoice].[income_due_date].[All]" allUniqueName="[invoice].[income_due_date].[All]" dimensionUniqueName="[invoice]" displayFolder="" count="2" memberValueDatatype="7" unbalanced="0"/>
    <cacheHierarchy uniqueName="[invoice].[dim_policy.Policy_ID]" caption="dim_policy.Policy_ID" attribute="1" defaultMemberUniqueName="[invoice].[dim_policy.Policy_ID].[All]" allUniqueName="[invoice].[dim_policy.Policy_ID].[All]" dimensionUniqueName="[invoice]" displayFolder="" count="2" memberValueDatatype="130" unbalanced="0"/>
    <cacheHierarchy uniqueName="[invoice].[Industry]" caption="Industry" attribute="1" defaultMemberUniqueName="[invoice].[Industry].[All]" allUniqueName="[invoice].[Industry].[All]" dimensionUniqueName="[invoice]" displayFolder="" count="2" memberValueDatatype="130" unbalanced="0"/>
    <cacheHierarchy uniqueName="[invoice].[Segment]" caption="Segment" attribute="1" defaultMemberUniqueName="[invoice].[Segment].[All]" allUniqueName="[invoice].[Segment].[All]" dimensionUniqueName="[invoice]" displayFolder="" count="2" memberValueDatatype="130" unbalanced="0">
      <fieldsUsage count="2">
        <fieldUsage x="-1"/>
        <fieldUsage x="4"/>
      </fieldsUsage>
    </cacheHierarchy>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2" memberValueDatatype="130" unbalanced="0"/>
    <cacheHierarchy uniqueName="[invoice].[invoice_date (Month)]" caption="invoice_date (Month)" attribute="1" defaultMemberUniqueName="[invoice].[invoice_date (Month)].[All]" allUniqueName="[invoice].[invoice_date (Month)].[All]" dimensionUniqueName="[invoice]" displayFolder="" count="2" memberValueDatatype="130" unbalanced="0"/>
    <cacheHierarchy uniqueName="[meeting].[Account Exe ID]" caption="Account Exe ID" attribute="1" defaultMemberUniqueName="[meeting].[Account Exe ID].[All]" allUniqueName="[meeting].[Account Exe ID].[All]" dimensionUniqueName="[meeting]" displayFolder="" count="2" memberValueDatatype="130" unbalanced="0"/>
    <cacheHierarchy uniqueName="[meeting].[Account Executive]" caption="Account Executive" attribute="1" defaultMemberUniqueName="[meeting].[Account Executive].[All]" allUniqueName="[meeting].[Account Executive].[All]" dimensionUniqueName="[meeting]" displayFolder="" count="2" memberValueDatatype="130" unbalanced="0"/>
    <cacheHierarchy uniqueName="[meeting].[branch_name]" caption="branch_name" attribute="1" defaultMemberUniqueName="[meeting].[branch_name].[All]" allUniqueName="[meeting].[branch_name].[All]" dimensionUniqueName="[meeting]" displayFolder="" count="2" memberValueDatatype="130" unbalanced="0"/>
    <cacheHierarchy uniqueName="[meeting].[global_attendees]" caption="global_attendees" attribute="1" defaultMemberUniqueName="[meeting].[global_attendees].[All]" allUniqueName="[meeting].[global_attendees].[All]" dimensionUniqueName="[meeting]" displayFolder="" count="2" memberValueDatatype="130" unbalanced="0"/>
    <cacheHierarchy uniqueName="[meeting].[meeting_date]" caption="meeting_date" attribute="1" time="1" defaultMemberUniqueName="[meeting].[meeting_date].[All]" allUniqueName="[meeting].[meeting_date].[All]" dimensionUniqueName="[meeting]" displayFolder="" count="2" memberValueDatatype="7"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cacheHierarchy uniqueName="[Opportunity].[opportunity_id]" caption="opportunity_id" attribute="1" defaultMemberUniqueName="[Opportunity].[opportunity_id].[All]" allUniqueName="[Opportunity].[opportunity_id].[All]" dimensionUniqueName="[Opportunity]" displayFolder="" count="2" memberValueDatatype="130" unbalanced="0"/>
    <cacheHierarchy uniqueName="[Opportunity].[Account Exe Id]" caption="Account Exe Id" attribute="1" defaultMemberUniqueName="[Opportunity].[Account Exe Id].[All]" allUniqueName="[Opportunity].[Account Exe Id].[All]" dimensionUniqueName="[Opportunity]" displayFolder="" count="2" memberValueDatatype="20" unbalanced="0"/>
    <cacheHierarchy uniqueName="[Opportunity].[Account Executive]" caption="Account Executive" attribute="1" defaultMemberUniqueName="[Opportunity].[Account Executive].[All]" allUniqueName="[Opportunity].[Account Executive].[All]" dimensionUniqueName="[Opportunity]" displayFolder="" count="2" memberValueDatatype="130" unbalanced="0"/>
    <cacheHierarchy uniqueName="[Opportunity].[premium_amount]" caption="premium_amount" attribute="1" defaultMemberUniqueName="[Opportunity].[premium_amount].[All]" allUniqueName="[Opportunity].[premium_amount].[All]" dimensionUniqueName="[Opportunity]" displayFolder="" count="2" memberValueDatatype="20" unbalanced="0"/>
    <cacheHierarchy uniqueName="[Opportunity].[revenue_amount]" caption="revenue_amount" attribute="1" defaultMemberUniqueName="[Opportunity].[revenue_amount].[All]" allUniqueName="[Opportunity].[revenue_amount].[All]" dimensionUniqueName="[Opportunity]" displayFolder="" count="2" memberValueDatatype="20" unbalanced="0"/>
    <cacheHierarchy uniqueName="[Opportunity].[closing_date]" caption="closing_date" attribute="1" time="1" defaultMemberUniqueName="[Opportunity].[closing_date].[All]" allUniqueName="[Opportunity].[closing_date].[All]" dimensionUniqueName="[Opportunity]" displayFolder="" count="2" memberValueDatatype="7" unbalanced="0"/>
    <cacheHierarchy uniqueName="[Opportunity].[stage]" caption="stage" attribute="1" defaultMemberUniqueName="[Opportunity].[stage].[All]" allUniqueName="[Opportunity].[stage].[All]" dimensionUniqueName="[Opportunity]" displayFolder="" count="2" memberValueDatatype="130" unbalanced="0"/>
    <cacheHierarchy uniqueName="[Opportunity].[branch]" caption="branch" attribute="1" defaultMemberUniqueName="[Opportunity].[branch].[All]" allUniqueName="[Opportunity].[branch].[All]" dimensionUniqueName="[Opportunity]" displayFolder="" count="2" memberValueDatatype="130" unbalanced="0"/>
    <cacheHierarchy uniqueName="[Opportunity].[specialty]" caption="specialty" attribute="1" defaultMemberUniqueName="[Opportunity].[specialty].[All]" allUniqueName="[Opportunity].[specialty].[All]" dimensionUniqueName="[Opportunity]" displayFolder="" count="2" memberValueDatatype="130" unbalanced="0"/>
    <cacheHierarchy uniqueName="[Opportunity].[product_group]" caption="product_group" attribute="1" defaultMemberUniqueName="[Opportunity].[product_group].[All]" allUniqueName="[Opportunity].[product_group].[All]" dimensionUniqueName="[Opportunity]" displayFolder="" count="2" memberValueDatatype="130" unbalanced="0"/>
    <cacheHierarchy uniqueName="[Opportunity].[product_sub_group]" caption="product_sub_group" attribute="1" defaultMemberUniqueName="[Opportunity].[product_sub_group].[All]" allUniqueName="[Opportunity].[product_sub_group].[All]" dimensionUniqueName="[Opportunity]" displayFolder="" count="2" memberValueDatatype="130" unbalanced="0"/>
    <cacheHierarchy uniqueName="[Opportunity].[risk_details]" caption="risk_details" attribute="1" defaultMemberUniqueName="[Opportunity].[risk_details].[All]" allUniqueName="[Opportunity].[risk_details].[All]" dimensionUniqueName="[Opportunity]" displayFolder="" count="2"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2"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oneField="1">
      <fieldsUsage count="1">
        <fieldUsage x="0"/>
      </fieldsUsage>
    </cacheHierarchy>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92824077" backgroundQuery="1" createdVersion="8" refreshedVersion="8" minRefreshableVersion="3" recordCount="0" supportSubquery="1" supportAdvancedDrill="1" xr:uid="{991AF17A-0BC9-489C-9476-F18CE42276EE}">
  <cacheSource type="external" connectionId="14"/>
  <cacheFields count="4">
    <cacheField name="[Measures].[Industry_Revenue_Mix]" caption="Industry_Revenue_Mix" numFmtId="0" hierarchy="148" level="32767"/>
    <cacheField name="[invoice].[Industry].[Industry]" caption="Industry" numFmtId="0" hierarchy="87" level="1">
      <sharedItems count="21">
        <s v="Agriculture"/>
        <s v="Automotive"/>
        <s v="Aviation"/>
        <s v="Chemical"/>
        <s v="Construction"/>
        <s v="Education"/>
        <s v="Energy"/>
        <s v="Financial Services"/>
        <s v="FMCG"/>
        <s v="Healthcare"/>
        <s v="Hospitality"/>
        <s v="IT/Technology"/>
        <s v="Logistics"/>
        <s v="Manufacturing"/>
        <s v="Media"/>
        <s v="Pharmaceuticals"/>
        <s v="Real Estate"/>
        <s v="Retail"/>
        <s v="Shipping"/>
        <s v="Textiles"/>
        <s v="Unclassified"/>
      </sharedItems>
    </cacheField>
    <cacheField name="[Individual_Budgets].[Branch].[Branch]" caption="Branch" numFmtId="0" hierarchy="67" level="1">
      <sharedItems containsSemiMixedTypes="0" containsNonDate="0" containsString="0"/>
    </cacheField>
    <cacheField name="[invoice].[Segment].[Segment]" caption="Segment" numFmtId="0" hierarchy="88"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2"/>
      </fieldsUsage>
    </cacheHierarchy>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2" memberValueDatatype="130" unbalanced="0">
      <fieldsUsage count="2">
        <fieldUsage x="-1"/>
        <fieldUsage x="1"/>
      </fieldsUsage>
    </cacheHierarchy>
    <cacheHierarchy uniqueName="[invoice].[Segment]" caption="Segment" attribute="1" defaultMemberUniqueName="[invoice].[Segment].[All]" allUniqueName="[invoice].[Segment].[All]" dimensionUniqueName="[invoice]" displayFolder="" count="2" memberValueDatatype="130" unbalanced="0">
      <fieldsUsage count="2">
        <fieldUsage x="-1"/>
        <fieldUsage x="3"/>
      </fieldsUsage>
    </cacheHierarchy>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oneField="1">
      <fieldsUsage count="1">
        <fieldUsage x="0"/>
      </fieldsUsage>
    </cacheHierarchy>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9479167" backgroundQuery="1" createdVersion="8" refreshedVersion="8" minRefreshableVersion="3" recordCount="0" supportSubquery="1" supportAdvancedDrill="1" xr:uid="{A393777D-EC6F-43ED-A07F-E838A339ABA0}">
  <cacheSource type="external" connectionId="14"/>
  <cacheFields count="5">
    <cacheField name="[Measures].[Renewal_Hit_Rate]" caption="Renewal_Hit_Rate" numFmtId="0" hierarchy="146" level="32767"/>
    <cacheField name="[brokerage].[Exec_Name].[Exec_Name]" caption="Exec_Name" numFmtId="0" hierarchy="8" level="1">
      <sharedItems count="44">
        <s v="Abhinav Shivam"/>
        <s v="Ananya Suresh"/>
        <s v="Animesh Rawat"/>
        <s v="Anjali Mehta"/>
        <s v="Arjun Prabhu"/>
        <s v="Arun Khanna"/>
        <s v="Bhavani Devi"/>
        <s v="Chandra Mouli"/>
        <s v="Deepak Verma"/>
        <s v="Divya Menon"/>
        <s v="Gilbert"/>
        <s v="Juli"/>
        <s v="Karthik Iyer"/>
        <s v="Kavya Sharma"/>
        <s v="Ketan Jain"/>
        <s v="Lakshmi Rajan"/>
        <s v="Madhavi Latha"/>
        <s v="Manish Sharma"/>
        <s v="Mark"/>
        <s v="Meera Pillai"/>
        <s v="Mohit Gupta"/>
        <s v="Muthu Raman"/>
        <s v="Neha Joshi"/>
        <s v="Nitin Joshi"/>
        <s v="Pallavi More"/>
        <s v="Pooja Singhania"/>
        <s v="Pradeep Mohan"/>
        <s v="Rahul Kumar"/>
        <s v="Raju Kumar"/>
        <s v="Ravi Shankar"/>
        <s v="Rekha Pawar"/>
        <s v="Ritu Saxena"/>
        <s v="Rohit Desai"/>
        <s v="Sachin Bhor"/>
        <s v="Sanjay Patil"/>
        <s v="Shivani Sharma"/>
        <s v="Sneha Rao"/>
        <s v="Srinivas Rao"/>
        <s v="Sunita Arora"/>
        <s v="Swati Deshpande"/>
        <s v="Vidit Shah"/>
        <s v="Vijay Krishnan"/>
        <s v="Vikram Shah"/>
        <s v="Vinay"/>
      </sharedItems>
    </cacheField>
    <cacheField name="[Measures].[Active_Policy%]" caption="Active_Policy%" numFmtId="0" hierarchy="163" level="32767"/>
    <cacheField name="[Individual_Budgets].[Branch].[Branch]" caption="Branch" numFmtId="0" hierarchy="67" level="1">
      <sharedItems containsSemiMixedTypes="0" containsNonDate="0" containsString="0"/>
    </cacheField>
    <cacheField name="[invoice].[Segment].[Segment]" caption="Segment" numFmtId="0" hierarchy="88"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2" memberValueDatatype="130" unbalanced="0"/>
    <cacheHierarchy uniqueName="[brokerage].[policy_number]" caption="policy_number" attribute="1" defaultMemberUniqueName="[brokerage].[policy_number].[All]" allUniqueName="[brokerage].[policy_number].[All]" dimensionUniqueName="[brokerage]" displayFolder="" count="2" memberValueDatatype="130" unbalanced="0"/>
    <cacheHierarchy uniqueName="[brokerage].[policy_status]" caption="policy_status" attribute="1" defaultMemberUniqueName="[brokerage].[policy_status].[All]" allUniqueName="[brokerage].[policy_status].[All]" dimensionUniqueName="[brokerage]" displayFolder="" count="2" memberValueDatatype="130" unbalanced="0"/>
    <cacheHierarchy uniqueName="[brokerage].[Amount]" caption="Amount" attribute="1" defaultMemberUniqueName="[brokerage].[Amount].[All]" allUniqueName="[brokerage].[Amount].[All]" dimensionUniqueName="[brokerage]" displayFolder="" count="2" memberValueDatatype="5" unbalanced="0"/>
    <cacheHierarchy uniqueName="[brokerage].[policy_start_date]" caption="policy_start_date" attribute="1" time="1" defaultMemberUniqueName="[brokerage].[policy_start_date].[All]" allUniqueName="[brokerage].[policy_start_date].[All]" dimensionUniqueName="[brokerage]" displayFolder="" count="2" memberValueDatatype="7" unbalanced="0"/>
    <cacheHierarchy uniqueName="[brokerage].[policy_end_date]" caption="policy_end_date" attribute="1" time="1" defaultMemberUniqueName="[brokerage].[policy_end_date].[All]" allUniqueName="[brokerage].[policy_end_date].[All]" dimensionUniqueName="[brokerage]" displayFolder="" count="2" memberValueDatatype="7" unbalanced="0"/>
    <cacheHierarchy uniqueName="[brokerage].[product_group]" caption="product_group" attribute="1" defaultMemberUniqueName="[brokerage].[product_group].[All]" allUniqueName="[brokerage].[product_group].[All]" dimensionUniqueName="[brokerage]" displayFolder="" count="2" memberValueDatatype="130" unbalanced="0"/>
    <cacheHierarchy uniqueName="[brokerage].[Exec_ID]" caption="Exec_ID" attribute="1" defaultMemberUniqueName="[brokerage].[Exec_ID].[All]" allUniqueName="[brokerage].[Exec_ID].[All]" dimensionUniqueName="[brokerage]" displayFolder="" count="2" memberValueDatatype="130" unbalanced="0"/>
    <cacheHierarchy uniqueName="[brokerage].[Exec_Name]" caption="Exec_Name" attribute="1" defaultMemberUniqueName="[brokerage].[Exec_Name].[All]" allUniqueName="[brokerage].[Exec_Name].[All]" dimensionUniqueName="[brokerage]" displayFolder="" count="2" memberValueDatatype="130" unbalanced="0">
      <fieldsUsage count="2">
        <fieldUsage x="-1"/>
        <fieldUsage x="1"/>
      </fieldsUsage>
    </cacheHierarchy>
    <cacheHierarchy uniqueName="[brokerage].[branch_name]" caption="branch_name" attribute="1" defaultMemberUniqueName="[brokerage].[branch_name].[All]" allUniqueName="[brokerage].[branch_name].[All]" dimensionUniqueName="[brokerage]" displayFolder="" count="2" memberValueDatatype="130" unbalanced="0"/>
    <cacheHierarchy uniqueName="[brokerage].[solution_group]" caption="solution_group" attribute="1" defaultMemberUniqueName="[brokerage].[solution_group].[All]" allUniqueName="[brokerage].[solution_group].[All]" dimensionUniqueName="[brokerage]" displayFolder="" count="2"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2"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2" memberValueDatatype="130" unbalanced="0"/>
    <cacheHierarchy uniqueName="[brokerage].[renewal_status]" caption="renewal_status" attribute="1" defaultMemberUniqueName="[brokerage].[renewal_status].[All]" allUniqueName="[brokerage].[renewal_status].[All]" dimensionUniqueName="[brokerage]" displayFolder="" count="2" memberValueDatatype="130" unbalanced="0"/>
    <cacheHierarchy uniqueName="[brokerage].[lapse_reason]" caption="lapse_reason" attribute="1" defaultMemberUniqueName="[brokerage].[lapse_reason].[All]" allUniqueName="[brokerage].[lapse_reason].[All]" dimensionUniqueName="[brokerage]" displayFolder="" count="2" memberValueDatatype="130" unbalanced="0"/>
    <cacheHierarchy uniqueName="[brokerage].[last_updated_date]" caption="last_updated_date" attribute="1" time="1" defaultMemberUniqueName="[brokerage].[last_updated_date].[All]" allUniqueName="[brokerage].[last_updated_date].[All]" dimensionUniqueName="[brokerage]" displayFolder="" count="2" memberValueDatatype="7" unbalanced="0"/>
    <cacheHierarchy uniqueName="[brokerage].[Policy_ID]" caption="Policy_ID" attribute="1" defaultMemberUniqueName="[brokerage].[Policy_ID].[All]" allUniqueName="[brokerage].[Policy_ID].[All]" dimensionUniqueName="[brokerage]" displayFolder="" count="2" memberValueDatatype="130" unbalanced="0"/>
    <cacheHierarchy uniqueName="[BudgetAllocation].[Month]" caption="Month" attribute="1" defaultMemberUniqueName="[BudgetAllocation].[Month].[All]" allUniqueName="[BudgetAllocation].[Month].[All]" dimensionUniqueName="[BudgetAllocation]" displayFolder="" count="2" memberValueDatatype="20" unbalanced="0"/>
    <cacheHierarchy uniqueName="[BudgetAllocation].[AllocationPct]" caption="AllocationPct" attribute="1" defaultMemberUniqueName="[BudgetAllocation].[AllocationPct].[All]" allUniqueName="[BudgetAllocation].[AllocationPct].[All]" dimensionUniqueName="[BudgetAllocation]" displayFolder="" count="2" memberValueDatatype="5" unbalanced="0"/>
    <cacheHierarchy uniqueName="[DateTable].[Date]" caption="Date" attribute="1" time="1" keyAttribute="1" defaultMemberUniqueName="[DateTable].[Date].[All]" allUniqueName="[DateTable].[Date].[All]" dimensionUniqueName="[DateTable]" displayFolder="" count="2" memberValueDatatype="7" unbalanced="0"/>
    <cacheHierarchy uniqueName="[DateTable].[Year]" caption="Year" attribute="1" time="1" defaultMemberUniqueName="[DateTable].[Year].[All]" allUniqueName="[DateTable].[Year].[All]" dimensionUniqueName="[DateTable]" displayFolder="" count="2" memberValueDatatype="20" unbalanced="0"/>
    <cacheHierarchy uniqueName="[DateTable].[Month Name]" caption="Month Name" attribute="1" time="1" defaultMemberUniqueName="[DateTable].[Month Name].[All]" allUniqueName="[DateTable].[Month Name].[All]" dimensionUniqueName="[DateTable]" displayFolder="" count="2" memberValueDatatype="130" unbalanced="0"/>
    <cacheHierarchy uniqueName="[DateTable].[Month]" caption="Month" attribute="1" time="1" defaultMemberUniqueName="[DateTable].[Month].[All]" allUniqueName="[DateTable].[Month].[All]" dimensionUniqueName="[DateTable]" displayFolder="" count="2" memberValueDatatype="20" unbalanced="0"/>
    <cacheHierarchy uniqueName="[DateTable].[Quarter]" caption="Quarter" attribute="1" time="1" defaultMemberUniqueName="[DateTable].[Quarter].[All]" allUniqueName="[DateTable].[Quarter].[All]" dimensionUniqueName="[DateTable]" displayFolder="" count="2" memberValueDatatype="20" unbalanced="0"/>
    <cacheHierarchy uniqueName="[dim_account_exe].[Exec_ID]" caption="Exec_ID" attribute="1" defaultMemberUniqueName="[dim_account_exe].[Exec_ID].[All]" allUniqueName="[dim_account_exe].[Exec_ID].[All]" dimensionUniqueName="[dim_account_exe]" displayFolder="" count="2"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2" memberValueDatatype="130" unbalanced="0"/>
    <cacheHierarchy uniqueName="[dim_account_exe].[Branch_Name]" caption="Branch_Name" attribute="1" defaultMemberUniqueName="[dim_account_exe].[Branch_Name].[All]" allUniqueName="[dim_account_exe].[Branch_Name].[All]" dimensionUniqueName="[dim_account_exe]" displayFolder="" count="2" memberValueDatatype="130" unbalanced="0"/>
    <cacheHierarchy uniqueName="[dim_account_exe].[Role]" caption="Role" attribute="1" defaultMemberUniqueName="[dim_account_exe].[Role].[All]" allUniqueName="[dim_account_exe].[Role].[All]" dimensionUniqueName="[dim_account_exe]" displayFolder="" count="2"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2" memberValueDatatype="130" unbalanced="0"/>
    <cacheHierarchy uniqueName="[dim_account_exe].[Email]" caption="Email" attribute="1" defaultMemberUniqueName="[dim_account_exe].[Email].[All]" allUniqueName="[dim_account_exe].[Email].[All]" dimensionUniqueName="[dim_account_exe]" displayFolder="" count="2" memberValueDatatype="130" unbalanced="0"/>
    <cacheHierarchy uniqueName="[dim_branch].[Branch_ID]" caption="Branch_ID" attribute="1" defaultMemberUniqueName="[dim_branch].[Branch_ID].[All]" allUniqueName="[dim_branch].[Branch_ID].[All]" dimensionUniqueName="[dim_branch]" displayFolder="" count="2"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2" memberValueDatatype="130" unbalanced="0"/>
    <cacheHierarchy uniqueName="[dim_branch].[Region]" caption="Region" attribute="1" defaultMemberUniqueName="[dim_branch].[Region].[All]" allUniqueName="[dim_branch].[Region].[All]" dimensionUniqueName="[dim_branch]" displayFolder="" count="2" memberValueDatatype="130" unbalanced="0"/>
    <cacheHierarchy uniqueName="[dim_branch].[BranchHead_ID]" caption="BranchHead_ID" attribute="1" defaultMemberUniqueName="[dim_branch].[BranchHead_ID].[All]" allUniqueName="[dim_branch].[BranchHead_ID].[All]" dimensionUniqueName="[dim_branch]" displayFolder="" count="2" memberValueDatatype="130" unbalanced="0"/>
    <cacheHierarchy uniqueName="[dim_branch].[BranchHead_Name]" caption="BranchHead_Name" attribute="1" defaultMemberUniqueName="[dim_branch].[BranchHead_Name].[All]" allUniqueName="[dim_branch].[BranchHead_Name].[All]" dimensionUniqueName="[dim_branch]" displayFolder="" count="2" memberValueDatatype="130" unbalanced="0"/>
    <cacheHierarchy uniqueName="[dim_branch].[Established_Year]" caption="Established_Year" attribute="1" defaultMemberUniqueName="[dim_branch].[Established_Year].[All]" allUniqueName="[dim_branch].[Established_Year].[All]" dimensionUniqueName="[dim_branch]" displayFolder="" count="2" memberValueDatatype="20" unbalanced="0"/>
    <cacheHierarchy uniqueName="[dim_branch].[Target_FY_Lakh]" caption="Target_FY_Lakh" attribute="1" defaultMemberUniqueName="[dim_branch].[Target_FY_Lakh].[All]" allUniqueName="[dim_branch].[Target_FY_Lakh].[All]" dimensionUniqueName="[dim_branch]" displayFolder="" count="2" memberValueDatatype="5" unbalanced="0"/>
    <cacheHierarchy uniqueName="[dim_client].[Client_ID]" caption="Client_ID" attribute="1" defaultMemberUniqueName="[dim_client].[Client_ID].[All]" allUniqueName="[dim_client].[Client_ID].[All]" dimensionUniqueName="[dim_client]" displayFolder="" count="2" memberValueDatatype="130" unbalanced="0"/>
    <cacheHierarchy uniqueName="[dim_client].[Client_Name]" caption="Client_Name" attribute="1" defaultMemberUniqueName="[dim_client].[Client_Name].[All]" allUniqueName="[dim_client].[Client_Name].[All]" dimensionUniqueName="[dim_client]" displayFolder="" count="2" memberValueDatatype="130" unbalanced="0"/>
    <cacheHierarchy uniqueName="[dim_client].[Industry]" caption="Industry" attribute="1" defaultMemberUniqueName="[dim_client].[Industry].[All]" allUniqueName="[dim_client].[Industry].[All]" dimensionUniqueName="[dim_client]" displayFolder="" count="2" memberValueDatatype="130" unbalanced="0"/>
    <cacheHierarchy uniqueName="[dim_client].[City]" caption="City" attribute="1" defaultMemberUniqueName="[dim_client].[City].[All]" allUniqueName="[dim_client].[City].[All]" dimensionUniqueName="[dim_client]" displayFolder="" count="2" memberValueDatatype="130" unbalanced="0"/>
    <cacheHierarchy uniqueName="[dim_client].[State]" caption="State" attribute="1" defaultMemberUniqueName="[dim_client].[State].[All]" allUniqueName="[dim_client].[State].[All]" dimensionUniqueName="[dim_client]" displayFolder="" count="2" memberValueDatatype="130" unbalanced="0"/>
    <cacheHierarchy uniqueName="[dim_client].[Client_Since]" caption="Client_Since" attribute="1" time="1" defaultMemberUniqueName="[dim_client].[Client_Since].[All]" allUniqueName="[dim_client].[Client_Since].[All]" dimensionUniqueName="[dim_client]" displayFolder="" count="2" memberValueDatatype="7" unbalanced="0"/>
    <cacheHierarchy uniqueName="[dim_client].[Segment]" caption="Segment" attribute="1" defaultMemberUniqueName="[dim_client].[Segment].[All]" allUniqueName="[dim_client].[Segment].[All]" dimensionUniqueName="[dim_client]" displayFolder="" count="2" memberValueDatatype="130" unbalanced="0"/>
    <cacheHierarchy uniqueName="[dim_client].[RM_ID]" caption="RM_ID" attribute="1" defaultMemberUniqueName="[dim_client].[RM_ID].[All]" allUniqueName="[dim_client].[RM_ID].[All]" dimensionUniqueName="[dim_client]" displayFolder="" count="2" memberValueDatatype="130" unbalanced="0"/>
    <cacheHierarchy uniqueName="[dim_policy].[Policy_ID]" caption="Policy_ID" attribute="1" defaultMemberUniqueName="[dim_policy].[Policy_ID].[All]" allUniqueName="[dim_policy].[Policy_ID].[All]" dimensionUniqueName="[dim_policy]" displayFolder="" count="2" memberValueDatatype="130" unbalanced="0"/>
    <cacheHierarchy uniqueName="[dim_policy].[Policy_Number]" caption="Policy_Number" attribute="1" defaultMemberUniqueName="[dim_policy].[Policy_Number].[All]" allUniqueName="[dim_policy].[Policy_Number].[All]" dimensionUniqueName="[dim_policy]" displayFolder="" count="2" memberValueDatatype="130" unbalanced="0"/>
    <cacheHierarchy uniqueName="[dim_policy].[Product_Group]" caption="Product_Group" attribute="1" defaultMemberUniqueName="[dim_policy].[Product_Group].[All]" allUniqueName="[dim_policy].[Product_Group].[All]" dimensionUniqueName="[dim_policy]" displayFolder="" count="2" memberValueDatatype="130" unbalanced="0"/>
    <cacheHierarchy uniqueName="[dim_policy].[Policy_Status]" caption="Policy_Status" attribute="1" defaultMemberUniqueName="[dim_policy].[Policy_Status].[All]" allUniqueName="[dim_policy].[Policy_Status].[All]" dimensionUniqueName="[dim_policy]" displayFolder="" count="2" memberValueDatatype="130" unbalanced="0"/>
    <cacheHierarchy uniqueName="[dim_policy].[Policy_Start_Date]" caption="Policy_Start_Date" attribute="1" time="1" defaultMemberUniqueName="[dim_policy].[Policy_Start_Date].[All]" allUniqueName="[dim_policy].[Policy_Start_Date].[All]" dimensionUniqueName="[dim_policy]" displayFolder="" count="2" memberValueDatatype="7" unbalanced="0"/>
    <cacheHierarchy uniqueName="[dim_policy].[Policy_End_Date]" caption="Policy_End_Date" attribute="1" time="1" defaultMemberUniqueName="[dim_policy].[Policy_End_Date].[All]" allUniqueName="[dim_policy].[Policy_End_Date].[All]" dimensionUniqueName="[dim_policy]" displayFolder="" count="2" memberValueDatatype="7" unbalanced="0"/>
    <cacheHierarchy uniqueName="[dim_policy].[Renewal_Status]" caption="Renewal_Status" attribute="1" defaultMemberUniqueName="[dim_policy].[Renewal_Status].[All]" allUniqueName="[dim_policy].[Renewal_Status].[All]" dimensionUniqueName="[dim_policy]" displayFolder="" count="2"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2"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2" memberValueDatatype="130" unbalanced="0"/>
    <cacheHierarchy uniqueName="[dim_solution_group].[Segment]" caption="Segment" attribute="1" defaultMemberUniqueName="[dim_solution_group].[Segment].[All]" allUniqueName="[dim_solution_group].[Segment].[All]" dimensionUniqueName="[dim_solution_group]" displayFolder="" count="2" memberValueDatatype="130" unbalanced="0"/>
    <cacheHierarchy uniqueName="[dim_solution_group].[Category]" caption="Category" attribute="1" defaultMemberUniqueName="[dim_solution_group].[Category].[All]" allUniqueName="[dim_solution_group].[Category].[All]" dimensionUniqueName="[dim_solution_group]" displayFolder="" count="2" memberValueDatatype="130" unbalanced="0"/>
    <cacheHierarchy uniqueName="[fees].[client_name]" caption="client_name" attribute="1" defaultMemberUniqueName="[fees].[client_name].[All]" allUniqueName="[fees].[client_name].[All]" dimensionUniqueName="[fees]" displayFolder="" count="2" memberValueDatatype="130" unbalanced="0"/>
    <cacheHierarchy uniqueName="[fees].[branch_name]" caption="branch_name" attribute="1" defaultMemberUniqueName="[fees].[branch_name].[All]" allUniqueName="[fees].[branch_name].[All]" dimensionUniqueName="[fees]" displayFolder="" count="2" memberValueDatatype="130" unbalanced="0"/>
    <cacheHierarchy uniqueName="[fees].[solution_group]" caption="solution_group" attribute="1" defaultMemberUniqueName="[fees].[solution_group].[All]" allUniqueName="[fees].[solution_group].[All]" dimensionUniqueName="[fees]" displayFolder="" count="2" memberValueDatatype="130" unbalanced="0"/>
    <cacheHierarchy uniqueName="[fees].[Exec_ID]" caption="Exec_ID" attribute="1" defaultMemberUniqueName="[fees].[Exec_ID].[All]" allUniqueName="[fees].[Exec_ID].[All]" dimensionUniqueName="[fees]" displayFolder="" count="2" memberValueDatatype="130" unbalanced="0"/>
    <cacheHierarchy uniqueName="[fees].[Account_Executive]" caption="Account_Executive" attribute="1" defaultMemberUniqueName="[fees].[Account_Executive].[All]" allUniqueName="[fees].[Account_Executive].[All]" dimensionUniqueName="[fees]" displayFolder="" count="2" memberValueDatatype="130" unbalanced="0"/>
    <cacheHierarchy uniqueName="[fees].[income_class]" caption="income_class" attribute="1" defaultMemberUniqueName="[fees].[income_class].[All]" allUniqueName="[fees].[income_class].[All]" dimensionUniqueName="[fees]" displayFolder="" count="2" memberValueDatatype="130" unbalanced="0"/>
    <cacheHierarchy uniqueName="[fees].[Amount]" caption="Amount" attribute="1" defaultMemberUniqueName="[fees].[Amount].[All]" allUniqueName="[fees].[Amount].[All]" dimensionUniqueName="[fees]" displayFolder="" count="2" memberValueDatatype="5" unbalanced="0"/>
    <cacheHierarchy uniqueName="[fees].[income_due_date]" caption="income_due_date" attribute="1" time="1" defaultMemberUniqueName="[fees].[income_due_date].[All]" allUniqueName="[fees].[income_due_date].[All]" dimensionUniqueName="[fees]" displayFolder="" count="2" memberValueDatatype="7" unbalanced="0"/>
    <cacheHierarchy uniqueName="[fees].[revenue_transaction_type]" caption="revenue_transaction_type" attribute="1" defaultMemberUniqueName="[fees].[revenue_transaction_type].[All]" allUniqueName="[fees].[revenue_transaction_type].[All]" dimensionUniqueName="[fees]" displayFolder="" count="2"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3"/>
      </fieldsUsage>
    </cacheHierarchy>
    <cacheHierarchy uniqueName="[Individual_Budgets].[Exec_ID]" caption="Exec_ID" attribute="1" defaultMemberUniqueName="[Individual_Budgets].[Exec_ID].[All]" allUniqueName="[Individual_Budgets].[Exec_ID].[All]" dimensionUniqueName="[Individual_Budgets]" displayFolder="" count="2"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2" memberValueDatatype="130" unbalanced="0"/>
    <cacheHierarchy uniqueName="[Individual_Budgets].[New_Role2]" caption="New_Role2" attribute="1" defaultMemberUniqueName="[Individual_Budgets].[New_Role2].[All]" allUniqueName="[Individual_Budgets].[New_Role2].[All]" dimensionUniqueName="[Individual_Budgets]" displayFolder="" count="2" memberValueDatatype="130" unbalanced="0"/>
    <cacheHierarchy uniqueName="[Individual_Budgets].[Budget_New]" caption="Budget_New" attribute="1" defaultMemberUniqueName="[Individual_Budgets].[Budget_New].[All]" allUniqueName="[Individual_Budgets].[Budget_New].[All]" dimensionUniqueName="[Individual_Budgets]" displayFolder="" count="2"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2"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2" memberValueDatatype="5" unbalanced="0"/>
    <cacheHierarchy uniqueName="[invoice].[invoice_number]" caption="invoice_number" attribute="1" defaultMemberUniqueName="[invoice].[invoice_number].[All]" allUniqueName="[invoice].[invoice_number].[All]" dimensionUniqueName="[invoice]" displayFolder="" count="2" memberValueDatatype="130" unbalanced="0"/>
    <cacheHierarchy uniqueName="[invoice].[invoice_date]" caption="invoice_date" attribute="1" time="1" defaultMemberUniqueName="[invoice].[invoice_date].[All]" allUniqueName="[invoice].[invoice_date].[All]" dimensionUniqueName="[invoice]" displayFolder="" count="2"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2" memberValueDatatype="130" unbalanced="0"/>
    <cacheHierarchy uniqueName="[invoice].[branch_name]" caption="branch_name" attribute="1" defaultMemberUniqueName="[invoice].[branch_name].[All]" allUniqueName="[invoice].[branch_name].[All]" dimensionUniqueName="[invoice]" displayFolder="" count="2" memberValueDatatype="130" unbalanced="0"/>
    <cacheHierarchy uniqueName="[invoice].[solution_group]" caption="solution_group" attribute="1" defaultMemberUniqueName="[invoice].[solution_group].[All]" allUniqueName="[invoice].[solution_group].[All]" dimensionUniqueName="[invoice]" displayFolder="" count="2" memberValueDatatype="130" unbalanced="0"/>
    <cacheHierarchy uniqueName="[invoice].[Exec_ID]" caption="Exec_ID" attribute="1" defaultMemberUniqueName="[invoice].[Exec_ID].[All]" allUniqueName="[invoice].[Exec_ID].[All]" dimensionUniqueName="[invoice]" displayFolder="" count="2" memberValueDatatype="130" unbalanced="0"/>
    <cacheHierarchy uniqueName="[invoice].[Account_Executive]" caption="Account_Executive" attribute="1" defaultMemberUniqueName="[invoice].[Account_Executive].[All]" allUniqueName="[invoice].[Account_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2" memberValueDatatype="130" unbalanced="0"/>
    <cacheHierarchy uniqueName="[invoice].[Client_Name]" caption="Client_Name" attribute="1" defaultMemberUniqueName="[invoice].[Client_Name].[All]" allUniqueName="[invoice].[Client_Name].[All]" dimensionUniqueName="[invoice]" displayFolder="" count="2" memberValueDatatype="130" unbalanced="0"/>
    <cacheHierarchy uniqueName="[invoice].[policy_number]" caption="policy_number" attribute="1" defaultMemberUniqueName="[invoice].[policy_number].[All]" allUniqueName="[invoice].[policy_number].[All]" dimensionUniqueName="[invoice]" displayFolder="" count="2" memberValueDatatype="130" unbalanced="0"/>
    <cacheHierarchy uniqueName="[invoice].[Amount]" caption="Amount" attribute="1" defaultMemberUniqueName="[invoice].[Amount].[All]" allUniqueName="[invoice].[Amount].[All]" dimensionUniqueName="[invoice]" displayFolder="" count="2" memberValueDatatype="5" unbalanced="0"/>
    <cacheHierarchy uniqueName="[invoice].[income_due_date]" caption="income_due_date" attribute="1" time="1" defaultMemberUniqueName="[invoice].[income_due_date].[All]" allUniqueName="[invoice].[income_due_date].[All]" dimensionUniqueName="[invoice]" displayFolder="" count="2" memberValueDatatype="7" unbalanced="0"/>
    <cacheHierarchy uniqueName="[invoice].[dim_policy.Policy_ID]" caption="dim_policy.Policy_ID" attribute="1" defaultMemberUniqueName="[invoice].[dim_policy.Policy_ID].[All]" allUniqueName="[invoice].[dim_policy.Policy_ID].[All]" dimensionUniqueName="[invoice]" displayFolder="" count="2" memberValueDatatype="130" unbalanced="0"/>
    <cacheHierarchy uniqueName="[invoice].[Industry]" caption="Industry" attribute="1" defaultMemberUniqueName="[invoice].[Industry].[All]" allUniqueName="[invoice].[Industry].[All]" dimensionUniqueName="[invoice]" displayFolder="" count="2" memberValueDatatype="130" unbalanced="0"/>
    <cacheHierarchy uniqueName="[invoice].[Segment]" caption="Segment" attribute="1" defaultMemberUniqueName="[invoice].[Segment].[All]" allUniqueName="[invoice].[Segment].[All]" dimensionUniqueName="[invoice]" displayFolder="" count="2" memberValueDatatype="130" unbalanced="0">
      <fieldsUsage count="2">
        <fieldUsage x="-1"/>
        <fieldUsage x="4"/>
      </fieldsUsage>
    </cacheHierarchy>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2" memberValueDatatype="130" unbalanced="0"/>
    <cacheHierarchy uniqueName="[invoice].[invoice_date (Month)]" caption="invoice_date (Month)" attribute="1" defaultMemberUniqueName="[invoice].[invoice_date (Month)].[All]" allUniqueName="[invoice].[invoice_date (Month)].[All]" dimensionUniqueName="[invoice]" displayFolder="" count="2" memberValueDatatype="130" unbalanced="0"/>
    <cacheHierarchy uniqueName="[meeting].[Account Exe ID]" caption="Account Exe ID" attribute="1" defaultMemberUniqueName="[meeting].[Account Exe ID].[All]" allUniqueName="[meeting].[Account Exe ID].[All]" dimensionUniqueName="[meeting]" displayFolder="" count="2" memberValueDatatype="130" unbalanced="0"/>
    <cacheHierarchy uniqueName="[meeting].[Account Executive]" caption="Account Executive" attribute="1" defaultMemberUniqueName="[meeting].[Account Executive].[All]" allUniqueName="[meeting].[Account Executive].[All]" dimensionUniqueName="[meeting]" displayFolder="" count="2" memberValueDatatype="130" unbalanced="0"/>
    <cacheHierarchy uniqueName="[meeting].[branch_name]" caption="branch_name" attribute="1" defaultMemberUniqueName="[meeting].[branch_name].[All]" allUniqueName="[meeting].[branch_name].[All]" dimensionUniqueName="[meeting]" displayFolder="" count="2" memberValueDatatype="130" unbalanced="0"/>
    <cacheHierarchy uniqueName="[meeting].[global_attendees]" caption="global_attendees" attribute="1" defaultMemberUniqueName="[meeting].[global_attendees].[All]" allUniqueName="[meeting].[global_attendees].[All]" dimensionUniqueName="[meeting]" displayFolder="" count="2" memberValueDatatype="130" unbalanced="0"/>
    <cacheHierarchy uniqueName="[meeting].[meeting_date]" caption="meeting_date" attribute="1" time="1" defaultMemberUniqueName="[meeting].[meeting_date].[All]" allUniqueName="[meeting].[meeting_date].[All]" dimensionUniqueName="[meeting]" displayFolder="" count="2" memberValueDatatype="7"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cacheHierarchy uniqueName="[Opportunity].[opportunity_id]" caption="opportunity_id" attribute="1" defaultMemberUniqueName="[Opportunity].[opportunity_id].[All]" allUniqueName="[Opportunity].[opportunity_id].[All]" dimensionUniqueName="[Opportunity]" displayFolder="" count="2" memberValueDatatype="130" unbalanced="0"/>
    <cacheHierarchy uniqueName="[Opportunity].[Account Exe Id]" caption="Account Exe Id" attribute="1" defaultMemberUniqueName="[Opportunity].[Account Exe Id].[All]" allUniqueName="[Opportunity].[Account Exe Id].[All]" dimensionUniqueName="[Opportunity]" displayFolder="" count="2" memberValueDatatype="20" unbalanced="0"/>
    <cacheHierarchy uniqueName="[Opportunity].[Account Executive]" caption="Account Executive" attribute="1" defaultMemberUniqueName="[Opportunity].[Account Executive].[All]" allUniqueName="[Opportunity].[Account Executive].[All]" dimensionUniqueName="[Opportunity]" displayFolder="" count="2" memberValueDatatype="130" unbalanced="0"/>
    <cacheHierarchy uniqueName="[Opportunity].[premium_amount]" caption="premium_amount" attribute="1" defaultMemberUniqueName="[Opportunity].[premium_amount].[All]" allUniqueName="[Opportunity].[premium_amount].[All]" dimensionUniqueName="[Opportunity]" displayFolder="" count="2" memberValueDatatype="20" unbalanced="0"/>
    <cacheHierarchy uniqueName="[Opportunity].[revenue_amount]" caption="revenue_amount" attribute="1" defaultMemberUniqueName="[Opportunity].[revenue_amount].[All]" allUniqueName="[Opportunity].[revenue_amount].[All]" dimensionUniqueName="[Opportunity]" displayFolder="" count="2" memberValueDatatype="20" unbalanced="0"/>
    <cacheHierarchy uniqueName="[Opportunity].[closing_date]" caption="closing_date" attribute="1" time="1" defaultMemberUniqueName="[Opportunity].[closing_date].[All]" allUniqueName="[Opportunity].[closing_date].[All]" dimensionUniqueName="[Opportunity]" displayFolder="" count="2" memberValueDatatype="7" unbalanced="0"/>
    <cacheHierarchy uniqueName="[Opportunity].[stage]" caption="stage" attribute="1" defaultMemberUniqueName="[Opportunity].[stage].[All]" allUniqueName="[Opportunity].[stage].[All]" dimensionUniqueName="[Opportunity]" displayFolder="" count="2" memberValueDatatype="130" unbalanced="0"/>
    <cacheHierarchy uniqueName="[Opportunity].[branch]" caption="branch" attribute="1" defaultMemberUniqueName="[Opportunity].[branch].[All]" allUniqueName="[Opportunity].[branch].[All]" dimensionUniqueName="[Opportunity]" displayFolder="" count="2" memberValueDatatype="130" unbalanced="0"/>
    <cacheHierarchy uniqueName="[Opportunity].[specialty]" caption="specialty" attribute="1" defaultMemberUniqueName="[Opportunity].[specialty].[All]" allUniqueName="[Opportunity].[specialty].[All]" dimensionUniqueName="[Opportunity]" displayFolder="" count="2" memberValueDatatype="130" unbalanced="0"/>
    <cacheHierarchy uniqueName="[Opportunity].[product_group]" caption="product_group" attribute="1" defaultMemberUniqueName="[Opportunity].[product_group].[All]" allUniqueName="[Opportunity].[product_group].[All]" dimensionUniqueName="[Opportunity]" displayFolder="" count="2" memberValueDatatype="130" unbalanced="0"/>
    <cacheHierarchy uniqueName="[Opportunity].[product_sub_group]" caption="product_sub_group" attribute="1" defaultMemberUniqueName="[Opportunity].[product_sub_group].[All]" allUniqueName="[Opportunity].[product_sub_group].[All]" dimensionUniqueName="[Opportunity]" displayFolder="" count="2" memberValueDatatype="130" unbalanced="0"/>
    <cacheHierarchy uniqueName="[Opportunity].[risk_details]" caption="risk_details" attribute="1" defaultMemberUniqueName="[Opportunity].[risk_details].[All]" allUniqueName="[Opportunity].[risk_details].[All]" dimensionUniqueName="[Opportunity]" displayFolder="" count="2"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2"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oneField="1">
      <fieldsUsage count="1">
        <fieldUsage x="0"/>
      </fieldsUsage>
    </cacheHierarchy>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oneField="1">
      <fieldsUsage count="1">
        <fieldUsage x="2"/>
      </fieldsUsage>
    </cacheHierarchy>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493981485" backgroundQuery="1" createdVersion="8" refreshedVersion="8" minRefreshableVersion="3" recordCount="0" supportSubquery="1" supportAdvancedDrill="1" xr:uid="{B0A0B9E1-4F23-492C-A642-890FD8307280}">
  <cacheSource type="external" connectionId="14"/>
  <cacheFields count="3">
    <cacheField name="[Measures].[Client_Segment_%]" caption="Client_Segment_%" numFmtId="0" hierarchy="164" level="32767"/>
    <cacheField name="[invoice].[Segment].[Segment]" caption="Segment" numFmtId="0" hierarchy="88" level="1">
      <sharedItems count="5">
        <s v="Emerging Corporate"/>
        <s v="Large Corporate"/>
        <s v="Mid Corporate"/>
        <s v="SME"/>
        <s v="Unclassified"/>
      </sharedItems>
    </cacheField>
    <cacheField name="[Individual_Budgets].[Branch].[Branch]" caption="Branch" numFmtId="0" hierarchy="67"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0"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2"/>
      </fieldsUsage>
    </cacheHierarchy>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2" memberValueDatatype="130" unbalanced="0">
      <fieldsUsage count="2">
        <fieldUsage x="-1"/>
        <fieldUsage x="1"/>
      </fieldsUsage>
    </cacheHierarchy>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oneField="1">
      <fieldsUsage count="1">
        <fieldUsage x="0"/>
      </fieldsUsage>
    </cacheHierarchy>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50138889" backgroundQuery="1" createdVersion="8" refreshedVersion="8" minRefreshableVersion="3" recordCount="0" supportSubquery="1" supportAdvancedDrill="1" xr:uid="{CFD4B42B-84AF-4BB0-BC13-9330FC1CA3CA}">
  <cacheSource type="external" connectionId="14"/>
  <cacheFields count="8">
    <cacheField name="[Measures].[Branch_Budget_vs_Placed_Inv]" caption="Branch_Budget_vs_Placed_Inv" numFmtId="0" hierarchy="155" level="32767"/>
    <cacheField name="[Measures].[Branch_Conversion_Ratio]" caption="Branch_Conversion_Ratio" numFmtId="0" hierarchy="149" level="32767"/>
    <cacheField name="[Measures].[Branch_Meeting_Intensity]" caption="Branch_Meeting_Intensity" numFmtId="0" hierarchy="150" level="32767"/>
    <cacheField name="[Measures].[Exec_Revenue_Contribution_%]" caption="Exec_Revenue_Contribution_%" numFmtId="0" hierarchy="152" level="32767"/>
    <cacheField name="[dim_account_exe].[Branch_Name].[Branch_Name]" caption="Branch_Name" numFmtId="0" hierarchy="27" level="1">
      <sharedItems count="7">
        <s v="Ahmedabad"/>
        <s v="Bangalore"/>
        <s v="Chennai"/>
        <s v="Delhi"/>
        <s v="Hyderabad"/>
        <s v="Mumbai"/>
        <s v="Pune"/>
      </sharedItems>
    </cacheField>
    <cacheField name="[dim_account_exe].[Account_Executive].[Account_Executive]" caption="Account_Executive" numFmtId="0" hierarchy="26" level="1">
      <sharedItems count="45">
        <s v="Abhinav Shivam"/>
        <s v="Animesh Rawat"/>
        <s v="Gilbert"/>
        <s v="Juli"/>
        <s v="Ketan Jain"/>
        <s v="Kumar Jha"/>
        <s v="Manish Sharma"/>
        <s v="Mark"/>
        <s v="Raju Kumar"/>
        <s v="Shivani Sharma"/>
        <s v="Vidit Shah"/>
        <s v="Vinay"/>
        <s v="Arjun Prabhu"/>
        <s v="Divya Menon"/>
        <s v="Karthik Iyer"/>
        <s v="Meera Pillai"/>
        <s v="Rahul Kumar"/>
        <s v="Sneha Rao"/>
        <s v="Ananya Suresh"/>
        <s v="Lakshmi Rajan"/>
        <s v="Muthu Raman"/>
        <s v="Pradeep Mohan"/>
        <s v="Vijay Krishnan"/>
        <s v="Arun Khanna"/>
        <s v="Deepak Verma"/>
        <s v="Kavya Sharma"/>
        <s v="Mohit Gupta"/>
        <s v="Ritu Saxena"/>
        <s v="Sunita Arora"/>
        <s v="Bhavani Devi"/>
        <s v="Chandra Mouli"/>
        <s v="Madhavi Latha"/>
        <s v="Ravi Shankar"/>
        <s v="Srinivas Rao"/>
        <s v="Anjali Mehta"/>
        <s v="Neha Joshi"/>
        <s v="Pooja Singhania"/>
        <s v="Rohit Desai"/>
        <s v="Sanjay Patil"/>
        <s v="Vikram Shah"/>
        <s v="Nitin Joshi"/>
        <s v="Pallavi More"/>
        <s v="Rekha Pawar"/>
        <s v="Sachin Bhor"/>
        <s v="Swati Deshpande"/>
      </sharedItems>
    </cacheField>
    <cacheField name="[Measures].[Total_Placed_Revenue]" caption="Total_Placed_Revenue" numFmtId="0" hierarchy="167" level="32767"/>
    <cacheField name="[Individual_Budgets].[Branch].[Branch]" caption="Branch" numFmtId="0" hierarchy="67"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2" memberValueDatatype="130" unbalanced="0"/>
    <cacheHierarchy uniqueName="[brokerage].[policy_number]" caption="policy_number" attribute="1" defaultMemberUniqueName="[brokerage].[policy_number].[All]" allUniqueName="[brokerage].[policy_number].[All]" dimensionUniqueName="[brokerage]" displayFolder="" count="2" memberValueDatatype="130" unbalanced="0"/>
    <cacheHierarchy uniqueName="[brokerage].[policy_status]" caption="policy_status" attribute="1" defaultMemberUniqueName="[brokerage].[policy_status].[All]" allUniqueName="[brokerage].[policy_status].[All]" dimensionUniqueName="[brokerage]" displayFolder="" count="2" memberValueDatatype="130" unbalanced="0"/>
    <cacheHierarchy uniqueName="[brokerage].[Amount]" caption="Amount" attribute="1" defaultMemberUniqueName="[brokerage].[Amount].[All]" allUniqueName="[brokerage].[Amount].[All]" dimensionUniqueName="[brokerage]" displayFolder="" count="2" memberValueDatatype="5" unbalanced="0"/>
    <cacheHierarchy uniqueName="[brokerage].[policy_start_date]" caption="policy_start_date" attribute="1" time="1" defaultMemberUniqueName="[brokerage].[policy_start_date].[All]" allUniqueName="[brokerage].[policy_start_date].[All]" dimensionUniqueName="[brokerage]" displayFolder="" count="2" memberValueDatatype="7" unbalanced="0"/>
    <cacheHierarchy uniqueName="[brokerage].[policy_end_date]" caption="policy_end_date" attribute="1" time="1" defaultMemberUniqueName="[brokerage].[policy_end_date].[All]" allUniqueName="[brokerage].[policy_end_date].[All]" dimensionUniqueName="[brokerage]" displayFolder="" count="2" memberValueDatatype="7" unbalanced="0"/>
    <cacheHierarchy uniqueName="[brokerage].[product_group]" caption="product_group" attribute="1" defaultMemberUniqueName="[brokerage].[product_group].[All]" allUniqueName="[brokerage].[product_group].[All]" dimensionUniqueName="[brokerage]" displayFolder="" count="2" memberValueDatatype="130" unbalanced="0"/>
    <cacheHierarchy uniqueName="[brokerage].[Exec_ID]" caption="Exec_ID" attribute="1" defaultMemberUniqueName="[brokerage].[Exec_ID].[All]" allUniqueName="[brokerage].[Exec_ID].[All]" dimensionUniqueName="[brokerage]" displayFolder="" count="2" memberValueDatatype="130" unbalanced="0"/>
    <cacheHierarchy uniqueName="[brokerage].[Exec_Name]" caption="Exec_Name" attribute="1" defaultMemberUniqueName="[brokerage].[Exec_Name].[All]" allUniqueName="[brokerage].[Exec_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2" memberValueDatatype="130" unbalanced="0"/>
    <cacheHierarchy uniqueName="[brokerage].[solution_group]" caption="solution_group" attribute="1" defaultMemberUniqueName="[brokerage].[solution_group].[All]" allUniqueName="[brokerage].[solution_group].[All]" dimensionUniqueName="[brokerage]" displayFolder="" count="2"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2"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2" memberValueDatatype="130" unbalanced="0"/>
    <cacheHierarchy uniqueName="[brokerage].[renewal_status]" caption="renewal_status" attribute="1" defaultMemberUniqueName="[brokerage].[renewal_status].[All]" allUniqueName="[brokerage].[renewal_status].[All]" dimensionUniqueName="[brokerage]" displayFolder="" count="2" memberValueDatatype="130" unbalanced="0"/>
    <cacheHierarchy uniqueName="[brokerage].[lapse_reason]" caption="lapse_reason" attribute="1" defaultMemberUniqueName="[brokerage].[lapse_reason].[All]" allUniqueName="[brokerage].[lapse_reason].[All]" dimensionUniqueName="[brokerage]" displayFolder="" count="2" memberValueDatatype="130" unbalanced="0"/>
    <cacheHierarchy uniqueName="[brokerage].[last_updated_date]" caption="last_updated_date" attribute="1" time="1" defaultMemberUniqueName="[brokerage].[last_updated_date].[All]" allUniqueName="[brokerage].[last_updated_date].[All]" dimensionUniqueName="[brokerage]" displayFolder="" count="2" memberValueDatatype="7" unbalanced="0"/>
    <cacheHierarchy uniqueName="[brokerage].[Policy_ID]" caption="Policy_ID" attribute="1" defaultMemberUniqueName="[brokerage].[Policy_ID].[All]" allUniqueName="[brokerage].[Policy_ID].[All]" dimensionUniqueName="[brokerage]" displayFolder="" count="2" memberValueDatatype="130" unbalanced="0"/>
    <cacheHierarchy uniqueName="[BudgetAllocation].[Month]" caption="Month" attribute="1" defaultMemberUniqueName="[BudgetAllocation].[Month].[All]" allUniqueName="[BudgetAllocation].[Month].[All]" dimensionUniqueName="[BudgetAllocation]" displayFolder="" count="2" memberValueDatatype="20" unbalanced="0"/>
    <cacheHierarchy uniqueName="[BudgetAllocation].[AllocationPct]" caption="AllocationPct" attribute="1" defaultMemberUniqueName="[BudgetAllocation].[AllocationPct].[All]" allUniqueName="[BudgetAllocation].[AllocationPct].[All]" dimensionUniqueName="[BudgetAllocation]" displayFolder="" count="2" memberValueDatatype="5" unbalanced="0"/>
    <cacheHierarchy uniqueName="[DateTable].[Date]" caption="Date" attribute="1" time="1" keyAttribute="1" defaultMemberUniqueName="[DateTable].[Date].[All]" allUniqueName="[DateTable].[Date].[All]" dimensionUniqueName="[DateTable]" displayFolder="" count="2" memberValueDatatype="7" unbalanced="0"/>
    <cacheHierarchy uniqueName="[DateTable].[Year]" caption="Year" attribute="1" time="1" defaultMemberUniqueName="[DateTable].[Year].[All]" allUniqueName="[DateTable].[Year].[All]" dimensionUniqueName="[DateTable]" displayFolder="" count="2" memberValueDatatype="20" unbalanced="0"/>
    <cacheHierarchy uniqueName="[DateTable].[Month Name]" caption="Month Name" attribute="1" time="1" defaultMemberUniqueName="[DateTable].[Month Name].[All]" allUniqueName="[DateTable].[Month Name].[All]" dimensionUniqueName="[DateTable]" displayFolder="" count="2" memberValueDatatype="130" unbalanced="0"/>
    <cacheHierarchy uniqueName="[DateTable].[Month]" caption="Month" attribute="1" time="1" defaultMemberUniqueName="[DateTable].[Month].[All]" allUniqueName="[DateTable].[Month].[All]" dimensionUniqueName="[DateTable]" displayFolder="" count="2" memberValueDatatype="20" unbalanced="0"/>
    <cacheHierarchy uniqueName="[DateTable].[Quarter]" caption="Quarter" attribute="1" time="1" defaultMemberUniqueName="[DateTable].[Quarter].[All]" allUniqueName="[DateTable].[Quarter].[All]" dimensionUniqueName="[DateTable]" displayFolder="" count="2" memberValueDatatype="20" unbalanced="0"/>
    <cacheHierarchy uniqueName="[dim_account_exe].[Exec_ID]" caption="Exec_ID" attribute="1" defaultMemberUniqueName="[dim_account_exe].[Exec_ID].[All]" allUniqueName="[dim_account_exe].[Exec_ID].[All]" dimensionUniqueName="[dim_account_exe]" displayFolder="" count="2"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2" memberValueDatatype="130" unbalanced="0">
      <fieldsUsage count="2">
        <fieldUsage x="-1"/>
        <fieldUsage x="5"/>
      </fieldsUsage>
    </cacheHierarchy>
    <cacheHierarchy uniqueName="[dim_account_exe].[Branch_Name]" caption="Branch_Name" attribute="1" defaultMemberUniqueName="[dim_account_exe].[Branch_Name].[All]" allUniqueName="[dim_account_exe].[Branch_Name].[All]" dimensionUniqueName="[dim_account_exe]" displayFolder="" count="2" memberValueDatatype="130" unbalanced="0">
      <fieldsUsage count="2">
        <fieldUsage x="-1"/>
        <fieldUsage x="4"/>
      </fieldsUsage>
    </cacheHierarchy>
    <cacheHierarchy uniqueName="[dim_account_exe].[Role]" caption="Role" attribute="1" defaultMemberUniqueName="[dim_account_exe].[Role].[All]" allUniqueName="[dim_account_exe].[Role].[All]" dimensionUniqueName="[dim_account_exe]" displayFolder="" count="2"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2" memberValueDatatype="130" unbalanced="0"/>
    <cacheHierarchy uniqueName="[dim_account_exe].[Email]" caption="Email" attribute="1" defaultMemberUniqueName="[dim_account_exe].[Email].[All]" allUniqueName="[dim_account_exe].[Email].[All]" dimensionUniqueName="[dim_account_exe]" displayFolder="" count="2" memberValueDatatype="130" unbalanced="0"/>
    <cacheHierarchy uniqueName="[dim_branch].[Branch_ID]" caption="Branch_ID" attribute="1" defaultMemberUniqueName="[dim_branch].[Branch_ID].[All]" allUniqueName="[dim_branch].[Branch_ID].[All]" dimensionUniqueName="[dim_branch]" displayFolder="" count="2"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2" memberValueDatatype="130" unbalanced="0"/>
    <cacheHierarchy uniqueName="[dim_branch].[Region]" caption="Region" attribute="1" defaultMemberUniqueName="[dim_branch].[Region].[All]" allUniqueName="[dim_branch].[Region].[All]" dimensionUniqueName="[dim_branch]" displayFolder="" count="2" memberValueDatatype="130" unbalanced="0"/>
    <cacheHierarchy uniqueName="[dim_branch].[BranchHead_ID]" caption="BranchHead_ID" attribute="1" defaultMemberUniqueName="[dim_branch].[BranchHead_ID].[All]" allUniqueName="[dim_branch].[BranchHead_ID].[All]" dimensionUniqueName="[dim_branch]" displayFolder="" count="2" memberValueDatatype="130" unbalanced="0"/>
    <cacheHierarchy uniqueName="[dim_branch].[BranchHead_Name]" caption="BranchHead_Name" attribute="1" defaultMemberUniqueName="[dim_branch].[BranchHead_Name].[All]" allUniqueName="[dim_branch].[BranchHead_Name].[All]" dimensionUniqueName="[dim_branch]" displayFolder="" count="2" memberValueDatatype="130" unbalanced="0"/>
    <cacheHierarchy uniqueName="[dim_branch].[Established_Year]" caption="Established_Year" attribute="1" defaultMemberUniqueName="[dim_branch].[Established_Year].[All]" allUniqueName="[dim_branch].[Established_Year].[All]" dimensionUniqueName="[dim_branch]" displayFolder="" count="2" memberValueDatatype="20" unbalanced="0"/>
    <cacheHierarchy uniqueName="[dim_branch].[Target_FY_Lakh]" caption="Target_FY_Lakh" attribute="1" defaultMemberUniqueName="[dim_branch].[Target_FY_Lakh].[All]" allUniqueName="[dim_branch].[Target_FY_Lakh].[All]" dimensionUniqueName="[dim_branch]" displayFolder="" count="2" memberValueDatatype="5" unbalanced="0"/>
    <cacheHierarchy uniqueName="[dim_client].[Client_ID]" caption="Client_ID" attribute="1" defaultMemberUniqueName="[dim_client].[Client_ID].[All]" allUniqueName="[dim_client].[Client_ID].[All]" dimensionUniqueName="[dim_client]" displayFolder="" count="2" memberValueDatatype="130" unbalanced="0"/>
    <cacheHierarchy uniqueName="[dim_client].[Client_Name]" caption="Client_Name" attribute="1" defaultMemberUniqueName="[dim_client].[Client_Name].[All]" allUniqueName="[dim_client].[Client_Name].[All]" dimensionUniqueName="[dim_client]" displayFolder="" count="2" memberValueDatatype="130" unbalanced="0"/>
    <cacheHierarchy uniqueName="[dim_client].[Industry]" caption="Industry" attribute="1" defaultMemberUniqueName="[dim_client].[Industry].[All]" allUniqueName="[dim_client].[Industry].[All]" dimensionUniqueName="[dim_client]" displayFolder="" count="2" memberValueDatatype="130" unbalanced="0"/>
    <cacheHierarchy uniqueName="[dim_client].[City]" caption="City" attribute="1" defaultMemberUniqueName="[dim_client].[City].[All]" allUniqueName="[dim_client].[City].[All]" dimensionUniqueName="[dim_client]" displayFolder="" count="2" memberValueDatatype="130" unbalanced="0"/>
    <cacheHierarchy uniqueName="[dim_client].[State]" caption="State" attribute="1" defaultMemberUniqueName="[dim_client].[State].[All]" allUniqueName="[dim_client].[State].[All]" dimensionUniqueName="[dim_client]" displayFolder="" count="2" memberValueDatatype="130" unbalanced="0"/>
    <cacheHierarchy uniqueName="[dim_client].[Client_Since]" caption="Client_Since" attribute="1" time="1" defaultMemberUniqueName="[dim_client].[Client_Since].[All]" allUniqueName="[dim_client].[Client_Since].[All]" dimensionUniqueName="[dim_client]" displayFolder="" count="2" memberValueDatatype="7" unbalanced="0"/>
    <cacheHierarchy uniqueName="[dim_client].[Segment]" caption="Segment" attribute="1" defaultMemberUniqueName="[dim_client].[Segment].[All]" allUniqueName="[dim_client].[Segment].[All]" dimensionUniqueName="[dim_client]" displayFolder="" count="2" memberValueDatatype="130" unbalanced="0"/>
    <cacheHierarchy uniqueName="[dim_client].[RM_ID]" caption="RM_ID" attribute="1" defaultMemberUniqueName="[dim_client].[RM_ID].[All]" allUniqueName="[dim_client].[RM_ID].[All]" dimensionUniqueName="[dim_client]" displayFolder="" count="2" memberValueDatatype="130" unbalanced="0"/>
    <cacheHierarchy uniqueName="[dim_policy].[Policy_ID]" caption="Policy_ID" attribute="1" defaultMemberUniqueName="[dim_policy].[Policy_ID].[All]" allUniqueName="[dim_policy].[Policy_ID].[All]" dimensionUniqueName="[dim_policy]" displayFolder="" count="2" memberValueDatatype="130" unbalanced="0"/>
    <cacheHierarchy uniqueName="[dim_policy].[Policy_Number]" caption="Policy_Number" attribute="1" defaultMemberUniqueName="[dim_policy].[Policy_Number].[All]" allUniqueName="[dim_policy].[Policy_Number].[All]" dimensionUniqueName="[dim_policy]" displayFolder="" count="2" memberValueDatatype="130" unbalanced="0"/>
    <cacheHierarchy uniqueName="[dim_policy].[Product_Group]" caption="Product_Group" attribute="1" defaultMemberUniqueName="[dim_policy].[Product_Group].[All]" allUniqueName="[dim_policy].[Product_Group].[All]" dimensionUniqueName="[dim_policy]" displayFolder="" count="2" memberValueDatatype="130" unbalanced="0"/>
    <cacheHierarchy uniqueName="[dim_policy].[Policy_Status]" caption="Policy_Status" attribute="1" defaultMemberUniqueName="[dim_policy].[Policy_Status].[All]" allUniqueName="[dim_policy].[Policy_Status].[All]" dimensionUniqueName="[dim_policy]" displayFolder="" count="2" memberValueDatatype="130" unbalanced="0"/>
    <cacheHierarchy uniqueName="[dim_policy].[Policy_Start_Date]" caption="Policy_Start_Date" attribute="1" time="1" defaultMemberUniqueName="[dim_policy].[Policy_Start_Date].[All]" allUniqueName="[dim_policy].[Policy_Start_Date].[All]" dimensionUniqueName="[dim_policy]" displayFolder="" count="2" memberValueDatatype="7" unbalanced="0"/>
    <cacheHierarchy uniqueName="[dim_policy].[Policy_End_Date]" caption="Policy_End_Date" attribute="1" time="1" defaultMemberUniqueName="[dim_policy].[Policy_End_Date].[All]" allUniqueName="[dim_policy].[Policy_End_Date].[All]" dimensionUniqueName="[dim_policy]" displayFolder="" count="2" memberValueDatatype="7" unbalanced="0"/>
    <cacheHierarchy uniqueName="[dim_policy].[Renewal_Status]" caption="Renewal_Status" attribute="1" defaultMemberUniqueName="[dim_policy].[Renewal_Status].[All]" allUniqueName="[dim_policy].[Renewal_Status].[All]" dimensionUniqueName="[dim_policy]" displayFolder="" count="2"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2"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2" memberValueDatatype="130" unbalanced="0"/>
    <cacheHierarchy uniqueName="[dim_solution_group].[Segment]" caption="Segment" attribute="1" defaultMemberUniqueName="[dim_solution_group].[Segment].[All]" allUniqueName="[dim_solution_group].[Segment].[All]" dimensionUniqueName="[dim_solution_group]" displayFolder="" count="2" memberValueDatatype="130" unbalanced="0"/>
    <cacheHierarchy uniqueName="[dim_solution_group].[Category]" caption="Category" attribute="1" defaultMemberUniqueName="[dim_solution_group].[Category].[All]" allUniqueName="[dim_solution_group].[Category].[All]" dimensionUniqueName="[dim_solution_group]" displayFolder="" count="2" memberValueDatatype="130" unbalanced="0"/>
    <cacheHierarchy uniqueName="[fees].[client_name]" caption="client_name" attribute="1" defaultMemberUniqueName="[fees].[client_name].[All]" allUniqueName="[fees].[client_name].[All]" dimensionUniqueName="[fees]" displayFolder="" count="2" memberValueDatatype="130" unbalanced="0"/>
    <cacheHierarchy uniqueName="[fees].[branch_name]" caption="branch_name" attribute="1" defaultMemberUniqueName="[fees].[branch_name].[All]" allUniqueName="[fees].[branch_name].[All]" dimensionUniqueName="[fees]" displayFolder="" count="2" memberValueDatatype="130" unbalanced="0"/>
    <cacheHierarchy uniqueName="[fees].[solution_group]" caption="solution_group" attribute="1" defaultMemberUniqueName="[fees].[solution_group].[All]" allUniqueName="[fees].[solution_group].[All]" dimensionUniqueName="[fees]" displayFolder="" count="2" memberValueDatatype="130" unbalanced="0"/>
    <cacheHierarchy uniqueName="[fees].[Exec_ID]" caption="Exec_ID" attribute="1" defaultMemberUniqueName="[fees].[Exec_ID].[All]" allUniqueName="[fees].[Exec_ID].[All]" dimensionUniqueName="[fees]" displayFolder="" count="2" memberValueDatatype="130" unbalanced="0"/>
    <cacheHierarchy uniqueName="[fees].[Account_Executive]" caption="Account_Executive" attribute="1" defaultMemberUniqueName="[fees].[Account_Executive].[All]" allUniqueName="[fees].[Account_Executive].[All]" dimensionUniqueName="[fees]" displayFolder="" count="2" memberValueDatatype="130" unbalanced="0"/>
    <cacheHierarchy uniqueName="[fees].[income_class]" caption="income_class" attribute="1" defaultMemberUniqueName="[fees].[income_class].[All]" allUniqueName="[fees].[income_class].[All]" dimensionUniqueName="[fees]" displayFolder="" count="2" memberValueDatatype="130" unbalanced="0"/>
    <cacheHierarchy uniqueName="[fees].[Amount]" caption="Amount" attribute="1" defaultMemberUniqueName="[fees].[Amount].[All]" allUniqueName="[fees].[Amount].[All]" dimensionUniqueName="[fees]" displayFolder="" count="2" memberValueDatatype="5" unbalanced="0"/>
    <cacheHierarchy uniqueName="[fees].[income_due_date]" caption="income_due_date" attribute="1" time="1" defaultMemberUniqueName="[fees].[income_due_date].[All]" allUniqueName="[fees].[income_due_date].[All]" dimensionUniqueName="[fees]" displayFolder="" count="2" memberValueDatatype="7" unbalanced="0"/>
    <cacheHierarchy uniqueName="[fees].[revenue_transaction_type]" caption="revenue_transaction_type" attribute="1" defaultMemberUniqueName="[fees].[revenue_transaction_type].[All]" allUniqueName="[fees].[revenue_transaction_type].[All]" dimensionUniqueName="[fees]" displayFolder="" count="2" memberValueDatatype="130" unbalanced="0"/>
    <cacheHierarchy uniqueName="[Individual_Budgets].[Branch]" caption="Branch" attribute="1" defaultMemberUniqueName="[Individual_Budgets].[Branch].[All]" allUniqueName="[Individual_Budgets].[Branch].[All]" dimensionUniqueName="[Individual_Budgets]" displayFolder="" count="2" memberValueDatatype="130" unbalanced="0">
      <fieldsUsage count="2">
        <fieldUsage x="-1"/>
        <fieldUsage x="7"/>
      </fieldsUsage>
    </cacheHierarchy>
    <cacheHierarchy uniqueName="[Individual_Budgets].[Exec_ID]" caption="Exec_ID" attribute="1" defaultMemberUniqueName="[Individual_Budgets].[Exec_ID].[All]" allUniqueName="[Individual_Budgets].[Exec_ID].[All]" dimensionUniqueName="[Individual_Budgets]" displayFolder="" count="2"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2" memberValueDatatype="130" unbalanced="0"/>
    <cacheHierarchy uniqueName="[Individual_Budgets].[New_Role2]" caption="New_Role2" attribute="1" defaultMemberUniqueName="[Individual_Budgets].[New_Role2].[All]" allUniqueName="[Individual_Budgets].[New_Role2].[All]" dimensionUniqueName="[Individual_Budgets]" displayFolder="" count="2" memberValueDatatype="130" unbalanced="0"/>
    <cacheHierarchy uniqueName="[Individual_Budgets].[Budget_New]" caption="Budget_New" attribute="1" defaultMemberUniqueName="[Individual_Budgets].[Budget_New].[All]" allUniqueName="[Individual_Budgets].[Budget_New].[All]" dimensionUniqueName="[Individual_Budgets]" displayFolder="" count="2"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2"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2" memberValueDatatype="5" unbalanced="0"/>
    <cacheHierarchy uniqueName="[invoice].[invoice_number]" caption="invoice_number" attribute="1" defaultMemberUniqueName="[invoice].[invoice_number].[All]" allUniqueName="[invoice].[invoice_number].[All]" dimensionUniqueName="[invoice]" displayFolder="" count="2" memberValueDatatype="130" unbalanced="0"/>
    <cacheHierarchy uniqueName="[invoice].[invoice_date]" caption="invoice_date" attribute="1" time="1" defaultMemberUniqueName="[invoice].[invoice_date].[All]" allUniqueName="[invoice].[invoice_date].[All]" dimensionUniqueName="[invoice]" displayFolder="" count="2"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2" memberValueDatatype="130" unbalanced="0"/>
    <cacheHierarchy uniqueName="[invoice].[branch_name]" caption="branch_name" attribute="1" defaultMemberUniqueName="[invoice].[branch_name].[All]" allUniqueName="[invoice].[branch_name].[All]" dimensionUniqueName="[invoice]" displayFolder="" count="2" memberValueDatatype="130" unbalanced="0"/>
    <cacheHierarchy uniqueName="[invoice].[solution_group]" caption="solution_group" attribute="1" defaultMemberUniqueName="[invoice].[solution_group].[All]" allUniqueName="[invoice].[solution_group].[All]" dimensionUniqueName="[invoice]" displayFolder="" count="2" memberValueDatatype="130" unbalanced="0"/>
    <cacheHierarchy uniqueName="[invoice].[Exec_ID]" caption="Exec_ID" attribute="1" defaultMemberUniqueName="[invoice].[Exec_ID].[All]" allUniqueName="[invoice].[Exec_ID].[All]" dimensionUniqueName="[invoice]" displayFolder="" count="2" memberValueDatatype="130" unbalanced="0"/>
    <cacheHierarchy uniqueName="[invoice].[Account_Executive]" caption="Account_Executive" attribute="1" defaultMemberUniqueName="[invoice].[Account_Executive].[All]" allUniqueName="[invoice].[Account_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2" memberValueDatatype="130" unbalanced="0"/>
    <cacheHierarchy uniqueName="[invoice].[Client_Name]" caption="Client_Name" attribute="1" defaultMemberUniqueName="[invoice].[Client_Name].[All]" allUniqueName="[invoice].[Client_Name].[All]" dimensionUniqueName="[invoice]" displayFolder="" count="2" memberValueDatatype="130" unbalanced="0"/>
    <cacheHierarchy uniqueName="[invoice].[policy_number]" caption="policy_number" attribute="1" defaultMemberUniqueName="[invoice].[policy_number].[All]" allUniqueName="[invoice].[policy_number].[All]" dimensionUniqueName="[invoice]" displayFolder="" count="2" memberValueDatatype="130" unbalanced="0"/>
    <cacheHierarchy uniqueName="[invoice].[Amount]" caption="Amount" attribute="1" defaultMemberUniqueName="[invoice].[Amount].[All]" allUniqueName="[invoice].[Amount].[All]" dimensionUniqueName="[invoice]" displayFolder="" count="2" memberValueDatatype="5" unbalanced="0"/>
    <cacheHierarchy uniqueName="[invoice].[income_due_date]" caption="income_due_date" attribute="1" time="1" defaultMemberUniqueName="[invoice].[income_due_date].[All]" allUniqueName="[invoice].[income_due_date].[All]" dimensionUniqueName="[invoice]" displayFolder="" count="2" memberValueDatatype="7" unbalanced="0"/>
    <cacheHierarchy uniqueName="[invoice].[dim_policy.Policy_ID]" caption="dim_policy.Policy_ID" attribute="1" defaultMemberUniqueName="[invoice].[dim_policy.Policy_ID].[All]" allUniqueName="[invoice].[dim_policy.Policy_ID].[All]" dimensionUniqueName="[invoice]" displayFolder="" count="2" memberValueDatatype="130" unbalanced="0"/>
    <cacheHierarchy uniqueName="[invoice].[Industry]" caption="Industry" attribute="1" defaultMemberUniqueName="[invoice].[Industry].[All]" allUniqueName="[invoice].[Industry].[All]" dimensionUniqueName="[invoice]" displayFolder="" count="2" memberValueDatatype="130" unbalanced="0"/>
    <cacheHierarchy uniqueName="[invoice].[Segment]" caption="Segment" attribute="1" defaultMemberUniqueName="[invoice].[Segment].[All]" allUniqueName="[invoice].[Segment].[All]" dimensionUniqueName="[invoice]" displayFolder="" count="2"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2" memberValueDatatype="130" unbalanced="0"/>
    <cacheHierarchy uniqueName="[invoice].[invoice_date (Month)]" caption="invoice_date (Month)" attribute="1" defaultMemberUniqueName="[invoice].[invoice_date (Month)].[All]" allUniqueName="[invoice].[invoice_date (Month)].[All]" dimensionUniqueName="[invoice]" displayFolder="" count="2" memberValueDatatype="130" unbalanced="0"/>
    <cacheHierarchy uniqueName="[meeting].[Account Exe ID]" caption="Account Exe ID" attribute="1" defaultMemberUniqueName="[meeting].[Account Exe ID].[All]" allUniqueName="[meeting].[Account Exe ID].[All]" dimensionUniqueName="[meeting]" displayFolder="" count="2" memberValueDatatype="130" unbalanced="0"/>
    <cacheHierarchy uniqueName="[meeting].[Account Executive]" caption="Account Executive" attribute="1" defaultMemberUniqueName="[meeting].[Account Executive].[All]" allUniqueName="[meeting].[Account Executive].[All]" dimensionUniqueName="[meeting]" displayFolder="" count="2" memberValueDatatype="130" unbalanced="0"/>
    <cacheHierarchy uniqueName="[meeting].[branch_name]" caption="branch_name" attribute="1" defaultMemberUniqueName="[meeting].[branch_name].[All]" allUniqueName="[meeting].[branch_name].[All]" dimensionUniqueName="[meeting]" displayFolder="" count="2" memberValueDatatype="130" unbalanced="0"/>
    <cacheHierarchy uniqueName="[meeting].[global_attendees]" caption="global_attendees" attribute="1" defaultMemberUniqueName="[meeting].[global_attendees].[All]" allUniqueName="[meeting].[global_attendees].[All]" dimensionUniqueName="[meeting]" displayFolder="" count="2" memberValueDatatype="130" unbalanced="0"/>
    <cacheHierarchy uniqueName="[meeting].[meeting_date]" caption="meeting_date" attribute="1" time="1" defaultMemberUniqueName="[meeting].[meeting_date].[All]" allUniqueName="[meeting].[meeting_date].[All]" dimensionUniqueName="[meeting]" displayFolder="" count="2" memberValueDatatype="7"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cacheHierarchy uniqueName="[Opportunity].[opportunity_id]" caption="opportunity_id" attribute="1" defaultMemberUniqueName="[Opportunity].[opportunity_id].[All]" allUniqueName="[Opportunity].[opportunity_id].[All]" dimensionUniqueName="[Opportunity]" displayFolder="" count="2" memberValueDatatype="130" unbalanced="0"/>
    <cacheHierarchy uniqueName="[Opportunity].[Account Exe Id]" caption="Account Exe Id" attribute="1" defaultMemberUniqueName="[Opportunity].[Account Exe Id].[All]" allUniqueName="[Opportunity].[Account Exe Id].[All]" dimensionUniqueName="[Opportunity]" displayFolder="" count="2" memberValueDatatype="20" unbalanced="0"/>
    <cacheHierarchy uniqueName="[Opportunity].[Account Executive]" caption="Account Executive" attribute="1" defaultMemberUniqueName="[Opportunity].[Account Executive].[All]" allUniqueName="[Opportunity].[Account Executive].[All]" dimensionUniqueName="[Opportunity]" displayFolder="" count="2" memberValueDatatype="130" unbalanced="0"/>
    <cacheHierarchy uniqueName="[Opportunity].[premium_amount]" caption="premium_amount" attribute="1" defaultMemberUniqueName="[Opportunity].[premium_amount].[All]" allUniqueName="[Opportunity].[premium_amount].[All]" dimensionUniqueName="[Opportunity]" displayFolder="" count="2" memberValueDatatype="20" unbalanced="0"/>
    <cacheHierarchy uniqueName="[Opportunity].[revenue_amount]" caption="revenue_amount" attribute="1" defaultMemberUniqueName="[Opportunity].[revenue_amount].[All]" allUniqueName="[Opportunity].[revenue_amount].[All]" dimensionUniqueName="[Opportunity]" displayFolder="" count="2" memberValueDatatype="20" unbalanced="0"/>
    <cacheHierarchy uniqueName="[Opportunity].[closing_date]" caption="closing_date" attribute="1" time="1" defaultMemberUniqueName="[Opportunity].[closing_date].[All]" allUniqueName="[Opportunity].[closing_date].[All]" dimensionUniqueName="[Opportunity]" displayFolder="" count="2" memberValueDatatype="7" unbalanced="0"/>
    <cacheHierarchy uniqueName="[Opportunity].[stage]" caption="stage" attribute="1" defaultMemberUniqueName="[Opportunity].[stage].[All]" allUniqueName="[Opportunity].[stage].[All]" dimensionUniqueName="[Opportunity]" displayFolder="" count="2" memberValueDatatype="130" unbalanced="0"/>
    <cacheHierarchy uniqueName="[Opportunity].[branch]" caption="branch" attribute="1" defaultMemberUniqueName="[Opportunity].[branch].[All]" allUniqueName="[Opportunity].[branch].[All]" dimensionUniqueName="[Opportunity]" displayFolder="" count="2" memberValueDatatype="130" unbalanced="0"/>
    <cacheHierarchy uniqueName="[Opportunity].[specialty]" caption="specialty" attribute="1" defaultMemberUniqueName="[Opportunity].[specialty].[All]" allUniqueName="[Opportunity].[specialty].[All]" dimensionUniqueName="[Opportunity]" displayFolder="" count="2" memberValueDatatype="130" unbalanced="0"/>
    <cacheHierarchy uniqueName="[Opportunity].[product_group]" caption="product_group" attribute="1" defaultMemberUniqueName="[Opportunity].[product_group].[All]" allUniqueName="[Opportunity].[product_group].[All]" dimensionUniqueName="[Opportunity]" displayFolder="" count="2" memberValueDatatype="130" unbalanced="0"/>
    <cacheHierarchy uniqueName="[Opportunity].[product_sub_group]" caption="product_sub_group" attribute="1" defaultMemberUniqueName="[Opportunity].[product_sub_group].[All]" allUniqueName="[Opportunity].[product_sub_group].[All]" dimensionUniqueName="[Opportunity]" displayFolder="" count="2" memberValueDatatype="130" unbalanced="0"/>
    <cacheHierarchy uniqueName="[Opportunity].[risk_details]" caption="risk_details" attribute="1" defaultMemberUniqueName="[Opportunity].[risk_details].[All]" allUniqueName="[Opportunity].[risk_details].[All]" dimensionUniqueName="[Opportunity]" displayFolder="" count="2"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2"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oneField="1">
      <fieldsUsage count="1">
        <fieldUsage x="1"/>
      </fieldsUsage>
    </cacheHierarchy>
    <cacheHierarchy uniqueName="[Measures].[Branch_Meeting_Intensity]" caption="Branch_Meeting_Intensity" measure="1" displayFolder="" measureGroup="meeting" count="0" oneField="1">
      <fieldsUsage count="1">
        <fieldUsage x="2"/>
      </fieldsUsage>
    </cacheHierarchy>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oneField="1">
      <fieldsUsage count="1">
        <fieldUsage x="3"/>
      </fieldsUsage>
    </cacheHierarchy>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oneField="1">
      <fieldsUsage count="1">
        <fieldUsage x="0"/>
      </fieldsUsage>
    </cacheHierarchy>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oneField="1">
      <fieldsUsage count="1">
        <fieldUsage x="6"/>
      </fieldsUsage>
    </cacheHierarchy>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2.012502662037" backgroundQuery="1" createdVersion="8" refreshedVersion="8" minRefreshableVersion="3" recordCount="0" supportSubquery="1" supportAdvancedDrill="1" xr:uid="{8B066EA8-1D1A-4C64-97B8-C7F83F545F06}">
  <cacheSource type="external" connectionId="14"/>
  <cacheFields count="3">
    <cacheField name="[Measures].[Total_Placed_Revenue]" caption="Total_Placed_Revenue" numFmtId="0" hierarchy="167" level="32767"/>
    <cacheField name="[brokerage].[Exec_Name].[Exec_Name]" caption="Exec_Name" numFmtId="0" hierarchy="8" level="1">
      <sharedItems count="10">
        <s v="Animesh Rawat"/>
        <s v="Arjun Prabhu"/>
        <s v="Lakshmi Rajan"/>
        <s v="Mark"/>
        <s v="Muthu Raman"/>
        <s v="Neha Joshi"/>
        <s v="Rohit Desai"/>
        <s v="Sanjay Patil"/>
        <s v="Sunita Arora"/>
        <s v="Vinay"/>
      </sharedItems>
    </cacheField>
    <cacheField name="[dim_account_exe].[Branch_Name].[Branch_Name]" caption="Branch_Name" numFmtId="0" hierarchy="27" level="1">
      <sharedItems containsSemiMixedTypes="0" containsNonDate="0" containsString="0"/>
    </cacheField>
  </cacheFields>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2" memberValueDatatype="130" unbalanced="0">
      <fieldsUsage count="2">
        <fieldUsage x="-1"/>
        <fieldUsage x="1"/>
      </fieldsUsage>
    </cacheHierarchy>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2" memberValueDatatype="130" unbalanced="0">
      <fieldsUsage count="2">
        <fieldUsage x="-1"/>
        <fieldUsage x="2"/>
      </fieldsUsage>
    </cacheHierarchy>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0"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0" memberValueDatatype="130" unbalanced="0"/>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0" memberValueDatatype="130" unbalanced="0"/>
    <cacheHierarchy uniqueName="[invoice].[invoice_date (Year)]" caption="invoice_date (Year)" attribute="1" defaultMemberUniqueName="[invoice].[invoice_date (Year)].[All]" allUniqueName="[invoice].[invoice_date (Year)].[All]" dimensionUniqueName="[invoice]" displayFolder="" count="0"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0"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oneField="1">
      <fieldsUsage count="1">
        <fieldUsage x="0"/>
      </fieldsUsage>
    </cacheHierarchy>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dimensions count="14">
    <dimension name="brokerage" uniqueName="[brokerage]" caption="brokerage"/>
    <dimension name="BudgetAllocation" uniqueName="[BudgetAllocation]" caption="BudgetAllocation"/>
    <dimension name="DateTable" uniqueName="[DateTable]" caption="DateTable"/>
    <dimension name="dim_account_exe" uniqueName="[dim_account_exe]" caption="dim_account_exe"/>
    <dimension name="dim_branch" uniqueName="[dim_branch]" caption="dim_branch"/>
    <dimension name="dim_client" uniqueName="[dim_client]" caption="dim_client"/>
    <dimension name="dim_policy" uniqueName="[dim_policy]" caption="dim_policy"/>
    <dimension name="dim_solution_group" uniqueName="[dim_solution_group]" caption="dim_solution_group"/>
    <dimension name="fees" uniqueName="[fees]" caption="fees"/>
    <dimension name="Individual_Budgets" uniqueName="[Individual_Budgets]" caption="Individual_Budgets"/>
    <dimension name="invoice" uniqueName="[invoice]" caption="invoice"/>
    <dimension measure="1" name="Measures" uniqueName="[Measures]" caption="Measures"/>
    <dimension name="meeting" uniqueName="[meeting]" caption="meeting"/>
    <dimension name="Opportunity" uniqueName="[Opportunity]" caption="Opportunity"/>
  </dimensions>
  <measureGroups count="13">
    <measureGroup name="brokerage" caption="brokerage"/>
    <measureGroup name="BudgetAllocation" caption="BudgetAllocation"/>
    <measureGroup name="DateTable" caption="DateTable"/>
    <measureGroup name="dim_account_exe" caption="dim_account_exe"/>
    <measureGroup name="dim_branch" caption="dim_branch"/>
    <measureGroup name="dim_client" caption="dim_client"/>
    <measureGroup name="dim_policy" caption="dim_policy"/>
    <measureGroup name="dim_solution_group" caption="dim_solution_group"/>
    <measureGroup name="fees" caption="fees"/>
    <measureGroup name="Individual_Budgets" caption="Individual_Budgets"/>
    <measureGroup name="invoice" caption="invoice"/>
    <measureGroup name="meeting" caption="meeting"/>
    <measureGroup name="Opportunity" caption="Opportunity"/>
  </measureGroups>
  <maps count="43">
    <map measureGroup="0" dimension="0"/>
    <map measureGroup="0" dimension="1"/>
    <map measureGroup="0" dimension="2"/>
    <map measureGroup="0" dimension="3"/>
    <map measureGroup="0" dimension="4"/>
    <map measureGroup="0" dimension="5"/>
    <map measureGroup="0" dimension="6"/>
    <map measureGroup="0" dimension="7"/>
    <map measureGroup="1" dimension="1"/>
    <map measureGroup="2" dimension="1"/>
    <map measureGroup="2" dimension="2"/>
    <map measureGroup="3" dimension="3"/>
    <map measureGroup="4" dimension="4"/>
    <map measureGroup="5" dimension="5"/>
    <map measureGroup="6" dimension="6"/>
    <map measureGroup="7" dimension="7"/>
    <map measureGroup="8" dimension="1"/>
    <map measureGroup="8" dimension="2"/>
    <map measureGroup="8" dimension="3"/>
    <map measureGroup="8" dimension="4"/>
    <map measureGroup="8" dimension="5"/>
    <map measureGroup="8" dimension="7"/>
    <map measureGroup="8" dimension="8"/>
    <map measureGroup="9" dimension="3"/>
    <map measureGroup="9" dimension="4"/>
    <map measureGroup="9" dimension="9"/>
    <map measureGroup="10" dimension="1"/>
    <map measureGroup="10" dimension="2"/>
    <map measureGroup="10" dimension="3"/>
    <map measureGroup="10" dimension="4"/>
    <map measureGroup="10" dimension="5"/>
    <map measureGroup="10" dimension="7"/>
    <map measureGroup="10" dimension="10"/>
    <map measureGroup="11" dimension="1"/>
    <map measureGroup="11" dimension="2"/>
    <map measureGroup="11" dimension="3"/>
    <map measureGroup="11" dimension="4"/>
    <map measureGroup="11" dimension="12"/>
    <map measureGroup="12" dimension="1"/>
    <map measureGroup="12" dimension="2"/>
    <map measureGroup="12" dimension="3"/>
    <map measureGroup="12" dimension="4"/>
    <map measureGroup="12" dimension="1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nayak m" refreshedDate="46171.643214467593" backgroundQuery="1" createdVersion="3" refreshedVersion="8" minRefreshableVersion="3" recordCount="0" supportSubquery="1" supportAdvancedDrill="1" xr:uid="{8711FD11-86A0-47D6-88B1-A8D5B359E333}">
  <cacheSource type="external" connectionId="14">
    <extLst>
      <ext xmlns:x14="http://schemas.microsoft.com/office/spreadsheetml/2009/9/main" uri="{F057638F-6D5F-4e77-A914-E7F072B9BCA8}">
        <x14:sourceConnection name="ThisWorkbookDataModel"/>
      </ext>
    </extLst>
  </cacheSource>
  <cacheFields count="0"/>
  <cacheHierarchies count="185">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Exec_ID]" caption="Exec_ID" attribute="1" defaultMemberUniqueName="[brokerage].[Exec_ID].[All]" allUniqueName="[brokerage].[Exec_ID].[All]" dimensionUniqueName="[brokerage]" displayFolder="" count="0" memberValueDatatype="130" unbalanced="0"/>
    <cacheHierarchy uniqueName="[brokerage].[Exec_Name]" caption="Exec_Name" attribute="1" defaultMemberUniqueName="[brokerage].[Exec_Name].[All]" allUniqueName="[brokerage].[Exec_Name].[All]" dimensionUniqueName="[brokerage]" displayFolder="" count="0"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brokerage].[Policy_ID]" caption="Policy_ID" attribute="1" defaultMemberUniqueName="[brokerage].[Policy_ID].[All]" allUniqueName="[brokerage].[Policy_ID].[All]" dimensionUniqueName="[brokerage]" displayFolder="" count="0" memberValueDatatype="130" unbalanced="0"/>
    <cacheHierarchy uniqueName="[BudgetAllocation].[Month]" caption="Month" attribute="1" defaultMemberUniqueName="[BudgetAllocation].[Month].[All]" allUniqueName="[BudgetAllocation].[Month].[All]" dimensionUniqueName="[BudgetAllocation]" displayFolder="" count="0" memberValueDatatype="20" unbalanced="0"/>
    <cacheHierarchy uniqueName="[BudgetAllocation].[AllocationPct]" caption="AllocationPct" attribute="1" defaultMemberUniqueName="[BudgetAllocation].[AllocationPct].[All]" allUniqueName="[BudgetAllocation].[AllocationPct].[All]" dimensionUniqueName="[BudgetAllocation]" displayFolder="" count="0" memberValueDatatype="5" unbalanced="0"/>
    <cacheHierarchy uniqueName="[DateTable].[Date]" caption="Date" attribute="1" time="1" keyAttribute="1" defaultMemberUniqueName="[DateTable].[Date].[All]" allUniqueName="[DateTable].[Date].[All]" dimensionUniqueName="[DateTable]" displayFolder="" count="0" memberValueDatatype="7" unbalanced="0"/>
    <cacheHierarchy uniqueName="[DateTable].[Year]" caption="Year" attribute="1" time="1" defaultMemberUniqueName="[DateTable].[Year].[All]" allUniqueName="[DateTable].[Year].[All]" dimensionUniqueName="[DateTable]" displayFolder="" count="0" memberValueDatatype="20" unbalanced="0"/>
    <cacheHierarchy uniqueName="[DateTable].[Month Name]" caption="Month Name" attribute="1" time="1" defaultMemberUniqueName="[DateTable].[Month Name].[All]" allUniqueName="[DateTable].[Month Name].[All]" dimensionUniqueName="[DateTable]" displayFolder="" count="0" memberValueDatatype="130" unbalanced="0"/>
    <cacheHierarchy uniqueName="[DateTable].[Month]" caption="Month" attribute="1" time="1" defaultMemberUniqueName="[DateTable].[Month].[All]" allUniqueName="[DateTable].[Month].[All]" dimensionUniqueName="[DateTable]" displayFolder="" count="0" memberValueDatatype="20" unbalanced="0"/>
    <cacheHierarchy uniqueName="[DateTable].[Quarter]" caption="Quarter" attribute="1" time="1" defaultMemberUniqueName="[DateTable].[Quarter].[All]" allUniqueName="[DateTable].[Quarter].[All]" dimensionUniqueName="[DateTable]" displayFolder="" count="0" memberValueDatatype="20" unbalanced="0"/>
    <cacheHierarchy uniqueName="[dim_account_exe].[Exec_ID]" caption="Exec_ID" attribute="1" defaultMemberUniqueName="[dim_account_exe].[Exec_ID].[All]" allUniqueName="[dim_account_exe].[Exec_ID].[All]" dimensionUniqueName="[dim_account_exe]" displayFolder="" count="0" memberValueDatatype="130" unbalanced="0"/>
    <cacheHierarchy uniqueName="[dim_account_exe].[Account_Executive]" caption="Account_Executive" attribute="1" defaultMemberUniqueName="[dim_account_exe].[Account_Executive].[All]" allUniqueName="[dim_account_exe].[Account_Executive].[All]" dimensionUniqueName="[dim_account_exe]" displayFolder="" count="0" memberValueDatatype="130" unbalanced="0"/>
    <cacheHierarchy uniqueName="[dim_account_exe].[Branch_Name]" caption="Branch_Name" attribute="1" defaultMemberUniqueName="[dim_account_exe].[Branch_Name].[All]" allUniqueName="[dim_account_exe].[Branch_Name].[All]" dimensionUniqueName="[dim_account_exe]" displayFolder="" count="2" memberValueDatatype="130" unbalanced="0"/>
    <cacheHierarchy uniqueName="[dim_account_exe].[Role]" caption="Role" attribute="1" defaultMemberUniqueName="[dim_account_exe].[Role].[All]" allUniqueName="[dim_account_exe].[Role].[All]" dimensionUniqueName="[dim_account_exe]" displayFolder="" count="0" memberValueDatatype="130" unbalanced="0"/>
    <cacheHierarchy uniqueName="[dim_account_exe].[ReportingTo_Name]" caption="ReportingTo_Name" attribute="1" defaultMemberUniqueName="[dim_account_exe].[ReportingTo_Name].[All]" allUniqueName="[dim_account_exe].[ReportingTo_Name].[All]" dimensionUniqueName="[dim_account_exe]" displayFolder="" count="0" memberValueDatatype="130" unbalanced="0"/>
    <cacheHierarchy uniqueName="[dim_account_exe].[Email]" caption="Email" attribute="1" defaultMemberUniqueName="[dim_account_exe].[Email].[All]" allUniqueName="[dim_account_exe].[Email].[All]" dimensionUniqueName="[dim_account_exe]" displayFolder="" count="0" memberValueDatatype="130" unbalanced="0"/>
    <cacheHierarchy uniqueName="[dim_branch].[Branch_ID]" caption="Branch_ID" attribute="1" defaultMemberUniqueName="[dim_branch].[Branch_ID].[All]" allUniqueName="[dim_branch].[Branch_ID].[All]" dimensionUniqueName="[dim_branch]" displayFolder="" count="0" memberValueDatatype="130" unbalanced="0"/>
    <cacheHierarchy uniqueName="[dim_branch].[Branch_Name]" caption="Branch_Name" attribute="1" defaultMemberUniqueName="[dim_branch].[Branch_Name].[All]" allUniqueName="[dim_branch].[Branch_Name].[All]" dimensionUniqueName="[dim_branch]" displayFolder="" count="2" memberValueDatatype="130" unbalanced="0"/>
    <cacheHierarchy uniqueName="[dim_branch].[State]" caption="State" attribute="1" defaultMemberUniqueName="[dim_branch].[State].[All]" allUniqueName="[dim_branch].[State].[All]" dimensionUniqueName="[dim_branch]" displayFolder="" count="0" memberValueDatatype="130" unbalanced="0"/>
    <cacheHierarchy uniqueName="[dim_branch].[Region]" caption="Region" attribute="1" defaultMemberUniqueName="[dim_branch].[Region].[All]" allUniqueName="[dim_branch].[Region].[All]" dimensionUniqueName="[dim_branch]" displayFolder="" count="0" memberValueDatatype="130" unbalanced="0"/>
    <cacheHierarchy uniqueName="[dim_branch].[BranchHead_ID]" caption="BranchHead_ID" attribute="1" defaultMemberUniqueName="[dim_branch].[BranchHead_ID].[All]" allUniqueName="[dim_branch].[BranchHead_ID].[All]" dimensionUniqueName="[dim_branch]" displayFolder="" count="0" memberValueDatatype="130" unbalanced="0"/>
    <cacheHierarchy uniqueName="[dim_branch].[BranchHead_Name]" caption="BranchHead_Name" attribute="1" defaultMemberUniqueName="[dim_branch].[BranchHead_Name].[All]" allUniqueName="[dim_branch].[BranchHead_Name].[All]" dimensionUniqueName="[dim_branch]" displayFolder="" count="0" memberValueDatatype="130" unbalanced="0"/>
    <cacheHierarchy uniqueName="[dim_branch].[Established_Year]" caption="Established_Year" attribute="1" defaultMemberUniqueName="[dim_branch].[Established_Year].[All]" allUniqueName="[dim_branch].[Established_Year].[All]" dimensionUniqueName="[dim_branch]" displayFolder="" count="0" memberValueDatatype="20" unbalanced="0"/>
    <cacheHierarchy uniqueName="[dim_branch].[Target_FY_Lakh]" caption="Target_FY_Lakh" attribute="1" defaultMemberUniqueName="[dim_branch].[Target_FY_Lakh].[All]" allUniqueName="[dim_branch].[Target_FY_Lakh].[All]" dimensionUniqueName="[dim_branch]" displayFolder="" count="0" memberValueDatatype="5" unbalanced="0"/>
    <cacheHierarchy uniqueName="[dim_client].[Client_ID]" caption="Client_ID" attribute="1" defaultMemberUniqueName="[dim_client].[Client_ID].[All]" allUniqueName="[dim_client].[Client_ID].[All]" dimensionUniqueName="[dim_client]" displayFolder="" count="0" memberValueDatatype="130" unbalanced="0"/>
    <cacheHierarchy uniqueName="[dim_client].[Client_Name]" caption="Client_Name" attribute="1" defaultMemberUniqueName="[dim_client].[Client_Name].[All]" allUniqueName="[dim_client].[Client_Name].[All]" dimensionUniqueName="[dim_client]" displayFolder="" count="0" memberValueDatatype="130" unbalanced="0"/>
    <cacheHierarchy uniqueName="[dim_client].[Industry]" caption="Industry" attribute="1" defaultMemberUniqueName="[dim_client].[Industry].[All]" allUniqueName="[dim_client].[Industry].[All]" dimensionUniqueName="[dim_client]" displayFolder="" count="0" memberValueDatatype="130" unbalanced="0"/>
    <cacheHierarchy uniqueName="[dim_client].[City]" caption="City" attribute="1" defaultMemberUniqueName="[dim_client].[City].[All]" allUniqueName="[dim_client].[City].[All]" dimensionUniqueName="[dim_client]" displayFolder="" count="0" memberValueDatatype="130" unbalanced="0"/>
    <cacheHierarchy uniqueName="[dim_client].[State]" caption="State" attribute="1" defaultMemberUniqueName="[dim_client].[State].[All]" allUniqueName="[dim_client].[State].[All]" dimensionUniqueName="[dim_client]" displayFolder="" count="0" memberValueDatatype="130" unbalanced="0"/>
    <cacheHierarchy uniqueName="[dim_client].[Client_Since]" caption="Client_Since" attribute="1" time="1" defaultMemberUniqueName="[dim_client].[Client_Since].[All]" allUniqueName="[dim_client].[Client_Since].[All]" dimensionUniqueName="[dim_client]" displayFolder="" count="0" memberValueDatatype="7" unbalanced="0"/>
    <cacheHierarchy uniqueName="[dim_client].[Segment]" caption="Segment" attribute="1" defaultMemberUniqueName="[dim_client].[Segment].[All]" allUniqueName="[dim_client].[Segment].[All]" dimensionUniqueName="[dim_client]" displayFolder="" count="0" memberValueDatatype="130" unbalanced="0"/>
    <cacheHierarchy uniqueName="[dim_client].[RM_ID]" caption="RM_ID" attribute="1" defaultMemberUniqueName="[dim_client].[RM_ID].[All]" allUniqueName="[dim_client].[RM_ID].[All]" dimensionUniqueName="[dim_client]" displayFolder="" count="0" memberValueDatatype="130" unbalanced="0"/>
    <cacheHierarchy uniqueName="[dim_policy].[Policy_ID]" caption="Policy_ID" attribute="1" defaultMemberUniqueName="[dim_policy].[Policy_ID].[All]" allUniqueName="[dim_policy].[Policy_ID].[All]" dimensionUniqueName="[dim_policy]" displayFolder="" count="0" memberValueDatatype="130" unbalanced="0"/>
    <cacheHierarchy uniqueName="[dim_policy].[Policy_Number]" caption="Policy_Number" attribute="1" defaultMemberUniqueName="[dim_policy].[Policy_Number].[All]" allUniqueName="[dim_policy].[Policy_Number].[All]" dimensionUniqueName="[dim_policy]" displayFolder="" count="0" memberValueDatatype="130" unbalanced="0"/>
    <cacheHierarchy uniqueName="[dim_policy].[Product_Group]" caption="Product_Group" attribute="1" defaultMemberUniqueName="[dim_policy].[Product_Group].[All]" allUniqueName="[dim_policy].[Product_Group].[All]" dimensionUniqueName="[dim_policy]" displayFolder="" count="0" memberValueDatatype="130" unbalanced="0"/>
    <cacheHierarchy uniqueName="[dim_policy].[Policy_Status]" caption="Policy_Status" attribute="1" defaultMemberUniqueName="[dim_policy].[Policy_Status].[All]" allUniqueName="[dim_policy].[Policy_Status].[All]" dimensionUniqueName="[dim_policy]" displayFolder="" count="0" memberValueDatatype="130" unbalanced="0"/>
    <cacheHierarchy uniqueName="[dim_policy].[Policy_Start_Date]" caption="Policy_Start_Date" attribute="1" time="1" defaultMemberUniqueName="[dim_policy].[Policy_Start_Date].[All]" allUniqueName="[dim_policy].[Policy_Start_Date].[All]" dimensionUniqueName="[dim_policy]" displayFolder="" count="0" memberValueDatatype="7" unbalanced="0"/>
    <cacheHierarchy uniqueName="[dim_policy].[Policy_End_Date]" caption="Policy_End_Date" attribute="1" time="1" defaultMemberUniqueName="[dim_policy].[Policy_End_Date].[All]" allUniqueName="[dim_policy].[Policy_End_Date].[All]" dimensionUniqueName="[dim_policy]" displayFolder="" count="0" memberValueDatatype="7" unbalanced="0"/>
    <cacheHierarchy uniqueName="[dim_policy].[Renewal_Status]" caption="Renewal_Status" attribute="1" defaultMemberUniqueName="[dim_policy].[Renewal_Status].[All]" allUniqueName="[dim_policy].[Renewal_Status].[All]" dimensionUniqueName="[dim_policy]" displayFolder="" count="0" memberValueDatatype="130" unbalanced="0"/>
    <cacheHierarchy uniqueName="[dim_solution_group].[SolutionGroup_ID]" caption="SolutionGroup_ID" attribute="1" defaultMemberUniqueName="[dim_solution_group].[SolutionGroup_ID].[All]" allUniqueName="[dim_solution_group].[SolutionGroup_ID].[All]" dimensionUniqueName="[dim_solution_group]" displayFolder="" count="0" memberValueDatatype="130" unbalanced="0"/>
    <cacheHierarchy uniqueName="[dim_solution_group].[Solution_Group]" caption="Solution_Group" attribute="1" defaultMemberUniqueName="[dim_solution_group].[Solution_Group].[All]" allUniqueName="[dim_solution_group].[Solution_Group].[All]" dimensionUniqueName="[dim_solution_group]" displayFolder="" count="0" memberValueDatatype="130" unbalanced="0"/>
    <cacheHierarchy uniqueName="[dim_solution_group].[Segment]" caption="Segment" attribute="1" defaultMemberUniqueName="[dim_solution_group].[Segment].[All]" allUniqueName="[dim_solution_group].[Segment].[All]" dimensionUniqueName="[dim_solution_group]" displayFolder="" count="0" memberValueDatatype="130" unbalanced="0"/>
    <cacheHierarchy uniqueName="[dim_solution_group].[Category]" caption="Category" attribute="1" defaultMemberUniqueName="[dim_solution_group].[Category].[All]" allUniqueName="[dim_solution_group].[Category].[All]" dimensionUniqueName="[dim_solution_group]" displayFolder="" count="0" memberValueDatatype="130"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Exec_ID]" caption="Exec_ID" attribute="1" defaultMemberUniqueName="[fees].[Exec_ID].[All]" allUniqueName="[fees].[Exec_ID].[All]" dimensionUniqueName="[fees]" displayFolder="" count="0" memberValueDatatype="130" unbalanced="0"/>
    <cacheHierarchy uniqueName="[fees].[Account_Executive]" caption="Account_Executive" attribute="1" defaultMemberUniqueName="[fees].[Account_Executive].[All]" allUniqueName="[fees].[Account_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5"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s].[Branch]" caption="Branch" attribute="1" defaultMemberUniqueName="[Individual_Budgets].[Branch].[All]" allUniqueName="[Individual_Budgets].[Branch].[All]" dimensionUniqueName="[Individual_Budgets]" displayFolder="" count="0" memberValueDatatype="130" unbalanced="0"/>
    <cacheHierarchy uniqueName="[Individual_Budgets].[Exec_ID]" caption="Exec_ID" attribute="1" defaultMemberUniqueName="[Individual_Budgets].[Exec_ID].[All]" allUniqueName="[Individual_Budgets].[Exec_ID].[All]" dimensionUniqueName="[Individual_Budgets]" displayFolder="" count="0" memberValueDatatype="130" unbalanced="0"/>
    <cacheHierarchy uniqueName="[Individual_Budgets].[Employee_Name]" caption="Employee_Name" attribute="1" defaultMemberUniqueName="[Individual_Budgets].[Employee_Name].[All]" allUniqueName="[Individual_Budgets].[Employee_Name].[All]" dimensionUniqueName="[Individual_Budgets]" displayFolder="" count="0" memberValueDatatype="130" unbalanced="0"/>
    <cacheHierarchy uniqueName="[Individual_Budgets].[New_Role2]" caption="New_Role2" attribute="1" defaultMemberUniqueName="[Individual_Budgets].[New_Role2].[All]" allUniqueName="[Individual_Budgets].[New_Role2].[All]" dimensionUniqueName="[Individual_Budgets]" displayFolder="" count="0" memberValueDatatype="130" unbalanced="0"/>
    <cacheHierarchy uniqueName="[Individual_Budgets].[Budget_New]" caption="Budget_New" attribute="1" defaultMemberUniqueName="[Individual_Budgets].[Budget_New].[All]" allUniqueName="[Individual_Budgets].[Budget_New].[All]" dimensionUniqueName="[Individual_Budgets]" displayFolder="" count="0" memberValueDatatype="5" unbalanced="0"/>
    <cacheHierarchy uniqueName="[Individual_Budgets].[Budget_CrossSell]" caption="Budget_CrossSell" attribute="1" defaultMemberUniqueName="[Individual_Budgets].[Budget_CrossSell].[All]" allUniqueName="[Individual_Budgets].[Budget_CrossSell].[All]" dimensionUniqueName="[Individual_Budgets]" displayFolder="" count="0" memberValueDatatype="5" unbalanced="0"/>
    <cacheHierarchy uniqueName="[Individual_Budgets].[Budget_Renewal]" caption="Budget_Renewal" attribute="1" defaultMemberUniqueName="[Individual_Budgets].[Budget_Renewal].[All]" allUniqueName="[Individual_Budgets].[Budget_Renewal].[All]" dimensionUniqueName="[Individual_Budgets]" displayFolder="" count="0" memberValueDatatype="5" unbalanced="0"/>
    <cacheHierarchy uniqueName="[invoice].[invoice_number]" caption="invoice_number" attribute="1" defaultMemberUniqueName="[invoice].[invoice_number].[All]" allUniqueName="[invoice].[invoice_number].[All]" dimensionUniqueName="[invoice]" displayFolder="" count="0" memberValueDatatype="13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Exec_ID]" caption="Exec_ID" attribute="1" defaultMemberUniqueName="[invoice].[Exec_ID].[All]" allUniqueName="[invoice].[Exec_ID].[All]" dimensionUniqueName="[invoice]" displayFolder="" count="0" memberValueDatatype="130" unbalanced="0"/>
    <cacheHierarchy uniqueName="[invoice].[Account_Executive]" caption="Account_Executive" attribute="1" defaultMemberUniqueName="[invoice].[Account_Executive].[All]" allUniqueName="[invoice].[Account_Executive].[All]" dimensionUniqueName="[invoice]" displayFolder="" count="0" memberValueDatatype="130" unbalanced="0"/>
    <cacheHierarchy uniqueName="[invoice].[income_class]" caption="income_class" attribute="1" defaultMemberUniqueName="[invoice].[income_class].[All]" allUniqueName="[invoice].[income_class].[All]" dimensionUniqueName="[invoice]" displayFolder="" count="2"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5"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invoice].[dim_policy.Policy_ID]" caption="dim_policy.Policy_ID" attribute="1" defaultMemberUniqueName="[invoice].[dim_policy.Policy_ID].[All]" allUniqueName="[invoice].[dim_policy.Policy_ID].[All]" dimensionUniqueName="[invoice]" displayFolder="" count="0" memberValueDatatype="130" unbalanced="0"/>
    <cacheHierarchy uniqueName="[invoice].[Industry]" caption="Industry" attribute="1" defaultMemberUniqueName="[invoice].[Industry].[All]" allUniqueName="[invoice].[Industry].[All]" dimensionUniqueName="[invoice]" displayFolder="" count="0" memberValueDatatype="130" unbalanced="0"/>
    <cacheHierarchy uniqueName="[invoice].[Segment]" caption="Segment" attribute="1" defaultMemberUniqueName="[invoice].[Segment].[All]" allUniqueName="[invoice].[Segment].[All]" dimensionUniqueName="[invoice]" displayFolder="" count="2" memberValueDatatype="130" unbalanced="0"/>
    <cacheHierarchy uniqueName="[invoice].[invoice_date (Year)]" caption="invoice_date (Year)" attribute="1" defaultMemberUniqueName="[invoice].[invoice_date (Year)].[All]" allUniqueName="[invoice].[invoice_date (Year)].[All]" dimensionUniqueName="[invoice]" displayFolder="" count="2" memberValueDatatype="130" unbalanced="0"/>
    <cacheHierarchy uniqueName="[invoice].[invoice_date (Quarter)]" caption="invoice_date (Quarter)" attribute="1" defaultMemberUniqueName="[invoice].[invoice_date (Quarter)].[All]" allUniqueName="[invoice].[invoice_date (Quarter)].[All]" dimensionUniqueName="[invoice]" displayFolder="" count="0" memberValueDatatype="130" unbalanced="0"/>
    <cacheHierarchy uniqueName="[invoice].[invoice_date (Month)]" caption="invoice_date (Month)" attribute="1" defaultMemberUniqueName="[invoice].[invoice_date (Month)].[All]" allUniqueName="[invoice].[invoice_date (Month)].[All]" dimensionUniqueName="[invoice]" displayFolder="" count="0" memberValueDatatype="130" unbalanced="0"/>
    <cacheHierarchy uniqueName="[meeting].[Account Exe ID]" caption="Account Exe ID" attribute="1" defaultMemberUniqueName="[meeting].[Account Exe ID].[All]" allUniqueName="[meeting].[Account Exe ID].[All]" dimensionUniqueName="[meeting]" displayFolder="" count="0" memberValueDatatype="130" unbalanced="0"/>
    <cacheHierarchy uniqueName="[meeting].[Account Executive]" caption="Account Executive" attribute="1" defaultMemberUniqueName="[meeting].[Account Executive].[All]" allUniqueName="[meeting].[Account Executive].[All]" dimensionUniqueName="[meeting]" displayFolder="" count="0" memberValueDatatype="130" unbalanced="0"/>
    <cacheHierarchy uniqueName="[meeting].[branch_name]" caption="branch_name" attribute="1" defaultMemberUniqueName="[meeting].[branch_name].[All]" allUniqueName="[meeting].[branch_name].[All]" dimensionUniqueName="[meeting]" displayFolder="" count="2" memberValueDatatype="130" unbalanced="0"/>
    <cacheHierarchy uniqueName="[meeting].[global_attendees]" caption="global_attendees" attribute="1" defaultMemberUniqueName="[meeting].[global_attendees].[All]" allUniqueName="[meeting].[global_attendees].[All]" dimensionUniqueName="[meeting]" displayFolder="" count="0" memberValueDatatype="130" unbalanced="0"/>
    <cacheHierarchy uniqueName="[meeting].[meeting_date]" caption="meeting_date" attribute="1" time="1" defaultMemberUniqueName="[meeting].[meeting_date].[All]" allUniqueName="[meeting].[meeting_date].[All]" dimensionUniqueName="[meeting]" displayFolder="" count="0" memberValueDatatype="7"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2"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invoice].[invoice_date (Month Index)]" caption="invoice_date (Month Index)" attribute="1" defaultMemberUniqueName="[invoice].[invoice_date (Month Index)].[All]" allUniqueName="[invoice].[invoice_date (Month Index)].[All]" dimensionUniqueName="[invoice]" displayFolder="" count="0" memberValueDatatype="20" unbalanced="0" hidden="1"/>
    <cacheHierarchy uniqueName="[Measures].[Count of opportunity_id]" caption="Count of opportunity_id" measure="1" displayFolder="" measureGroup="Opportunity" count="0">
      <extLst>
        <ext xmlns:x15="http://schemas.microsoft.com/office/spreadsheetml/2010/11/main" uri="{B97F6D7D-B522-45F9-BDA1-12C45D357490}">
          <x15:cacheHierarchy aggregatedColumn="98"/>
        </ext>
      </extLst>
    </cacheHierarchy>
    <cacheHierarchy uniqueName="[Measures].[Sum of revenue_amount]" caption="Sum of revenue_amount" measure="1" displayFolder="" measureGroup="Opportunity" count="0">
      <extLst>
        <ext xmlns:x15="http://schemas.microsoft.com/office/spreadsheetml/2010/11/main" uri="{B97F6D7D-B522-45F9-BDA1-12C45D357490}">
          <x15:cacheHierarchy aggregatedColumn="102"/>
        </ext>
      </extLst>
    </cacheHierarchy>
    <cacheHierarchy uniqueName="[Measures].[Average of revenue_amount]" caption="Average of revenue_amount" measure="1" displayFolder="" measureGroup="Opportunity" count="0">
      <extLst>
        <ext xmlns:x15="http://schemas.microsoft.com/office/spreadsheetml/2010/11/main" uri="{B97F6D7D-B522-45F9-BDA1-12C45D357490}">
          <x15:cacheHierarchy aggregatedColumn="102"/>
        </ext>
      </extLst>
    </cacheHierarchy>
    <cacheHierarchy uniqueName="[Measures].[Count of Account Executive]" caption="Count of Account Executive" measure="1" displayFolder="" measureGroup="Opportunity" count="0">
      <extLst>
        <ext xmlns:x15="http://schemas.microsoft.com/office/spreadsheetml/2010/11/main" uri="{B97F6D7D-B522-45F9-BDA1-12C45D357490}">
          <x15:cacheHierarchy aggregatedColumn="100"/>
        </ext>
      </extLst>
    </cacheHierarchy>
    <cacheHierarchy uniqueName="[Measures].[Count of meeting_date]" caption="Count of meeting_date" measure="1" displayFolder="" measureGroup="meeting" count="0">
      <extLst>
        <ext xmlns:x15="http://schemas.microsoft.com/office/spreadsheetml/2010/11/main" uri="{B97F6D7D-B522-45F9-BDA1-12C45D357490}">
          <x15:cacheHierarchy aggregatedColumn="96"/>
        </ext>
      </extLst>
    </cacheHierarchy>
    <cacheHierarchy uniqueName="[Measures].[Count of Account Exe ID]" caption="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Account Executive 2]" caption="Count of Account Executive 2" measure="1" displayFolder="" measureGroup="meeting" count="0">
      <extLst>
        <ext xmlns:x15="http://schemas.microsoft.com/office/spreadsheetml/2010/11/main" uri="{B97F6D7D-B522-45F9-BDA1-12C45D357490}">
          <x15:cacheHierarchy aggregatedColumn="93"/>
        </ext>
      </extLst>
    </cacheHierarchy>
    <cacheHierarchy uniqueName="[Measures].[Distinct Count of Account Exe ID]" caption="Distinct Count of Account Exe ID" measure="1" displayFolder="" measureGroup="meeting" count="0">
      <extLst>
        <ext xmlns:x15="http://schemas.microsoft.com/office/spreadsheetml/2010/11/main" uri="{B97F6D7D-B522-45F9-BDA1-12C45D357490}">
          <x15:cacheHierarchy aggregatedColumn="92"/>
        </ext>
      </extLst>
    </cacheHierarchy>
    <cacheHierarchy uniqueName="[Measures].[Count of invoice_number]" caption="Count of invoice_number" measure="1" displayFolder="" measureGroup="invoice" count="0">
      <extLst>
        <ext xmlns:x15="http://schemas.microsoft.com/office/spreadsheetml/2010/11/main" uri="{B97F6D7D-B522-45F9-BDA1-12C45D357490}">
          <x15:cacheHierarchy aggregatedColumn="74"/>
        </ext>
      </extLst>
    </cacheHierarchy>
    <cacheHierarchy uniqueName="[Measures].[Sum of Amount]" caption="Sum of Amount" measure="1" displayFolder="" measureGroup="invoice" count="0">
      <extLst>
        <ext xmlns:x15="http://schemas.microsoft.com/office/spreadsheetml/2010/11/main" uri="{B97F6D7D-B522-45F9-BDA1-12C45D357490}">
          <x15:cacheHierarchy aggregatedColumn="84"/>
        </ext>
      </extLst>
    </cacheHierarchy>
    <cacheHierarchy uniqueName="[Measures].[Sum of Budget_New]" caption="Sum of Budget_New" measure="1" displayFolder="" measureGroup="Individual_Budgets" count="0">
      <extLst>
        <ext xmlns:x15="http://schemas.microsoft.com/office/spreadsheetml/2010/11/main" uri="{B97F6D7D-B522-45F9-BDA1-12C45D357490}">
          <x15:cacheHierarchy aggregatedColumn="71"/>
        </ext>
      </extLst>
    </cacheHierarchy>
    <cacheHierarchy uniqueName="[Measures].[Sum of Budget_CrossSell]" caption="Sum of Budget_CrossSell" measure="1" displayFolder="" measureGroup="Individual_Budgets" count="0">
      <extLst>
        <ext xmlns:x15="http://schemas.microsoft.com/office/spreadsheetml/2010/11/main" uri="{B97F6D7D-B522-45F9-BDA1-12C45D357490}">
          <x15:cacheHierarchy aggregatedColumn="72"/>
        </ext>
      </extLst>
    </cacheHierarchy>
    <cacheHierarchy uniqueName="[Measures].[Sum of Budget_Renewal]" caption="Sum of Budget_Renewal" measure="1" displayFolder="" measureGroup="Individual_Budgets" count="0">
      <extLst>
        <ext xmlns:x15="http://schemas.microsoft.com/office/spreadsheetml/2010/11/main" uri="{B97F6D7D-B522-45F9-BDA1-12C45D357490}">
          <x15:cacheHierarchy aggregatedColumn="73"/>
        </ext>
      </extLst>
    </cacheHierarchy>
    <cacheHierarchy uniqueName="[Measures].[Sum of Amount 2]" caption="Sum of Amount 2" measure="1" displayFolder="" measureGroup="brokerage" count="0">
      <extLst>
        <ext xmlns:x15="http://schemas.microsoft.com/office/spreadsheetml/2010/11/main" uri="{B97F6D7D-B522-45F9-BDA1-12C45D357490}">
          <x15:cacheHierarchy aggregatedColumn="3"/>
        </ext>
      </extLst>
    </cacheHierarchy>
    <cacheHierarchy uniqueName="[Measures].[Sum of Amount 3]" caption="Sum of Amount 3" measure="1" displayFolder="" measureGroup="fees" count="0">
      <extLst>
        <ext xmlns:x15="http://schemas.microsoft.com/office/spreadsheetml/2010/11/main" uri="{B97F6D7D-B522-45F9-BDA1-12C45D357490}">
          <x15:cacheHierarchy aggregatedColumn="64"/>
        </ext>
      </extLst>
    </cacheHierarchy>
    <cacheHierarchy uniqueName="[Measures].[Count of Date]" caption="Count of Date" measure="1" displayFolder="" measureGroup="DateTable" count="0">
      <extLst>
        <ext xmlns:x15="http://schemas.microsoft.com/office/spreadsheetml/2010/11/main" uri="{B97F6D7D-B522-45F9-BDA1-12C45D357490}">
          <x15:cacheHierarchy aggregatedColumn="20"/>
        </ext>
      </extLst>
    </cacheHierarchy>
    <cacheHierarchy uniqueName="[Measures].[New_Achievement_%]" caption="New_Achievement_%" measure="1" displayFolder="" measureGroup="Individual_Budgets" count="0"/>
    <cacheHierarchy uniqueName="[Measures].[Cross_Sell_Achievement_%]" caption="Cross_Sell_Achievement_%" measure="1" displayFolder="" measureGroup="Individual_Budgets" count="0"/>
    <cacheHierarchy uniqueName="[Measures].[Renewal_Achievement_%]" caption="Renewal_Achievement_%" measure="1" displayFolder="" measureGroup="Individual_Budgets" count="0"/>
    <cacheHierarchy uniqueName="[Measures].[Placed_vs_Invoiced_Gap ]" caption="Placed_vs_Invoiced_Gap " measure="1" displayFolder="" measureGroup="invoice" count="0"/>
    <cacheHierarchy uniqueName="[Measures].[Open_Opportunity_Count]" caption="Open_Opportunity_Count" measure="1" displayFolder="" measureGroup="Opportunity" count="0"/>
    <cacheHierarchy uniqueName="[Measures].[Open_Opportunity_Revenue]" caption="Open_Opportunity_Revenue" measure="1" displayFolder="" measureGroup="Opportunity" count="0"/>
    <cacheHierarchy uniqueName="[Measures].[Closed_Won_Count]" caption="Closed_Won_Count" measure="1" displayFolder="" measureGroup="Opportunity" count="0"/>
    <cacheHierarchy uniqueName="[Measures].[Closed_Won_Revenue]" caption="Closed_Won_Revenue" measure="1" displayFolder="" measureGroup="Opportunity" count="0"/>
    <cacheHierarchy uniqueName="[Measures].[Closed_Lost_Count]" caption="Closed_Lost_Count" measure="1" displayFolder="" measureGroup="Opportunity" count="0"/>
    <cacheHierarchy uniqueName="[Measures].[Conversion_Ratio]" caption="Conversion_Ratio" measure="1" displayFolder="" measureGroup="Opportunity" count="0"/>
    <cacheHierarchy uniqueName="[Measures].[Average_Deal_Size]" caption="Average_Deal_Size" measure="1" displayFolder="" measureGroup="Opportunity" count="0"/>
    <cacheHierarchy uniqueName="[Measures].[Total_Meeting_Count_2019]" caption="Total_Meeting_Count_2019" measure="1" displayFolder="" measureGroup="meeting" count="0"/>
    <cacheHierarchy uniqueName="[Measures].[Meetings_per_Exec]" caption="Meetings_per_Exec" measure="1" displayFolder="" measureGroup="meeting" count="0"/>
    <cacheHierarchy uniqueName="[Measures].[Meeting_to_Opportunity_Ratio]" caption="Meeting_to_Opportunity_Ratio" measure="1" displayFolder="" measureGroup="meeting" count="0"/>
    <cacheHierarchy uniqueName="[Measures].[Meeting_to_Won_Ratio]" caption="Meeting_to_Won_Ratio" measure="1" displayFolder="" measureGroup="meeting" count="0"/>
    <cacheHierarchy uniqueName="[Measures].[Invoices_by_Exec]" caption="Invoices_by_Exec" measure="1" displayFolder="" measureGroup="invoice" count="0"/>
    <cacheHierarchy uniqueName="[Measures].[Average_Invoice_Value]" caption="Average_Invoice_Value" measure="1" displayFolder="" measureGroup="invoice" count="0"/>
    <cacheHierarchy uniqueName="[Measures].[Invoice_Count_by_Type]" caption="Invoice_Count_by_Type" measure="1" displayFolder="" measureGroup="invoice" count="0"/>
    <cacheHierarchy uniqueName="[Measures].[Revenue_per_Invoice]" caption="Revenue_per_Invoice" measure="1" displayFolder="" measureGroup="invoice" count="0"/>
    <cacheHierarchy uniqueName="[Measures].[Renewal_Hit_Rate]" caption="Renewal_Hit_Rate" measure="1" displayFolder="" measureGroup="brokerage" count="0"/>
    <cacheHierarchy uniqueName="[Measures].[Client_Segment_Mix]" caption="Client_Segment_Mix" measure="1" displayFolder="" measureGroup="invoice" count="0"/>
    <cacheHierarchy uniqueName="[Measures].[Industry_Revenue_Mix]" caption="Industry_Revenue_Mix" measure="1" displayFolder="" measureGroup="invoice" count="0"/>
    <cacheHierarchy uniqueName="[Measures].[Branch_Conversion_Ratio]" caption="Branch_Conversion_Ratio" measure="1" displayFolder="" measureGroup="Opportunity" count="0"/>
    <cacheHierarchy uniqueName="[Measures].[Branch_Meeting_Intensity]" caption="Branch_Meeting_Intensity" measure="1" displayFolder="" measureGroup="meeting" count="0"/>
    <cacheHierarchy uniqueName="[Measures].[Policy_Renewal_Ratio]" caption="Policy_Renewal_Ratio" measure="1" displayFolder="" measureGroup="dim_policy" count="0"/>
    <cacheHierarchy uniqueName="[Measures].[Exec_Revenue_Contribution_%]" caption="Exec_Revenue_Contribution_%" measure="1" displayFolder="" measureGroup="brokerage" count="0"/>
    <cacheHierarchy uniqueName="[Measures].[Invoice_Achievement_%]" caption="Invoice_Achievement_%" measure="1" displayFolder="" measureGroup="invoice" count="0"/>
    <cacheHierarchy uniqueName="[Measures].[Pipeline_Coverage_Ratio]" caption="Pipeline_Coverage_Ratio" measure="1" displayFolder="" measureGroup="Opportunity" count="0"/>
    <cacheHierarchy uniqueName="[Measures].[Branch_Budget_vs_Placed_Inv]" caption="Branch_Budget_vs_Placed_Inv" measure="1" displayFolder="" measureGroup="Individual_Budgets" count="0"/>
    <cacheHierarchy uniqueName="[Measures].[Total_Meeting_Count_2020]" caption="Total_Meeting_Count_2020" measure="1" displayFolder="" measureGroup="meeting" count="0"/>
    <cacheHierarchy uniqueName="[Measures].[RevenueGrowth%_YoY ]" caption="RevenueGrowth%_YoY " measure="1" displayFolder="" measureGroup="invoice" count="0"/>
    <cacheHierarchy uniqueName="[Measures].[Invoice Revenue by Year]" caption="Invoice Revenue by Year" measure="1" displayFolder="" measureGroup="invoice" count="0"/>
    <cacheHierarchy uniqueName="[Measures].[Placed_revenue]" caption="Placed_revenue" measure="1" displayFolder="" measureGroup="Individual_Budgets" count="0"/>
    <cacheHierarchy uniqueName="[Measures].[Unique Execs]" caption="Unique Execs" measure="1" displayFolder="" measureGroup="meeting" count="0"/>
    <cacheHierarchy uniqueName="[Measures].[Total Meetings]" caption="Total Meetings" measure="1" displayFolder="" measureGroup="meeting" count="0"/>
    <cacheHierarchy uniqueName="[Measures].[Won_opportunities]" caption="Won_opportunities" measure="1" displayFolder="" measureGroup="meeting" count="0"/>
    <cacheHierarchy uniqueName="[Measures].[Active_Policy%]" caption="Active_Policy%" measure="1" displayFolder="" measureGroup="brokerage" count="0"/>
    <cacheHierarchy uniqueName="[Measures].[Client_Segment_%]" caption="Client_Segment_%" measure="1" displayFolder="" measureGroup="invoice" count="0"/>
    <cacheHierarchy uniqueName="[Measures].[Revenue_per_Client]" caption="Revenue_per_Client" measure="1" displayFolder="" measureGroup="invoice" count="0"/>
    <cacheHierarchy uniqueName="[Measures].[Headcount_Productivity]" caption="Headcount_Productivity" measure="1" displayFolder="" measureGroup="brokerage" count="0"/>
    <cacheHierarchy uniqueName="[Measures].[Total_Placed_Revenue]" caption="Total_Placed_Revenue" measure="1" displayFolder="" measureGroup="brokerage" count="0"/>
    <cacheHierarchy uniqueName="[Measures].[Total_Branch_Budget]" caption="Total_Branch_Budget" measure="1" displayFolder="" measureGroup="Individual_Budgets" count="0"/>
    <cacheHierarchy uniqueName="[Measures].[Overall_Achievement_%]" caption="Overall_Achievement_%" measure="1" displayFolder="" measureGroup="Individual_Budgets" count="0"/>
    <cacheHierarchy uniqueName="[Measures].[Achieved_Revenue]" caption="Achieved_Revenue" measure="1" displayFolder="" measureGroup="brokerage" count="0"/>
    <cacheHierarchy uniqueName="[Measures].[__XL_Count dim_account_exe]" caption="__XL_Count dim_account_exe" measure="1" displayFolder="" measureGroup="dim_account_exe" count="0" hidden="1"/>
    <cacheHierarchy uniqueName="[Measures].[__XL_Count dim_branch]" caption="__XL_Count dim_branch" measure="1" displayFolder="" measureGroup="dim_branch" count="0" hidden="1"/>
    <cacheHierarchy uniqueName="[Measures].[__XL_Count dim_client]" caption="__XL_Count dim_client" measure="1" displayFolder="" measureGroup="dim_client" count="0" hidden="1"/>
    <cacheHierarchy uniqueName="[Measures].[__XL_Count dim_policy]" caption="__XL_Count dim_policy" measure="1" displayFolder="" measureGroup="dim_policy" count="0" hidden="1"/>
    <cacheHierarchy uniqueName="[Measures].[__XL_Count dim_solution_group]" caption="__XL_Count dim_solution_group" measure="1" displayFolder="" measureGroup="dim_solution_group" count="0" hidden="1"/>
    <cacheHierarchy uniqueName="[Measures].[__XL_Count fees]" caption="__XL_Count fees" measure="1" displayFolder="" measureGroup="fees" count="0" hidden="1"/>
    <cacheHierarchy uniqueName="[Measures].[__XL_Count Individual_Budgets]" caption="__XL_Count Individual_Budgets" measure="1" displayFolder="" measureGroup="Individual_Budgets" count="0" hidden="1"/>
    <cacheHierarchy uniqueName="[Measures].[__XL_Count invoice]" caption="__XL_Count invoice" measure="1" displayFolder="" measureGroup="invoice" count="0" hidden="1"/>
    <cacheHierarchy uniqueName="[Measures].[__XL_Count meeting]" caption="__XL_Count meeting" measure="1" displayFolder="" measureGroup="meeting"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DateTable]" caption="__XL_Count DateTable" measure="1" displayFolder="" measureGroup="DateTable" count="0" hidden="1"/>
    <cacheHierarchy uniqueName="[Measures].[__XL_Count Table2]" caption="__XL_Count Table2" measure="1" displayFolder="" measureGroup="BudgetAllocation"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8490818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FE97B3-1DB3-4FB0-AA22-427C7492D9CA}" name="PivotTable1" cacheId="8" applyNumberFormats="0" applyBorderFormats="0" applyFontFormats="0" applyPatternFormats="0" applyAlignmentFormats="0" applyWidthHeightFormats="1" dataCaption="Values" tag="16e39d0e-d72a-49aa-964d-7e09c887bd27" updatedVersion="8" minRefreshableVersion="3" useAutoFormatting="1" subtotalHiddenItems="1" itemPrintTitles="1" createdVersion="8" indent="0" compact="0" compactData="0" multipleFieldFilters="0" chartFormat="17">
  <location ref="A2:I10" firstHeaderRow="0" firstDataRow="1" firstDataCol="1"/>
  <pivotFields count="11">
    <pivotField dataField="1" compact="0" outline="0" subtotalTop="0" showAll="0"/>
    <pivotField dataField="1" compact="0" outline="0" subtotalTop="0" showAll="0"/>
    <pivotField axis="axisRow" compact="0" allDrilled="1" outline="0" subtotalTop="0" showAll="0" dataSourceSort="1" defaultAttributeDrillState="1">
      <items count="8">
        <item x="0"/>
        <item x="1"/>
        <item x="2"/>
        <item x="3"/>
        <item x="4"/>
        <item x="5"/>
        <item x="6"/>
        <item t="default"/>
      </items>
    </pivotField>
    <pivotField dataField="1" compact="0" outline="0" subtotalTop="0" showAll="0"/>
    <pivotField compact="0" allDrilled="1" outline="0" subtotalTop="0" showAll="0" dataSourceSort="1" defaultAttributeDrillState="1"/>
    <pivotField dataField="1" compact="0" outline="0" subtotalTop="0" showAll="0"/>
    <pivotField dataField="1" compact="0" outline="0" subtotalTop="0" showAll="0"/>
    <pivotField dataField="1" compact="0" outline="0" subtotalTop="0" showAll="0"/>
    <pivotField dataField="1" compact="0" outline="0" subtotalTop="0" showAll="0"/>
    <pivotField dataField="1" compact="0" outline="0" subtotalTop="0" showAll="0"/>
    <pivotField compact="0" allDrilled="1" outline="0" subtotalTop="0" showAll="0" dataSourceSort="1" defaultAttributeDrillState="1"/>
  </pivotFields>
  <rowFields count="1">
    <field x="2"/>
  </rowFields>
  <rowItems count="8">
    <i>
      <x/>
    </i>
    <i>
      <x v="1"/>
    </i>
    <i>
      <x v="2"/>
    </i>
    <i>
      <x v="3"/>
    </i>
    <i>
      <x v="4"/>
    </i>
    <i>
      <x v="5"/>
    </i>
    <i>
      <x v="6"/>
    </i>
    <i t="grand">
      <x/>
    </i>
  </rowItems>
  <colFields count="1">
    <field x="-2"/>
  </colFields>
  <colItems count="8">
    <i>
      <x/>
    </i>
    <i i="1">
      <x v="1"/>
    </i>
    <i i="2">
      <x v="2"/>
    </i>
    <i i="3">
      <x v="3"/>
    </i>
    <i i="4">
      <x v="4"/>
    </i>
    <i i="5">
      <x v="5"/>
    </i>
    <i i="6">
      <x v="6"/>
    </i>
    <i i="7">
      <x v="7"/>
    </i>
  </colItems>
  <dataFields count="8">
    <dataField fld="0" subtotal="count" baseField="0" baseItem="0"/>
    <dataField fld="1" subtotal="count" baseField="2" baseItem="0" numFmtId="164"/>
    <dataField fld="3" subtotal="count" baseField="0" baseItem="0"/>
    <dataField fld="5" subtotal="count" baseField="2" baseItem="2" numFmtId="164"/>
    <dataField fld="6" subtotal="count" baseField="0" baseItem="0"/>
    <dataField fld="7" subtotal="count" baseField="0" baseItem="0"/>
    <dataField fld="8" subtotal="count" baseField="0" baseItem="0" numFmtId="164"/>
    <dataField fld="9" subtotal="count" baseField="0" baseItem="0"/>
  </dataFields>
  <formats count="11">
    <format dxfId="137">
      <pivotArea outline="0" fieldPosition="0">
        <references count="1">
          <reference field="4294967294" count="1" selected="0">
            <x v="1"/>
          </reference>
        </references>
      </pivotArea>
    </format>
    <format dxfId="136">
      <pivotArea outline="0" fieldPosition="0">
        <references count="1">
          <reference field="4294967294" count="1">
            <x v="3"/>
          </reference>
        </references>
      </pivotArea>
    </format>
    <format dxfId="135">
      <pivotArea outline="0" fieldPosition="0">
        <references count="2">
          <reference field="4294967294" count="2" selected="0">
            <x v="4"/>
            <x v="5"/>
          </reference>
          <reference field="2" count="0" selected="0"/>
        </references>
      </pivotArea>
    </format>
    <format dxfId="134">
      <pivotArea field="2" grandRow="1" outline="0" axis="axisRow" fieldPosition="0">
        <references count="1">
          <reference field="4294967294" count="1" selected="0">
            <x v="4"/>
          </reference>
        </references>
      </pivotArea>
    </format>
    <format dxfId="133">
      <pivotArea field="2" grandRow="1" outline="0" axis="axisRow" fieldPosition="0">
        <references count="1">
          <reference field="4294967294" count="1" selected="0">
            <x v="5"/>
          </reference>
        </references>
      </pivotArea>
    </format>
    <format dxfId="132">
      <pivotArea type="all" dataOnly="0" outline="0" fieldPosition="0"/>
    </format>
    <format dxfId="131">
      <pivotArea outline="0" collapsedLevelsAreSubtotals="1" fieldPosition="0"/>
    </format>
    <format dxfId="130">
      <pivotArea field="2" type="button" dataOnly="0" labelOnly="1" outline="0" axis="axisRow" fieldPosition="0"/>
    </format>
    <format dxfId="129">
      <pivotArea dataOnly="0" labelOnly="1" outline="0" fieldPosition="0">
        <references count="1">
          <reference field="2" count="0"/>
        </references>
      </pivotArea>
    </format>
    <format dxfId="128">
      <pivotArea dataOnly="0" labelOnly="1" grandRow="1" outline="0" fieldPosition="0"/>
    </format>
    <format dxfId="127">
      <pivotArea dataOnly="0" labelOnly="1" outline="0" fieldPosition="0">
        <references count="1">
          <reference field="4294967294" count="8">
            <x v="0"/>
            <x v="1"/>
            <x v="2"/>
            <x v="3"/>
            <x v="4"/>
            <x v="5"/>
            <x v="6"/>
            <x v="7"/>
          </reference>
        </references>
      </pivotArea>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dividual_Budgets]"/>
        <x15:activeTabTopLevelEntity name="[invoice]"/>
        <x15:activeTabTopLevelEntity name="[dim_branch]"/>
        <x15:activeTabTopLevelEntity name="[dim_account_exe]"/>
        <x15:activeTabTopLevelEntity name="[Opportunity]"/>
        <x15:activeTabTopLevelEntity name="[brokerage]"/>
      </x15:pivotTableUISettings>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9DB432-59B5-44D3-AAA5-2C7119D5AD9A}" name="PivotTable8" cacheId="10" applyNumberFormats="0" applyBorderFormats="0" applyFontFormats="0" applyPatternFormats="0" applyAlignmentFormats="0" applyWidthHeightFormats="1" dataCaption="Values" tag="bfe9b504-a597-46c7-9435-e81ee9cc4343" updatedVersion="8" minRefreshableVersion="3" useAutoFormatting="1" subtotalHiddenItems="1" itemPrintTitles="1" createdVersion="8" indent="0" outline="1" outlineData="1" multipleFieldFilters="0" rowHeaderCaption="Opportunity stage">
  <location ref="A13:D19" firstHeaderRow="0" firstDataRow="1" firstDataCol="1"/>
  <pivotFields count="5">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3">
    <i>
      <x/>
    </i>
    <i i="1">
      <x v="1"/>
    </i>
    <i i="2">
      <x v="2"/>
    </i>
  </colItems>
  <dataFields count="3">
    <dataField name="Count" fld="1" subtotal="count" baseField="0" baseItem="0"/>
    <dataField name="Revenue" fld="2" baseField="0" baseItem="0" numFmtId="2"/>
    <dataField name="Average revenue" fld="3" subtotal="average" baseField="0" baseItem="0" numFmtId="2"/>
  </dataFields>
  <formats count="2">
    <format dxfId="126">
      <pivotArea outline="0" collapsedLevelsAreSubtotals="1" fieldPosition="0">
        <references count="1">
          <reference field="4294967294" count="2" selected="0">
            <x v="1"/>
            <x v="2"/>
          </reference>
        </references>
      </pivotArea>
    </format>
    <format dxfId="125">
      <pivotArea dataOnly="0" labelOnly="1" outline="0" fieldPosition="0">
        <references count="1">
          <reference field="4294967294" count="2">
            <x v="1"/>
            <x v="2"/>
          </reference>
        </references>
      </pivotArea>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caption="Count"/>
    <pivotHierarchy dragToData="1" caption="Revenue"/>
    <pivotHierarchy dragToData="1" caption="Average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B58F94-9F8F-4FA2-B42D-0D0537DD7E35}" name="PivotTable2" cacheId="9" applyNumberFormats="0" applyBorderFormats="0" applyFontFormats="0" applyPatternFormats="0" applyAlignmentFormats="0" applyWidthHeightFormats="1" dataCaption="Values" tag="71661a53-8d41-4461-83ec-86dc5299b6cb" updatedVersion="8" minRefreshableVersion="3" useAutoFormatting="1" subtotalHiddenItems="1" itemPrintTitles="1" createdVersion="8" indent="0" compact="0" compactData="0" multipleFieldFilters="0">
  <location ref="A2:J10" firstHeaderRow="0" firstDataRow="1" firstDataCol="1"/>
  <pivotFields count="12">
    <pivotField dataField="1" compact="0" outline="0" subtotalTop="0" showAll="0"/>
    <pivotField dataField="1" compact="0" outline="0" subtotalTop="0" showAll="0"/>
    <pivotField dataField="1" compact="0" outline="0" subtotalTop="0" showAll="0"/>
    <pivotField dataField="1" compact="0" outline="0" subtotalTop="0" showAll="0"/>
    <pivotField dataField="1" compact="0" outline="0" subtotalTop="0" showAll="0"/>
    <pivotField dataField="1" compact="0" outline="0" subtotalTop="0" showAll="0"/>
    <pivotField dataField="1" compact="0" outline="0" subtotalTop="0" showAll="0"/>
    <pivotField dataField="1" compact="0" outline="0" subtotalTop="0" showAll="0"/>
    <pivotField dataField="1" compact="0" outline="0" subtotalTop="0" showAll="0"/>
    <pivotField axis="axisRow" compact="0" allDrilled="1" outline="0" subtotalTop="0" showAll="0" dataSourceSort="1" defaultAttributeDrillState="1">
      <items count="8">
        <item x="0"/>
        <item x="1"/>
        <item x="2"/>
        <item x="3"/>
        <item x="4"/>
        <item x="5"/>
        <item x="6"/>
        <item t="default"/>
      </items>
    </pivotField>
    <pivotField compact="0" allDrilled="1" outline="0" subtotalTop="0" showAll="0" dataSourceSort="1" defaultAttributeDrillState="1"/>
    <pivotField compact="0" allDrilled="1" outline="0" subtotalTop="0" showAll="0" dataSourceSort="1" defaultAttributeDrillState="1"/>
  </pivotFields>
  <rowFields count="1">
    <field x="9"/>
  </rowFields>
  <rowItems count="8">
    <i>
      <x/>
    </i>
    <i>
      <x v="1"/>
    </i>
    <i>
      <x v="2"/>
    </i>
    <i>
      <x v="3"/>
    </i>
    <i>
      <x v="4"/>
    </i>
    <i>
      <x v="5"/>
    </i>
    <i>
      <x v="6"/>
    </i>
    <i t="grand">
      <x/>
    </i>
  </rowItems>
  <colFields count="1">
    <field x="-2"/>
  </colFields>
  <colItems count="9">
    <i>
      <x/>
    </i>
    <i i="1">
      <x v="1"/>
    </i>
    <i i="2">
      <x v="2"/>
    </i>
    <i i="3">
      <x v="3"/>
    </i>
    <i i="4">
      <x v="4"/>
    </i>
    <i i="5">
      <x v="5"/>
    </i>
    <i i="6">
      <x v="6"/>
    </i>
    <i i="7">
      <x v="7"/>
    </i>
    <i i="8">
      <x v="8"/>
    </i>
  </colItems>
  <dataFields count="9">
    <dataField fld="8" subtotal="count" baseField="0" baseItem="0"/>
    <dataField fld="0" subtotal="count" baseField="0" baseItem="0"/>
    <dataField fld="1" subtotal="count" baseField="0" baseItem="0"/>
    <dataField fld="2" subtotal="count" baseField="0" baseItem="0"/>
    <dataField fld="3" subtotal="count" baseField="0" baseItem="0"/>
    <dataField fld="4" subtotal="count" baseField="9" baseItem="0" numFmtId="10"/>
    <dataField fld="5" subtotal="count" baseField="9" baseItem="0" numFmtId="10"/>
    <dataField fld="6" subtotal="count" baseField="0" baseItem="0"/>
    <dataField fld="7" subtotal="count" baseField="9" baseItem="0" numFmtId="10"/>
  </dataField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dim_branch]"/>
        <x15:activeTabTopLevelEntity name="[invoice]"/>
      </x15:pivotTableUISettings>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8927D5-7156-442F-9A82-FF4F0D70ABE2}" name="PivotTable10" cacheId="5" applyNumberFormats="0" applyBorderFormats="0" applyFontFormats="0" applyPatternFormats="0" applyAlignmentFormats="0" applyWidthHeightFormats="1" dataCaption="Values" tag="79f59f5f-69dc-4a78-a68d-95b708147d57" updatedVersion="8" minRefreshableVersion="3" showDrill="0" useAutoFormatting="1" subtotalHiddenItems="1" itemPrintTitles="1" createdVersion="8" indent="0" compact="0" compactData="0" multipleFieldFilters="0">
  <location ref="A39:E50" firstHeaderRow="1" firstDataRow="1" firstDataCol="4" rowPageCount="1" colPageCount="1"/>
  <pivotFields count="8">
    <pivotField axis="axisRow" compact="0" allDrilled="1" outline="0" subtotalTop="0" showAll="0" measureFilter="1" defaultSubtotal="0" defaultAttributeDrillState="1">
      <items count="10">
        <item x="2"/>
        <item x="3"/>
        <item x="0"/>
        <item x="1"/>
        <item x="4"/>
        <item x="5"/>
        <item x="6"/>
        <item x="7"/>
        <item x="8"/>
        <item x="9"/>
      </items>
    </pivotField>
    <pivotField dataField="1" compact="0" outline="0" subtotalTop="0" showAll="0" defaultSubtotal="0"/>
    <pivotField axis="axisPage" compact="0" allDrilled="1" outline="0" subtotalTop="0" showAll="0" dataSourceSort="1" defaultSubtotal="0" defaultAttributeDrillState="1"/>
    <pivotField axis="axisRow" compact="0" allDrilled="1" outline="0" subtotalTop="0" showAll="0" measureFilter="1" dataSourceSort="1" defaultSubtotal="0" defaultAttributeDrillState="1">
      <items count="10">
        <item x="0"/>
        <item x="1"/>
        <item x="2"/>
        <item x="3"/>
        <item x="4"/>
        <item x="5"/>
        <item x="6"/>
        <item x="7"/>
        <item x="8"/>
        <item x="9"/>
      </items>
    </pivotField>
    <pivotField axis="axisRow" compact="0" allDrilled="1" outline="0" subtotalTop="0" showAll="0" dataSourceSort="1" defaultSubtotal="0" defaultAttributeDrillState="1">
      <items count="10">
        <item x="0"/>
        <item x="1"/>
        <item x="2"/>
        <item x="3"/>
        <item x="4"/>
        <item x="5"/>
        <item x="6"/>
        <item x="7"/>
        <item x="8"/>
        <item x="9"/>
      </items>
    </pivotField>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4">
    <field x="3"/>
    <field x="0"/>
    <field x="4"/>
    <field x="5"/>
  </rowFields>
  <rowItems count="11">
    <i>
      <x/>
      <x v="2"/>
      <x/>
      <x/>
    </i>
    <i>
      <x v="1"/>
      <x v="3"/>
      <x v="1"/>
      <x v="1"/>
    </i>
    <i>
      <x v="2"/>
      <x/>
      <x v="2"/>
      <x v="2"/>
    </i>
    <i>
      <x v="3"/>
      <x v="1"/>
      <x v="3"/>
      <x v="2"/>
    </i>
    <i>
      <x v="4"/>
      <x v="4"/>
      <x v="4"/>
      <x v="3"/>
    </i>
    <i>
      <x v="5"/>
      <x v="5"/>
      <x v="5"/>
      <x v="3"/>
    </i>
    <i>
      <x v="6"/>
      <x v="6"/>
      <x v="6"/>
      <x v="3"/>
    </i>
    <i>
      <x v="7"/>
      <x v="7"/>
      <x v="7"/>
      <x v="4"/>
    </i>
    <i>
      <x v="8"/>
      <x v="8"/>
      <x v="8"/>
      <x v="5"/>
    </i>
    <i>
      <x v="9"/>
      <x v="9"/>
      <x v="9"/>
      <x v="5"/>
    </i>
    <i t="grand">
      <x/>
    </i>
  </rowItems>
  <colItems count="1">
    <i/>
  </colItems>
  <pageFields count="1">
    <pageField fld="2" hier="104" name="[Opportunity].[stage].[All]" cap="All"/>
  </pageFields>
  <dataFields count="1">
    <dataField name="Sum of revenue_amount" fld="1" baseField="0" baseItem="0"/>
  </dataField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112">
      <autoFilter ref="A1">
        <filterColumn colId="0">
          <top10 val="10" filterVal="10"/>
        </filterColumn>
      </autoFilter>
    </filter>
    <filter fld="3" type="count" evalOrder="1" id="2" iMeasureHier="112">
      <autoFilter ref="A1">
        <filterColumn colId="0">
          <top10 val="10" filterVal="10"/>
        </filterColumn>
      </autoFilter>
    </filter>
  </filters>
  <rowHierarchiesUsage count="4">
    <rowHierarchyUsage hierarchyUsage="98"/>
    <rowHierarchyUsage hierarchyUsage="97"/>
    <rowHierarchyUsage hierarchyUsage="100"/>
    <rowHierarchyUsage hierarchyUsage="10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DC5E2A-BEF1-4452-891E-55DF48050E56}" name="PivotTable9" cacheId="11" applyNumberFormats="0" applyBorderFormats="0" applyFontFormats="0" applyPatternFormats="0" applyAlignmentFormats="0" applyWidthHeightFormats="1" dataCaption="Values" tag="4f13bf0d-63be-4df0-bc29-f42d699c0702" updatedVersion="8" minRefreshableVersion="3" showDrill="0" subtotalHiddenItems="1" itemPrintTitles="1" createdVersion="8" indent="0" compact="0" compactData="0" multipleFieldFilters="0" rowHeaderCaption="Opportunity">
  <location ref="A23:F34" firstHeaderRow="1" firstDataRow="1" firstDataCol="5"/>
  <pivotFields count="7">
    <pivotField axis="axisRow" compact="0" allDrilled="1" outline="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howAll="0" defaultSubtotal="0"/>
    <pivotField axis="axisRow" compact="0" allDrilled="1" outline="0" showAll="0" dataSourceSort="1" defaultSubtotal="0" defaultAttributeDrillState="1">
      <items count="4">
        <item x="0"/>
        <item x="1"/>
        <item x="2"/>
        <item x="3"/>
      </items>
    </pivotField>
    <pivotField axis="axisRow" compact="0" allDrilled="1" outline="0" showAll="0" sortType="ascending" defaultSubtotal="0" defaultAttributeDrillState="1">
      <items count="10">
        <item x="3"/>
        <item x="8"/>
        <item x="5"/>
        <item x="9"/>
        <item x="4"/>
        <item x="1"/>
        <item x="2"/>
        <item x="7"/>
        <item x="6"/>
        <item x="0"/>
      </items>
    </pivotField>
    <pivotField axis="axisRow" compact="0" allDrilled="1" outline="0" subtotalTop="0" showAll="0" measureFilter="1" dataSourceSort="1" defaultSubtotal="0" defaultAttributeDrillState="1">
      <items count="10">
        <item x="0"/>
        <item x="1"/>
        <item x="2"/>
        <item x="3"/>
        <item x="4"/>
        <item x="5"/>
        <item x="6"/>
        <item x="7"/>
        <item x="8"/>
        <item x="9"/>
      </items>
    </pivotField>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s>
  <rowFields count="5">
    <field x="4"/>
    <field x="0"/>
    <field x="3"/>
    <field x="5"/>
    <field x="2"/>
  </rowFields>
  <rowItems count="11">
    <i>
      <x/>
      <x/>
      <x v="9"/>
      <x/>
      <x/>
    </i>
    <i>
      <x v="1"/>
      <x v="1"/>
      <x v="5"/>
      <x v="1"/>
      <x v="1"/>
    </i>
    <i>
      <x v="2"/>
      <x v="2"/>
      <x v="6"/>
      <x v="2"/>
      <x v="2"/>
    </i>
    <i>
      <x v="3"/>
      <x v="3"/>
      <x/>
      <x v="2"/>
      <x v="2"/>
    </i>
    <i>
      <x v="4"/>
      <x v="4"/>
      <x v="4"/>
      <x v="3"/>
      <x v="2"/>
    </i>
    <i>
      <x v="5"/>
      <x v="5"/>
      <x v="2"/>
      <x v="3"/>
      <x v="3"/>
    </i>
    <i>
      <x v="6"/>
      <x v="6"/>
      <x v="8"/>
      <x v="3"/>
      <x v="3"/>
    </i>
    <i>
      <x v="7"/>
      <x v="7"/>
      <x v="7"/>
      <x v="4"/>
      <x v="3"/>
    </i>
    <i>
      <x v="8"/>
      <x v="8"/>
      <x v="1"/>
      <x v="5"/>
      <x v="2"/>
    </i>
    <i>
      <x v="9"/>
      <x v="9"/>
      <x v="3"/>
      <x v="5"/>
      <x/>
    </i>
    <i t="grand">
      <x/>
    </i>
  </rowItems>
  <colItems count="1">
    <i/>
  </colItems>
  <dataFields count="1">
    <dataField name="Sum of revenue_amount" fld="1" baseField="0" baseItem="0"/>
  </dataField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3" iMeasureHier="112">
      <autoFilter ref="A1">
        <filterColumn colId="0">
          <top10 val="10" filterVal="10"/>
        </filterColumn>
      </autoFilter>
    </filter>
    <filter fld="4" type="count" evalOrder="1" id="4" iMeasureHier="112">
      <autoFilter ref="A1">
        <filterColumn colId="0">
          <top10 val="10" filterVal="10"/>
        </filterColumn>
      </autoFilter>
    </filter>
  </filters>
  <rowHierarchiesUsage count="5">
    <rowHierarchyUsage hierarchyUsage="98"/>
    <rowHierarchyUsage hierarchyUsage="97"/>
    <rowHierarchyUsage hierarchyUsage="100"/>
    <rowHierarchyUsage hierarchyUsage="105"/>
    <rowHierarchyUsage hierarchyUsage="10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4C2BDC-F303-40A6-8912-66C67A4B5C75}" name="PivotTable12" cacheId="14" applyNumberFormats="0" applyBorderFormats="0" applyFontFormats="0" applyPatternFormats="0" applyAlignmentFormats="0" applyWidthHeightFormats="1" dataCaption="Values" tag="e1b440ff-9b3c-42db-b150-8ef50b6a96f2" updatedVersion="8" minRefreshableVersion="3" subtotalHiddenItems="1" itemPrintTitles="1" createdVersion="8" indent="0" outline="1" outlineData="1" multipleFieldFilters="0">
  <location ref="A14:D22" firstHeaderRow="0" firstDataRow="1" firstDataCol="1"/>
  <pivotFields count="6">
    <pivotField axis="axisRow" allDrilled="1" subtotalTop="0" showAll="0" dataSourceSort="1" defaultSubtotal="0" defaultAttributeDrillState="1">
      <items count="7">
        <item x="0"/>
        <item x="1"/>
        <item x="2"/>
        <item x="3"/>
        <item x="4"/>
        <item x="5"/>
        <item x="6"/>
      </items>
    </pivotField>
    <pivotField dataField="1" subtotalTop="0" showAll="0" defaultSubtotal="0"/>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3">
    <i>
      <x/>
    </i>
    <i i="1">
      <x v="1"/>
    </i>
    <i i="2">
      <x v="2"/>
    </i>
  </colItems>
  <dataFields count="3">
    <dataField name="Total Meetings" fld="1" subtotal="count" baseField="0" baseItem="0"/>
    <dataField name="Unique executives" fld="2" subtotal="count" baseField="0" baseItem="0">
      <extLst>
        <ext xmlns:x15="http://schemas.microsoft.com/office/spreadsheetml/2010/11/main" uri="{FABC7310-3BB5-11E1-824E-6D434824019B}">
          <x15:dataField isCountDistinct="1"/>
        </ext>
      </extLst>
    </dataField>
    <dataField name="Meetings per executives" fld="4" subtotal="count" baseField="0" baseItem="0" numFmtId="2"/>
  </dataFields>
  <formats count="6">
    <format dxfId="111">
      <pivotArea type="all" dataOnly="0" outline="0" fieldPosition="0"/>
    </format>
    <format dxfId="110">
      <pivotArea outline="0" collapsedLevelsAreSubtotals="1" fieldPosition="0"/>
    </format>
    <format dxfId="109">
      <pivotArea field="0" type="button" dataOnly="0" labelOnly="1" outline="0" axis="axisRow" fieldPosition="0"/>
    </format>
    <format dxfId="108">
      <pivotArea dataOnly="0" labelOnly="1" fieldPosition="0">
        <references count="1">
          <reference field="0" count="0"/>
        </references>
      </pivotArea>
    </format>
    <format dxfId="107">
      <pivotArea dataOnly="0" labelOnly="1" grandRow="1" outline="0" fieldPosition="0"/>
    </format>
    <format dxfId="106">
      <pivotArea dataOnly="0" labelOnly="1" outline="0" fieldPosition="0">
        <references count="1">
          <reference field="4294967294" count="3">
            <x v="0"/>
            <x v="1"/>
            <x v="2"/>
          </reference>
        </references>
      </pivotArea>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multipleItemSelectionAllowed="1" dragToData="1">
      <members count="21" level="1">
        <member name="[meeting].[meeting_date].&amp;[2020-01-02T00:00:00]"/>
        <member name="[meeting].[meeting_date].&amp;[2020-01-03T00:00:00]"/>
        <member name="[meeting].[meeting_date].&amp;[2020-01-04T00:00:00]"/>
        <member name="[meeting].[meeting_date].&amp;[2020-01-05T00:00:00]"/>
        <member name="[meeting].[meeting_date].&amp;[2020-01-06T00:00:00]"/>
        <member name="[meeting].[meeting_date].&amp;[2020-01-07T00:00:00]"/>
        <member name="[meeting].[meeting_date].&amp;[2020-01-08T00:00:00]"/>
        <member name="[meeting].[meeting_date].&amp;[2020-01-09T00:00:00]"/>
        <member name="[meeting].[meeting_date].&amp;[2020-01-10T00:00:00]"/>
        <member name="[meeting].[meeting_date].&amp;[2020-01-12T00:00:00]"/>
        <member name="[meeting].[meeting_date].&amp;[2020-01-13T00:00:00]"/>
        <member name="[meeting].[meeting_date].&amp;[2020-01-14T00:00:00]"/>
        <member name="[meeting].[meeting_date].&amp;[2020-01-15T00:00:00]"/>
        <member name="[meeting].[meeting_date].&amp;[2020-01-16T00:00:00]"/>
        <member name="[meeting].[meeting_date].&amp;[2020-01-17T00:00:00]"/>
        <member name="[meeting].[meeting_date].&amp;[2020-01-18T00:00:00]"/>
        <member name="[meeting].[meeting_date].&amp;[2020-01-19T00:00:00]"/>
        <member name="[meeting].[meeting_date].&amp;[2020-01-20T00:00:00]"/>
        <member name="[meeting].[meeting_date].&amp;[2020-01-21T00:00:00]"/>
        <member name="[meeting].[meeting_date].&amp;[2020-01-22T00:00:00]"/>
        <member name="[meeting].[meeting_date].&amp;[2020-01-23T00:00:00]"/>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Meetings"/>
    <pivotHierarchy dragToData="1"/>
    <pivotHierarchy dragToData="1"/>
    <pivotHierarchy dragToData="1" caption="Unique executives"/>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Meetings per executive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eting]"/>
        <x15:activeTabTopLevelEntity name="[invoic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B8385C5-3F5E-4F54-A55C-B42563C608C9}" name="PivotTable11" cacheId="12" applyNumberFormats="0" applyBorderFormats="0" applyFontFormats="0" applyPatternFormats="0" applyAlignmentFormats="0" applyWidthHeightFormats="1" dataCaption="Values" tag="b27005c0-64d5-45c2-8eaf-47eb2d002f57" updatedVersion="8" minRefreshableVersion="3" useAutoFormatting="1" subtotalHiddenItems="1" itemPrintTitles="1" createdVersion="8" indent="0" outline="1" outlineData="1" multipleFieldFilters="0">
  <location ref="A25:B36" firstHeaderRow="1" firstDataRow="1" firstDataCol="1"/>
  <pivotFields count="4">
    <pivotField axis="axisRow" allDrilled="1" subtotalTop="0" showAll="0" measureFilter="1" defaultSubtotal="0" defaultAttributeDrillState="1">
      <items count="10">
        <item x="0"/>
        <item x="4"/>
        <item x="1"/>
        <item x="2"/>
        <item x="3"/>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Count of meeting_date" fld="1" subtotal="count" baseField="0" baseItem="0"/>
  </dataFields>
  <formats count="6">
    <format dxfId="117">
      <pivotArea type="all" dataOnly="0" outline="0" fieldPosition="0"/>
    </format>
    <format dxfId="116">
      <pivotArea outline="0" collapsedLevelsAreSubtotals="1" fieldPosition="0"/>
    </format>
    <format dxfId="115">
      <pivotArea field="0" type="button" dataOnly="0" labelOnly="1" outline="0" axis="axisRow" fieldPosition="0"/>
    </format>
    <format dxfId="114">
      <pivotArea dataOnly="0" labelOnly="1" fieldPosition="0">
        <references count="1">
          <reference field="0" count="0"/>
        </references>
      </pivotArea>
    </format>
    <format dxfId="113">
      <pivotArea dataOnly="0" labelOnly="1" grandRow="1" outline="0" fieldPosition="0"/>
    </format>
    <format dxfId="112">
      <pivotArea dataOnly="0" labelOnly="1" outline="0" axis="axisValues" fieldPosition="0"/>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115">
      <autoFilter ref="A1">
        <filterColumn colId="0">
          <top10 val="10" filterVal="10"/>
        </filterColumn>
      </autoFilter>
    </filter>
  </filters>
  <rowHierarchiesUsage count="1">
    <rowHierarchyUsage hierarchyUsage="9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eting]"/>
        <x15:activeTabTopLevelEntity name="[invoic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A2E79EE-DDF5-4D8C-A85B-3583FB17EA60}" name="PivotTable3" cacheId="13" applyNumberFormats="0" applyBorderFormats="0" applyFontFormats="0" applyPatternFormats="0" applyAlignmentFormats="0" applyWidthHeightFormats="1" dataCaption="Values" tag="60305f82-cd9a-483a-824b-8197d6f78537" updatedVersion="8" minRefreshableVersion="3" useAutoFormatting="1" subtotalHiddenItems="1" itemPrintTitles="1" createdVersion="8" indent="0" compact="0" compactData="0" multipleFieldFilters="0" chartFormat="4">
  <location ref="A2:F10" firstHeaderRow="0" firstDataRow="1" firstDataCol="1"/>
  <pivotFields count="7">
    <pivotField dataField="1" compact="0" outline="0" subtotalTop="0" showAll="0"/>
    <pivotField dataField="1" compact="0" outline="0" subtotalTop="0" showAll="0"/>
    <pivotField dataField="1" compact="0" outline="0" subtotalTop="0" showAll="0"/>
    <pivotField dataField="1" compact="0" outline="0" subtotalTop="0" showAll="0"/>
    <pivotField dataField="1" compact="0" outline="0" subtotalTop="0" showAll="0"/>
    <pivotField axis="axisRow" compact="0" allDrilled="1" outline="0" subtotalTop="0" showAll="0" dataSourceSort="1" defaultAttributeDrillState="1">
      <items count="8">
        <item x="0"/>
        <item x="1"/>
        <item x="2"/>
        <item x="3"/>
        <item x="4"/>
        <item x="5"/>
        <item x="6"/>
        <item t="default"/>
      </items>
    </pivotField>
    <pivotField compact="0" allDrilled="1" outline="0" subtotalTop="0" showAll="0" dataSourceSort="1" defaultAttributeDrillState="1"/>
  </pivotFields>
  <rowFields count="1">
    <field x="5"/>
  </rowFields>
  <rowItems count="8">
    <i>
      <x/>
    </i>
    <i>
      <x v="1"/>
    </i>
    <i>
      <x v="2"/>
    </i>
    <i>
      <x v="3"/>
    </i>
    <i>
      <x v="4"/>
    </i>
    <i>
      <x v="5"/>
    </i>
    <i>
      <x v="6"/>
    </i>
    <i t="grand">
      <x/>
    </i>
  </rowItems>
  <colFields count="1">
    <field x="-2"/>
  </colFields>
  <colItems count="5">
    <i>
      <x/>
    </i>
    <i i="1">
      <x v="1"/>
    </i>
    <i i="2">
      <x v="2"/>
    </i>
    <i i="3">
      <x v="3"/>
    </i>
    <i i="4">
      <x v="4"/>
    </i>
  </colItems>
  <dataFields count="5">
    <dataField name="Total meetings 2019" fld="3" subtotal="count" baseField="5" baseItem="0"/>
    <dataField name="Total meetings 2020" fld="4" subtotal="count" baseField="5" baseItem="0"/>
    <dataField fld="0" subtotal="count" baseField="5" baseItem="1" numFmtId="2"/>
    <dataField name="Meeting to Opportunity Ratio" fld="1" subtotal="count" baseField="5" baseItem="5" numFmtId="2"/>
    <dataField name="Meeting to Won Ratio" fld="2" subtotal="count" baseField="5" baseItem="0" numFmtId="2"/>
  </dataFields>
  <formats count="7">
    <format dxfId="124">
      <pivotArea outline="0" fieldPosition="0">
        <references count="1">
          <reference field="4294967294" count="1" selected="0">
            <x v="4"/>
          </reference>
        </references>
      </pivotArea>
    </format>
    <format dxfId="123">
      <pivotArea type="all" dataOnly="0" outline="0" fieldPosition="0"/>
    </format>
    <format dxfId="122">
      <pivotArea outline="0" collapsedLevelsAreSubtotals="1" fieldPosition="0"/>
    </format>
    <format dxfId="121">
      <pivotArea field="5" type="button" dataOnly="0" labelOnly="1" outline="0" axis="axisRow" fieldPosition="0"/>
    </format>
    <format dxfId="120">
      <pivotArea dataOnly="0" labelOnly="1" outline="0" fieldPosition="0">
        <references count="1">
          <reference field="5" count="0"/>
        </references>
      </pivotArea>
    </format>
    <format dxfId="119">
      <pivotArea dataOnly="0" labelOnly="1" grandRow="1" outline="0" fieldPosition="0"/>
    </format>
    <format dxfId="118">
      <pivotArea dataOnly="0" labelOnly="1" outline="0" fieldPosition="0">
        <references count="1">
          <reference field="4294967294" count="5">
            <x v="0"/>
            <x v="1"/>
            <x v="2"/>
            <x v="3"/>
            <x v="4"/>
          </reference>
        </references>
      </pivotArea>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otal meetings 2019"/>
    <pivotHierarchy dragToRow="0" dragToCol="0" dragToPage="0" dragToData="1"/>
    <pivotHierarchy dragToRow="0" dragToCol="0" dragToPage="0" dragToData="1" caption="Meeting to Opportunity Ratio"/>
    <pivotHierarchy dragToRow="0" dragToCol="0" dragToPage="0" dragToData="1" caption="Meeting to Won Ratio"/>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Total meetings 2020"/>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eeting]"/>
        <x15:activeTabTopLevelEntity name="[Individual_Budgets]"/>
        <x15:activeTabTopLevelEntity name="[dim_account_exe]"/>
        <x15:activeTabTopLevelEntity name="[invoice]"/>
        <x15:activeTabTopLevelEntity name="[Opportunity]"/>
        <x15:activeTabTopLevelEntity name="[dim_branch]"/>
      </x15:pivotTableUISettings>
    </ext>
    <ext xmlns:xpdl="http://schemas.microsoft.com/office/spreadsheetml/2016/pivotdefaultlayout" uri="{747A6164-185A-40DC-8AA5-F01512510D54}">
      <xpdl:pivotTableDefinition16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8AF2AA6-54A4-465E-9E9B-D34AEF46953E}" name="PivotTable13" cacheId="15" applyNumberFormats="0" applyBorderFormats="0" applyFontFormats="0" applyPatternFormats="0" applyAlignmentFormats="0" applyWidthHeightFormats="1" dataCaption="Values" tag="7c7abc2f-b6ea-4eb5-b6ee-c8624df9b009" updatedVersion="8" minRefreshableVersion="3" showDrill="0" useAutoFormatting="1" subtotalHiddenItems="1" itemPrintTitles="1" createdVersion="8" indent="0" compact="0" compactData="0" multipleFieldFilters="0">
  <location ref="A12:E54" firstHeaderRow="0" firstDataRow="1" firstDataCol="2"/>
  <pivotFields count="7">
    <pivotField name="Account Executive" axis="axisRow" compact="0" allDrilled="1" outline="0" subtotalTop="0" showAll="0" sortType="ascending"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pivotField>
    <pivotField dataField="1" compact="0" outline="0" subtotalTop="0" showAll="0" defaultSubtotal="0"/>
    <pivotField name="Branch"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0"/>
    <field x="2"/>
  </rowFields>
  <rowItems count="42">
    <i>
      <x/>
      <x/>
    </i>
    <i>
      <x v="1"/>
      <x v="1"/>
    </i>
    <i>
      <x v="2"/>
      <x/>
    </i>
    <i>
      <x v="3"/>
      <x v="2"/>
    </i>
    <i>
      <x v="4"/>
      <x v="3"/>
    </i>
    <i>
      <x v="5"/>
      <x v="4"/>
    </i>
    <i>
      <x v="6"/>
      <x v="5"/>
    </i>
    <i>
      <x v="7"/>
      <x v="5"/>
    </i>
    <i>
      <x v="8"/>
      <x v="4"/>
    </i>
    <i>
      <x v="9"/>
      <x v="3"/>
    </i>
    <i>
      <x v="10"/>
      <x/>
    </i>
    <i>
      <x v="11"/>
      <x/>
    </i>
    <i>
      <x v="12"/>
      <x v="3"/>
    </i>
    <i>
      <x v="13"/>
      <x v="4"/>
    </i>
    <i>
      <x v="14"/>
      <x/>
    </i>
    <i>
      <x v="15"/>
      <x v="1"/>
    </i>
    <i>
      <x v="16"/>
      <x v="5"/>
    </i>
    <i>
      <x v="17"/>
      <x/>
    </i>
    <i>
      <x v="18"/>
      <x v="3"/>
    </i>
    <i>
      <x v="19"/>
      <x v="4"/>
    </i>
    <i>
      <x v="20"/>
      <x v="1"/>
    </i>
    <i>
      <x v="21"/>
      <x v="2"/>
    </i>
    <i>
      <x v="22"/>
      <x v="6"/>
    </i>
    <i>
      <x v="23"/>
      <x v="6"/>
    </i>
    <i>
      <x v="24"/>
      <x v="2"/>
    </i>
    <i>
      <x v="25"/>
      <x v="1"/>
    </i>
    <i>
      <x v="26"/>
      <x v="3"/>
    </i>
    <i>
      <x v="27"/>
      <x v="5"/>
    </i>
    <i>
      <x v="28"/>
      <x v="6"/>
    </i>
    <i>
      <x v="29"/>
      <x v="4"/>
    </i>
    <i>
      <x v="30"/>
      <x v="2"/>
    </i>
    <i>
      <x v="31"/>
      <x v="6"/>
    </i>
    <i>
      <x v="32"/>
      <x v="2"/>
    </i>
    <i>
      <x v="33"/>
      <x v="3"/>
    </i>
    <i>
      <x v="34"/>
      <x v="5"/>
    </i>
    <i>
      <x v="35"/>
      <x v="4"/>
    </i>
    <i>
      <x v="36"/>
      <x v="6"/>
    </i>
    <i>
      <x v="37"/>
      <x/>
    </i>
    <i>
      <x v="38"/>
      <x v="1"/>
    </i>
    <i>
      <x v="39"/>
      <x v="2"/>
    </i>
    <i>
      <x v="40"/>
      <x/>
    </i>
    <i t="grand">
      <x/>
    </i>
  </rowItems>
  <colFields count="1">
    <field x="-2"/>
  </colFields>
  <colItems count="3">
    <i>
      <x/>
    </i>
    <i i="1">
      <x v="1"/>
    </i>
    <i i="2">
      <x v="2"/>
    </i>
  </colItems>
  <dataFields count="3">
    <dataField name="Number of invoices" fld="1" subtotal="count" baseField="2" baseItem="0"/>
    <dataField name="Invoice Amount" fld="4" baseField="2" baseItem="0"/>
    <dataField fld="3" subtotal="count" baseField="0" baseItem="0"/>
  </dataField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umber of invoices"/>
    <pivotHierarchy dragToData="1" caption="Invoice Amount"/>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80"/>
    <rowHierarchyUsage hierarchyUsage="7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oice]"/>
        <x15:activeTabTopLevelEntity name="[Individual_Budgets]"/>
        <x15:activeTabTopLevelEntity name="[dim_account_ex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EDF1AC7-255D-409D-8E7A-DF4A487CE6A6}" name="PivotTable4" cacheId="16" applyNumberFormats="0" applyBorderFormats="0" applyFontFormats="0" applyPatternFormats="0" applyAlignmentFormats="0" applyWidthHeightFormats="1" dataCaption="Values" tag="403f7a09-5a6e-4f2f-b616-1fefc233734b" updatedVersion="8" minRefreshableVersion="3" subtotalHiddenItems="1" itemPrintTitles="1" createdVersion="8" indent="0" compact="0" compactData="0" multipleFieldFilters="0">
  <location ref="A2:D5" firstHeaderRow="0" firstDataRow="1" firstDataCol="1"/>
  <pivotFields count="6">
    <pivotField dataField="1" compact="0" outline="0" subtotalTop="0" showAll="0"/>
    <pivotField dataField="1" compact="0" outline="0" subtotalTop="0" showAll="0"/>
    <pivotField dataField="1" compact="0" outline="0" subtotalTop="0" showAll="0"/>
    <pivotField name="Year" axis="axisRow" compact="0" allDrilled="1" outline="0" subtotalTop="0" showAll="0" dataSourceSort="1" defaultAttributeDrillState="1">
      <items count="3">
        <item x="0"/>
        <item x="1"/>
        <item t="default"/>
      </items>
    </pivotField>
    <pivotField compact="0" allDrilled="1" outline="0" subtotalTop="0" showAll="0" dataSourceSort="1" defaultAttributeDrillState="1"/>
    <pivotField compact="0" allDrilled="1" outline="0" subtotalTop="0" showAll="0" dataSourceSort="1" defaultAttributeDrillState="1"/>
  </pivotFields>
  <rowFields count="1">
    <field x="3"/>
  </rowFields>
  <rowItems count="3">
    <i>
      <x/>
    </i>
    <i>
      <x v="1"/>
    </i>
    <i t="grand">
      <x/>
    </i>
  </rowItems>
  <colFields count="1">
    <field x="-2"/>
  </colFields>
  <colItems count="3">
    <i>
      <x/>
    </i>
    <i i="1">
      <x v="1"/>
    </i>
    <i i="2">
      <x v="2"/>
    </i>
  </colItems>
  <dataFields count="3">
    <dataField fld="0" subtotal="count" baseField="0" baseItem="0"/>
    <dataField fld="1" subtotal="count" baseField="0" baseItem="0"/>
    <dataField fld="2" subtotal="count" baseField="0" baseItem="0" numFmtId="10"/>
  </dataField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oice]"/>
        <x15:activeTabTopLevelEntity name="[DateTable]"/>
        <x15:activeTabTopLevelEntity name="[Individual_Budgets]"/>
        <x15:activeTabTopLevelEntity name="[dim_account_exe]"/>
        <x15:activeTabTopLevelEntity name="[Opportunity]"/>
        <x15:activeTabTopLevelEntity name="[dim_branch]"/>
      </x15:pivotTableUISettings>
    </ext>
    <ext xmlns:xpdl="http://schemas.microsoft.com/office/spreadsheetml/2016/pivotdefaultlayout" uri="{747A6164-185A-40DC-8AA5-F01512510D54}">
      <xpdl:pivotTableDefinition16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7ABAEF8-87D2-441F-8BFF-582A749486C1}" name="PivotTable16" cacheId="17" applyNumberFormats="0" applyBorderFormats="0" applyFontFormats="0" applyPatternFormats="0" applyAlignmentFormats="0" applyWidthHeightFormats="1" dataCaption="Values" tag="d5f8f0d1-c2cd-4b35-8809-fd8a99a70514" updatedVersion="8" minRefreshableVersion="3" showDrill="0" useAutoFormatting="1" subtotalHiddenItems="1" itemPrintTitles="1" createdVersion="8" indent="0" outline="1" outlineData="1" multipleFieldFilters="0" chartFormat="5" rowHeaderCaption="Branch">
  <location ref="G12:K21" firstHeaderRow="1" firstDataRow="2" firstDataCol="1"/>
  <pivotFields count="4">
    <pivotField axis="axisCol" allDrilled="1" subtotalTop="0" showAll="0" dataSourceSort="1" defaultSubtotal="0" defaultAttributeDrillState="1">
      <items count="3">
        <item x="0"/>
        <item x="1"/>
        <item x="2"/>
      </items>
    </pivotField>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2"/>
  </rowFields>
  <rowItems count="8">
    <i>
      <x/>
    </i>
    <i>
      <x v="1"/>
    </i>
    <i>
      <x v="2"/>
    </i>
    <i>
      <x v="3"/>
    </i>
    <i>
      <x v="4"/>
    </i>
    <i>
      <x v="5"/>
    </i>
    <i>
      <x v="6"/>
    </i>
    <i t="grand">
      <x/>
    </i>
  </rowItems>
  <colFields count="1">
    <field x="0"/>
  </colFields>
  <colItems count="4">
    <i>
      <x/>
    </i>
    <i>
      <x v="1"/>
    </i>
    <i>
      <x v="2"/>
    </i>
    <i t="grand">
      <x/>
    </i>
  </colItems>
  <dataFields count="1">
    <dataField name="Count of invoices" fld="1" subtotal="count" baseField="0" baseItem="0"/>
  </dataField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invoices"/>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7"/>
  </rowHierarchiesUsage>
  <colHierarchiesUsage count="1">
    <colHierarchyUsage hierarchyUsage="8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oice]"/>
        <x15:activeTabTopLevelEntity name="[Individual_Budgets]"/>
        <x15:activeTabTopLevelEntity name="[dim_account_ex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80A9C8-FAEE-4CFB-ACB2-D718F7566716}" name="PivotTable22" cacheId="18" applyNumberFormats="0" applyBorderFormats="0" applyFontFormats="0" applyPatternFormats="0" applyAlignmentFormats="0" applyWidthHeightFormats="1" dataCaption="Values" tag="ffbea8ea-5260-4f46-a1df-ff9de65d939f" updatedVersion="8" minRefreshableVersion="3" useAutoFormatting="1" subtotalHiddenItems="1" itemPrintTitles="1" createdVersion="8" indent="0" compact="0" compactData="0" multipleFieldFilters="0">
  <location ref="H3:J45" firstHeaderRow="1" firstDataRow="1" firstDataCol="2"/>
  <pivotFields count="5">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axis="axisRow" compact="0" allDrilled="1" outline="0" subtotalTop="0" showAll="0" dataSourceSort="1"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2">
    <field x="1"/>
    <field x="2"/>
  </rowFields>
  <rowItems count="42">
    <i>
      <x/>
      <x/>
    </i>
    <i r="1">
      <x v="1"/>
    </i>
    <i r="1">
      <x v="2"/>
    </i>
    <i r="1">
      <x v="3"/>
    </i>
    <i r="1">
      <x v="4"/>
    </i>
    <i r="1">
      <x v="5"/>
    </i>
    <i r="1">
      <x v="6"/>
    </i>
    <i r="1">
      <x v="7"/>
    </i>
    <i>
      <x v="1"/>
      <x v="8"/>
    </i>
    <i r="1">
      <x v="9"/>
    </i>
    <i r="1">
      <x v="10"/>
    </i>
    <i r="1">
      <x v="11"/>
    </i>
    <i r="1">
      <x v="12"/>
    </i>
    <i r="1">
      <x v="13"/>
    </i>
    <i>
      <x v="2"/>
      <x v="14"/>
    </i>
    <i r="1">
      <x v="15"/>
    </i>
    <i r="1">
      <x v="16"/>
    </i>
    <i r="1">
      <x v="17"/>
    </i>
    <i r="1">
      <x v="18"/>
    </i>
    <i>
      <x v="3"/>
      <x v="19"/>
    </i>
    <i r="1">
      <x v="20"/>
    </i>
    <i r="1">
      <x v="21"/>
    </i>
    <i r="1">
      <x v="22"/>
    </i>
    <i r="1">
      <x v="23"/>
    </i>
    <i r="1">
      <x v="24"/>
    </i>
    <i>
      <x v="4"/>
      <x v="25"/>
    </i>
    <i r="1">
      <x v="26"/>
    </i>
    <i r="1">
      <x v="27"/>
    </i>
    <i r="1">
      <x v="28"/>
    </i>
    <i r="1">
      <x v="29"/>
    </i>
    <i>
      <x v="5"/>
      <x v="30"/>
    </i>
    <i r="1">
      <x v="31"/>
    </i>
    <i r="1">
      <x v="32"/>
    </i>
    <i r="1">
      <x v="33"/>
    </i>
    <i r="1">
      <x v="34"/>
    </i>
    <i r="1">
      <x v="35"/>
    </i>
    <i>
      <x v="6"/>
      <x v="36"/>
    </i>
    <i r="1">
      <x v="37"/>
    </i>
    <i r="1">
      <x v="38"/>
    </i>
    <i r="1">
      <x v="39"/>
    </i>
    <i r="1">
      <x v="40"/>
    </i>
    <i t="grand">
      <x/>
    </i>
  </rowItems>
  <colItems count="1">
    <i/>
  </colItems>
  <dataFields count="1">
    <dataField fld="0" subtotal="count" baseField="0" baseItem="0"/>
  </dataFields>
  <formats count="14">
    <format dxfId="86">
      <pivotArea type="all" dataOnly="0" outline="0" fieldPosition="0"/>
    </format>
    <format dxfId="85">
      <pivotArea outline="0" collapsedLevelsAreSubtotals="1" fieldPosition="0"/>
    </format>
    <format dxfId="84">
      <pivotArea field="1" type="button" dataOnly="0" labelOnly="1" outline="0" axis="axisRow" fieldPosition="0"/>
    </format>
    <format dxfId="83">
      <pivotArea field="2" type="button" dataOnly="0" labelOnly="1" outline="0" axis="axisRow" fieldPosition="1"/>
    </format>
    <format dxfId="82">
      <pivotArea dataOnly="0" labelOnly="1" outline="0" fieldPosition="0">
        <references count="1">
          <reference field="1" count="0"/>
        </references>
      </pivotArea>
    </format>
    <format dxfId="81">
      <pivotArea dataOnly="0" labelOnly="1" grandRow="1" outline="0" fieldPosition="0"/>
    </format>
    <format dxfId="80">
      <pivotArea dataOnly="0" labelOnly="1" outline="0" fieldPosition="0">
        <references count="2">
          <reference field="1" count="1" selected="0">
            <x v="0"/>
          </reference>
          <reference field="2" count="8">
            <x v="0"/>
            <x v="1"/>
            <x v="2"/>
            <x v="3"/>
            <x v="4"/>
            <x v="5"/>
            <x v="6"/>
            <x v="7"/>
          </reference>
        </references>
      </pivotArea>
    </format>
    <format dxfId="79">
      <pivotArea dataOnly="0" labelOnly="1" outline="0" fieldPosition="0">
        <references count="2">
          <reference field="1" count="1" selected="0">
            <x v="1"/>
          </reference>
          <reference field="2" count="6">
            <x v="8"/>
            <x v="9"/>
            <x v="10"/>
            <x v="11"/>
            <x v="12"/>
            <x v="13"/>
          </reference>
        </references>
      </pivotArea>
    </format>
    <format dxfId="78">
      <pivotArea dataOnly="0" labelOnly="1" outline="0" fieldPosition="0">
        <references count="2">
          <reference field="1" count="1" selected="0">
            <x v="2"/>
          </reference>
          <reference field="2" count="5">
            <x v="14"/>
            <x v="15"/>
            <x v="16"/>
            <x v="17"/>
            <x v="18"/>
          </reference>
        </references>
      </pivotArea>
    </format>
    <format dxfId="77">
      <pivotArea dataOnly="0" labelOnly="1" outline="0" fieldPosition="0">
        <references count="2">
          <reference field="1" count="1" selected="0">
            <x v="3"/>
          </reference>
          <reference field="2" count="6">
            <x v="19"/>
            <x v="20"/>
            <x v="21"/>
            <x v="22"/>
            <x v="23"/>
            <x v="24"/>
          </reference>
        </references>
      </pivotArea>
    </format>
    <format dxfId="76">
      <pivotArea dataOnly="0" labelOnly="1" outline="0" fieldPosition="0">
        <references count="2">
          <reference field="1" count="1" selected="0">
            <x v="4"/>
          </reference>
          <reference field="2" count="5">
            <x v="25"/>
            <x v="26"/>
            <x v="27"/>
            <x v="28"/>
            <x v="29"/>
          </reference>
        </references>
      </pivotArea>
    </format>
    <format dxfId="75">
      <pivotArea dataOnly="0" labelOnly="1" outline="0" fieldPosition="0">
        <references count="2">
          <reference field="1" count="1" selected="0">
            <x v="5"/>
          </reference>
          <reference field="2" count="6">
            <x v="30"/>
            <x v="31"/>
            <x v="32"/>
            <x v="33"/>
            <x v="34"/>
            <x v="35"/>
          </reference>
        </references>
      </pivotArea>
    </format>
    <format dxfId="74">
      <pivotArea dataOnly="0" labelOnly="1" outline="0" fieldPosition="0">
        <references count="2">
          <reference field="1" count="1" selected="0">
            <x v="6"/>
          </reference>
          <reference field="2" count="5">
            <x v="36"/>
            <x v="37"/>
            <x v="38"/>
            <x v="39"/>
            <x v="40"/>
          </reference>
        </references>
      </pivotArea>
    </format>
    <format dxfId="73">
      <pivotArea dataOnly="0" labelOnly="1" outline="0" axis="axisValues" fieldPosition="0"/>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77"/>
    <rowHierarchyUsage hierarchyUsage="8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oic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9085EAF-B387-41C1-864B-C4A11166D743}" name="PivotTable21" cacheId="21" applyNumberFormats="0" applyBorderFormats="0" applyFontFormats="0" applyPatternFormats="0" applyAlignmentFormats="0" applyWidthHeightFormats="1" dataCaption="Values" tag="cd9019de-95ea-46f1-a230-4aa4592e8351" updatedVersion="8" minRefreshableVersion="3" useAutoFormatting="1" subtotalHiddenItems="1" itemPrintTitles="1" createdVersion="8" indent="0" outline="1" outlineData="1" multipleFieldFilters="0" chartFormat="7">
  <location ref="D15:E21" firstHeaderRow="1" firstDataRow="1" firstDataCol="1"/>
  <pivotFields count="3">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fld="0" subtotal="count" baseField="0" baseItem="0" numFmtId="164"/>
  </dataFields>
  <formats count="6">
    <format dxfId="92">
      <pivotArea type="all" dataOnly="0" outline="0" fieldPosition="0"/>
    </format>
    <format dxfId="91">
      <pivotArea outline="0" collapsedLevelsAreSubtotals="1" fieldPosition="0"/>
    </format>
    <format dxfId="90">
      <pivotArea field="1" type="button" dataOnly="0" labelOnly="1" outline="0" axis="axisRow" fieldPosition="0"/>
    </format>
    <format dxfId="89">
      <pivotArea dataOnly="0" labelOnly="1" fieldPosition="0">
        <references count="1">
          <reference field="1" count="0"/>
        </references>
      </pivotArea>
    </format>
    <format dxfId="88">
      <pivotArea dataOnly="0" labelOnly="1" grandRow="1" outline="0" fieldPosition="0"/>
    </format>
    <format dxfId="87">
      <pivotArea dataOnly="0" labelOnly="1" outline="0" axis="axisValues" fieldPosition="0"/>
    </format>
  </formats>
  <chartFormats count="6">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1" count="1" selected="0">
            <x v="0"/>
          </reference>
        </references>
      </pivotArea>
    </chartFormat>
    <chartFormat chart="6" format="14">
      <pivotArea type="data" outline="0" fieldPosition="0">
        <references count="2">
          <reference field="4294967294" count="1" selected="0">
            <x v="0"/>
          </reference>
          <reference field="1" count="1" selected="0">
            <x v="1"/>
          </reference>
        </references>
      </pivotArea>
    </chartFormat>
    <chartFormat chart="6" format="15">
      <pivotArea type="data" outline="0" fieldPosition="0">
        <references count="2">
          <reference field="4294967294" count="1" selected="0">
            <x v="0"/>
          </reference>
          <reference field="1" count="1" selected="0">
            <x v="2"/>
          </reference>
        </references>
      </pivotArea>
    </chartFormat>
    <chartFormat chart="6" format="16">
      <pivotArea type="data" outline="0" fieldPosition="0">
        <references count="2">
          <reference field="4294967294" count="1" selected="0">
            <x v="0"/>
          </reference>
          <reference field="1" count="1" selected="0">
            <x v="3"/>
          </reference>
        </references>
      </pivotArea>
    </chartFormat>
    <chartFormat chart="6" format="17">
      <pivotArea type="data" outline="0" fieldPosition="0">
        <references count="2">
          <reference field="4294967294" count="1" selected="0">
            <x v="0"/>
          </reference>
          <reference field="1" count="1" selected="0">
            <x v="4"/>
          </reference>
        </references>
      </pivotArea>
    </chartFormat>
  </chart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oice]"/>
        <x15:activeTabTopLevelEntity name="[dim_client]"/>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A9791FE-FC34-41F6-86D0-C0E25800A1EE}" name="PivotTable20" cacheId="19" applyNumberFormats="0" applyBorderFormats="0" applyFontFormats="0" applyPatternFormats="0" applyAlignmentFormats="0" applyWidthHeightFormats="1" dataCaption="Values" tag="2b46c1d3-0463-481b-9623-bac57c904ee1" updatedVersion="8" minRefreshableVersion="3" useAutoFormatting="1" subtotalHiddenItems="1" itemPrintTitles="1" createdVersion="8" indent="0" outline="1" outlineData="1" multipleFieldFilters="0" rowHeaderCaption="Industry">
  <location ref="D26:E48" firstHeaderRow="1" firstDataRow="1" firstDataCol="1"/>
  <pivotFields count="4">
    <pivotField dataField="1" subtotalTop="0" showAll="0" defaultSubtotal="0"/>
    <pivotField axis="axisRow" allDrilled="1" subtotalTop="0" showAll="0" dataSourceSort="1" defaultSubtotal="0" defaultAttributeDrillState="1">
      <items count="21">
        <item x="0"/>
        <item x="1"/>
        <item x="2"/>
        <item x="3"/>
        <item x="4"/>
        <item x="5"/>
        <item x="6"/>
        <item x="7"/>
        <item x="8"/>
        <item x="9"/>
        <item x="10"/>
        <item x="11"/>
        <item x="12"/>
        <item x="13"/>
        <item x="14"/>
        <item x="15"/>
        <item x="16"/>
        <item x="17"/>
        <item x="18"/>
        <item x="19"/>
        <item x="20"/>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Industry Revenue %" fld="0" subtotal="count" baseField="0" baseItem="0" numFmtId="10"/>
  </dataFields>
  <formats count="6">
    <format dxfId="98">
      <pivotArea type="all" dataOnly="0" outline="0" fieldPosition="0"/>
    </format>
    <format dxfId="97">
      <pivotArea outline="0" collapsedLevelsAreSubtotals="1" fieldPosition="0"/>
    </format>
    <format dxfId="96">
      <pivotArea field="1" type="button" dataOnly="0" labelOnly="1" outline="0" axis="axisRow" fieldPosition="0"/>
    </format>
    <format dxfId="95">
      <pivotArea dataOnly="0" labelOnly="1" fieldPosition="0">
        <references count="1">
          <reference field="1" count="0"/>
        </references>
      </pivotArea>
    </format>
    <format dxfId="94">
      <pivotArea dataOnly="0" labelOnly="1" grandRow="1" outline="0" fieldPosition="0"/>
    </format>
    <format dxfId="93">
      <pivotArea dataOnly="0" labelOnly="1" outline="0" axis="axisValues" fieldPosition="0"/>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Industry Revenue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lient]"/>
        <x15:activeTabTopLevelEntity name="[invoice]"/>
        <x15:activeTabTopLevelEntity name="[Individual_Budgets]"/>
        <x15:activeTabTopLevelEntity name="[dim_account_exe]"/>
        <x15:activeTabTopLevelEntity name="[Opportunity]"/>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D9ECF72-D420-471F-9BA6-6A8EF86B06FE}" name="PivotTable5" cacheId="20" applyNumberFormats="0" applyBorderFormats="0" applyFontFormats="0" applyPatternFormats="0" applyAlignmentFormats="0" applyWidthHeightFormats="1" dataCaption="Values" tag="6a31d456-4bde-47ba-b8b8-9a425c1ec5f6" updatedVersion="8" minRefreshableVersion="3" subtotalHiddenItems="1" itemPrintTitles="1" createdVersion="8" indent="0" outline="1" outlineData="1" multipleFieldFilters="0">
  <location ref="A3:C48" firstHeaderRow="0" firstDataRow="1" firstDataCol="1"/>
  <pivotFields count="5">
    <pivotField dataField="1" subtotalTop="0" showAll="0" defaultSubtotal="0"/>
    <pivotField axis="axisRow" allDrilled="1" subtotalTop="0" showAll="0" dataSourceSort="1" defaultSubtotal="0" defaultAttributeDrillState="1">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4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t="grand">
      <x/>
    </i>
  </rowItems>
  <colFields count="1">
    <field x="-2"/>
  </colFields>
  <colItems count="2">
    <i>
      <x/>
    </i>
    <i i="1">
      <x v="1"/>
    </i>
  </colItems>
  <dataFields count="2">
    <dataField fld="2" subtotal="count" baseField="1" baseItem="3" numFmtId="10"/>
    <dataField fld="0" subtotal="count" baseField="1" baseItem="2" numFmtId="164"/>
  </dataFields>
  <formats count="7">
    <format dxfId="105">
      <pivotArea outline="0" collapsedLevelsAreSubtotals="1" fieldPosition="0">
        <references count="1">
          <reference field="4294967294" count="1" selected="0">
            <x v="1"/>
          </reference>
        </references>
      </pivotArea>
    </format>
    <format dxfId="104">
      <pivotArea type="all" dataOnly="0" outline="0" fieldPosition="0"/>
    </format>
    <format dxfId="103">
      <pivotArea outline="0" collapsedLevelsAreSubtotals="1" fieldPosition="0"/>
    </format>
    <format dxfId="102">
      <pivotArea field="1" type="button" dataOnly="0" labelOnly="1" outline="0" axis="axisRow" fieldPosition="0"/>
    </format>
    <format dxfId="101">
      <pivotArea dataOnly="0" labelOnly="1" fieldPosition="0">
        <references count="1">
          <reference field="1" count="0"/>
        </references>
      </pivotArea>
    </format>
    <format dxfId="100">
      <pivotArea dataOnly="0" labelOnly="1" grandRow="1" outline="0" fieldPosition="0"/>
    </format>
    <format dxfId="99">
      <pivotArea dataOnly="0" labelOnly="1" outline="0" fieldPosition="0">
        <references count="1">
          <reference field="4294967294" count="2">
            <x v="0"/>
            <x v="1"/>
          </reference>
        </references>
      </pivotArea>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olicy]"/>
        <x15:activeTabTopLevelEntity name="[brokerage]"/>
        <x15:activeTabTopLevelEntity name="[invoice]"/>
        <x15:activeTabTopLevelEntity name="[DateTable]"/>
        <x15:activeTabTopLevelEntity name="[dim_client]"/>
        <x15:activeTabTopLevelEntity name="[dim_account_ex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D3DFC14-B90E-42C1-9DD1-85B084434AB4}" name="PivotTable6" cacheId="22" applyNumberFormats="0" applyBorderFormats="0" applyFontFormats="0" applyPatternFormats="0" applyAlignmentFormats="0" applyWidthHeightFormats="1" dataCaption="Values" tag="9abd525d-ae11-4a91-8166-b47d3fb49365" updatedVersion="8" minRefreshableVersion="3" useAutoFormatting="1" subtotalHiddenItems="1" itemPrintTitles="1" createdVersion="8" indent="0" outline="1" outlineData="1" multipleFieldFilters="0">
  <location ref="A2:F55" firstHeaderRow="0" firstDataRow="1" firstDataCol="1"/>
  <pivotFields count="8">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 axis="axisRow" allDrilled="1" subtotalTop="0" showAll="0" measureFilter="1" dataSourceSort="1" defaultSubtotal="0"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dataField="1" subtotalTop="0" showAll="0" defaultSubtotal="0"/>
    <pivotField allDrilled="1" subtotalTop="0" showAll="0" dataSourceSort="1" defaultSubtotal="0" defaultAttributeDrillState="1"/>
  </pivotFields>
  <rowFields count="2">
    <field x="4"/>
    <field x="5"/>
  </rowFields>
  <rowItems count="53">
    <i>
      <x/>
    </i>
    <i r="1">
      <x/>
    </i>
    <i r="1">
      <x v="1"/>
    </i>
    <i r="1">
      <x v="2"/>
    </i>
    <i r="1">
      <x v="3"/>
    </i>
    <i r="1">
      <x v="4"/>
    </i>
    <i r="1">
      <x v="5"/>
    </i>
    <i r="1">
      <x v="6"/>
    </i>
    <i r="1">
      <x v="7"/>
    </i>
    <i r="1">
      <x v="8"/>
    </i>
    <i r="1">
      <x v="9"/>
    </i>
    <i r="1">
      <x v="10"/>
    </i>
    <i r="1">
      <x v="11"/>
    </i>
    <i>
      <x v="1"/>
    </i>
    <i r="1">
      <x v="12"/>
    </i>
    <i r="1">
      <x v="13"/>
    </i>
    <i r="1">
      <x v="14"/>
    </i>
    <i r="1">
      <x v="15"/>
    </i>
    <i r="1">
      <x v="16"/>
    </i>
    <i r="1">
      <x v="17"/>
    </i>
    <i>
      <x v="2"/>
    </i>
    <i r="1">
      <x v="18"/>
    </i>
    <i r="1">
      <x v="19"/>
    </i>
    <i r="1">
      <x v="20"/>
    </i>
    <i r="1">
      <x v="21"/>
    </i>
    <i r="1">
      <x v="22"/>
    </i>
    <i>
      <x v="3"/>
    </i>
    <i r="1">
      <x v="23"/>
    </i>
    <i r="1">
      <x v="24"/>
    </i>
    <i r="1">
      <x v="25"/>
    </i>
    <i r="1">
      <x v="26"/>
    </i>
    <i r="1">
      <x v="27"/>
    </i>
    <i r="1">
      <x v="28"/>
    </i>
    <i>
      <x v="4"/>
    </i>
    <i r="1">
      <x v="29"/>
    </i>
    <i r="1">
      <x v="30"/>
    </i>
    <i r="1">
      <x v="31"/>
    </i>
    <i r="1">
      <x v="32"/>
    </i>
    <i r="1">
      <x v="33"/>
    </i>
    <i>
      <x v="5"/>
    </i>
    <i r="1">
      <x v="34"/>
    </i>
    <i r="1">
      <x v="35"/>
    </i>
    <i r="1">
      <x v="36"/>
    </i>
    <i r="1">
      <x v="37"/>
    </i>
    <i r="1">
      <x v="38"/>
    </i>
    <i r="1">
      <x v="39"/>
    </i>
    <i>
      <x v="6"/>
    </i>
    <i r="1">
      <x v="40"/>
    </i>
    <i r="1">
      <x v="41"/>
    </i>
    <i r="1">
      <x v="42"/>
    </i>
    <i r="1">
      <x v="43"/>
    </i>
    <i r="1">
      <x v="44"/>
    </i>
    <i t="grand">
      <x/>
    </i>
  </rowItems>
  <colFields count="1">
    <field x="-2"/>
  </colFields>
  <colItems count="5">
    <i>
      <x/>
    </i>
    <i i="1">
      <x v="1"/>
    </i>
    <i i="2">
      <x v="2"/>
    </i>
    <i i="3">
      <x v="3"/>
    </i>
    <i i="4">
      <x v="4"/>
    </i>
  </colItems>
  <dataFields count="5">
    <dataField fld="0" subtotal="count" baseField="0" baseItem="0"/>
    <dataField fld="6" subtotal="count" baseField="0" baseItem="0"/>
    <dataField fld="1" subtotal="count" baseField="5" baseItem="1" numFmtId="164"/>
    <dataField fld="2" subtotal="count" baseField="0" baseItem="0"/>
    <dataField fld="3" subtotal="count" baseField="5" baseItem="6" numFmtId="164"/>
  </dataFields>
  <formats count="40">
    <format dxfId="72">
      <pivotArea collapsedLevelsAreSubtotals="1" fieldPosition="0">
        <references count="3">
          <reference field="4294967294" count="1" selected="0">
            <x v="3"/>
          </reference>
          <reference field="4" count="1" selected="0">
            <x v="0"/>
          </reference>
          <reference field="5" count="12">
            <x v="0"/>
            <x v="1"/>
            <x v="2"/>
            <x v="3"/>
            <x v="4"/>
            <x v="5"/>
            <x v="6"/>
            <x v="7"/>
            <x v="8"/>
            <x v="9"/>
            <x v="10"/>
            <x v="11"/>
          </reference>
        </references>
      </pivotArea>
    </format>
    <format dxfId="71">
      <pivotArea collapsedLevelsAreSubtotals="1" fieldPosition="0">
        <references count="2">
          <reference field="4294967294" count="1" selected="0">
            <x v="3"/>
          </reference>
          <reference field="4" count="1">
            <x v="1"/>
          </reference>
        </references>
      </pivotArea>
    </format>
    <format dxfId="70">
      <pivotArea collapsedLevelsAreSubtotals="1" fieldPosition="0">
        <references count="3">
          <reference field="4294967294" count="1" selected="0">
            <x v="3"/>
          </reference>
          <reference field="4" count="1" selected="0">
            <x v="1"/>
          </reference>
          <reference field="5" count="6">
            <x v="12"/>
            <x v="13"/>
            <x v="14"/>
            <x v="15"/>
            <x v="16"/>
            <x v="17"/>
          </reference>
        </references>
      </pivotArea>
    </format>
    <format dxfId="69">
      <pivotArea collapsedLevelsAreSubtotals="1" fieldPosition="0">
        <references count="2">
          <reference field="4294967294" count="1" selected="0">
            <x v="3"/>
          </reference>
          <reference field="4" count="1">
            <x v="2"/>
          </reference>
        </references>
      </pivotArea>
    </format>
    <format dxfId="68">
      <pivotArea collapsedLevelsAreSubtotals="1" fieldPosition="0">
        <references count="3">
          <reference field="4294967294" count="1" selected="0">
            <x v="3"/>
          </reference>
          <reference field="4" count="1" selected="0">
            <x v="2"/>
          </reference>
          <reference field="5" count="5">
            <x v="18"/>
            <x v="19"/>
            <x v="20"/>
            <x v="21"/>
            <x v="22"/>
          </reference>
        </references>
      </pivotArea>
    </format>
    <format dxfId="67">
      <pivotArea collapsedLevelsAreSubtotals="1" fieldPosition="0">
        <references count="2">
          <reference field="4294967294" count="1" selected="0">
            <x v="3"/>
          </reference>
          <reference field="4" count="1">
            <x v="3"/>
          </reference>
        </references>
      </pivotArea>
    </format>
    <format dxfId="66">
      <pivotArea collapsedLevelsAreSubtotals="1" fieldPosition="0">
        <references count="3">
          <reference field="4294967294" count="1" selected="0">
            <x v="3"/>
          </reference>
          <reference field="4" count="1" selected="0">
            <x v="3"/>
          </reference>
          <reference field="5" count="6">
            <x v="23"/>
            <x v="24"/>
            <x v="25"/>
            <x v="26"/>
            <x v="27"/>
            <x v="28"/>
          </reference>
        </references>
      </pivotArea>
    </format>
    <format dxfId="65">
      <pivotArea collapsedLevelsAreSubtotals="1" fieldPosition="0">
        <references count="2">
          <reference field="4294967294" count="1" selected="0">
            <x v="3"/>
          </reference>
          <reference field="4" count="1">
            <x v="4"/>
          </reference>
        </references>
      </pivotArea>
    </format>
    <format dxfId="64">
      <pivotArea collapsedLevelsAreSubtotals="1" fieldPosition="0">
        <references count="3">
          <reference field="4294967294" count="1" selected="0">
            <x v="3"/>
          </reference>
          <reference field="4" count="1" selected="0">
            <x v="4"/>
          </reference>
          <reference field="5" count="5">
            <x v="29"/>
            <x v="30"/>
            <x v="31"/>
            <x v="32"/>
            <x v="33"/>
          </reference>
        </references>
      </pivotArea>
    </format>
    <format dxfId="63">
      <pivotArea collapsedLevelsAreSubtotals="1" fieldPosition="0">
        <references count="2">
          <reference field="4294967294" count="1" selected="0">
            <x v="3"/>
          </reference>
          <reference field="4" count="1">
            <x v="5"/>
          </reference>
        </references>
      </pivotArea>
    </format>
    <format dxfId="62">
      <pivotArea collapsedLevelsAreSubtotals="1" fieldPosition="0">
        <references count="3">
          <reference field="4294967294" count="1" selected="0">
            <x v="3"/>
          </reference>
          <reference field="4" count="1" selected="0">
            <x v="5"/>
          </reference>
          <reference field="5" count="6">
            <x v="34"/>
            <x v="35"/>
            <x v="36"/>
            <x v="37"/>
            <x v="38"/>
            <x v="39"/>
          </reference>
        </references>
      </pivotArea>
    </format>
    <format dxfId="61">
      <pivotArea collapsedLevelsAreSubtotals="1" fieldPosition="0">
        <references count="2">
          <reference field="4294967294" count="1" selected="0">
            <x v="3"/>
          </reference>
          <reference field="4" count="1">
            <x v="6"/>
          </reference>
        </references>
      </pivotArea>
    </format>
    <format dxfId="60">
      <pivotArea collapsedLevelsAreSubtotals="1" fieldPosition="0">
        <references count="3">
          <reference field="4294967294" count="1" selected="0">
            <x v="3"/>
          </reference>
          <reference field="4" count="1" selected="0">
            <x v="6"/>
          </reference>
          <reference field="5" count="5">
            <x v="40"/>
            <x v="41"/>
            <x v="42"/>
            <x v="43"/>
            <x v="44"/>
          </reference>
        </references>
      </pivotArea>
    </format>
    <format dxfId="59">
      <pivotArea collapsedLevelsAreSubtotals="1" fieldPosition="0">
        <references count="3">
          <reference field="4294967294" count="1" selected="0">
            <x v="3"/>
          </reference>
          <reference field="4" count="1" selected="0">
            <x v="0"/>
          </reference>
          <reference field="5" count="12">
            <x v="0"/>
            <x v="1"/>
            <x v="2"/>
            <x v="3"/>
            <x v="4"/>
            <x v="5"/>
            <x v="6"/>
            <x v="7"/>
            <x v="8"/>
            <x v="9"/>
            <x v="10"/>
            <x v="11"/>
          </reference>
        </references>
      </pivotArea>
    </format>
    <format dxfId="58">
      <pivotArea collapsedLevelsAreSubtotals="1" fieldPosition="0">
        <references count="2">
          <reference field="4294967294" count="1" selected="0">
            <x v="3"/>
          </reference>
          <reference field="4" count="1">
            <x v="1"/>
          </reference>
        </references>
      </pivotArea>
    </format>
    <format dxfId="57">
      <pivotArea collapsedLevelsAreSubtotals="1" fieldPosition="0">
        <references count="3">
          <reference field="4294967294" count="1" selected="0">
            <x v="3"/>
          </reference>
          <reference field="4" count="1" selected="0">
            <x v="1"/>
          </reference>
          <reference field="5" count="6">
            <x v="12"/>
            <x v="13"/>
            <x v="14"/>
            <x v="15"/>
            <x v="16"/>
            <x v="17"/>
          </reference>
        </references>
      </pivotArea>
    </format>
    <format dxfId="56">
      <pivotArea collapsedLevelsAreSubtotals="1" fieldPosition="0">
        <references count="2">
          <reference field="4294967294" count="1" selected="0">
            <x v="3"/>
          </reference>
          <reference field="4" count="1">
            <x v="2"/>
          </reference>
        </references>
      </pivotArea>
    </format>
    <format dxfId="55">
      <pivotArea collapsedLevelsAreSubtotals="1" fieldPosition="0">
        <references count="3">
          <reference field="4294967294" count="1" selected="0">
            <x v="3"/>
          </reference>
          <reference field="4" count="1" selected="0">
            <x v="2"/>
          </reference>
          <reference field="5" count="5">
            <x v="18"/>
            <x v="19"/>
            <x v="20"/>
            <x v="21"/>
            <x v="22"/>
          </reference>
        </references>
      </pivotArea>
    </format>
    <format dxfId="54">
      <pivotArea collapsedLevelsAreSubtotals="1" fieldPosition="0">
        <references count="2">
          <reference field="4294967294" count="1" selected="0">
            <x v="3"/>
          </reference>
          <reference field="4" count="1">
            <x v="3"/>
          </reference>
        </references>
      </pivotArea>
    </format>
    <format dxfId="53">
      <pivotArea collapsedLevelsAreSubtotals="1" fieldPosition="0">
        <references count="3">
          <reference field="4294967294" count="1" selected="0">
            <x v="3"/>
          </reference>
          <reference field="4" count="1" selected="0">
            <x v="3"/>
          </reference>
          <reference field="5" count="6">
            <x v="23"/>
            <x v="24"/>
            <x v="25"/>
            <x v="26"/>
            <x v="27"/>
            <x v="28"/>
          </reference>
        </references>
      </pivotArea>
    </format>
    <format dxfId="52">
      <pivotArea collapsedLevelsAreSubtotals="1" fieldPosition="0">
        <references count="2">
          <reference field="4294967294" count="1" selected="0">
            <x v="3"/>
          </reference>
          <reference field="4" count="1">
            <x v="4"/>
          </reference>
        </references>
      </pivotArea>
    </format>
    <format dxfId="51">
      <pivotArea collapsedLevelsAreSubtotals="1" fieldPosition="0">
        <references count="3">
          <reference field="4294967294" count="1" selected="0">
            <x v="3"/>
          </reference>
          <reference field="4" count="1" selected="0">
            <x v="4"/>
          </reference>
          <reference field="5" count="5">
            <x v="29"/>
            <x v="30"/>
            <x v="31"/>
            <x v="32"/>
            <x v="33"/>
          </reference>
        </references>
      </pivotArea>
    </format>
    <format dxfId="50">
      <pivotArea collapsedLevelsAreSubtotals="1" fieldPosition="0">
        <references count="2">
          <reference field="4294967294" count="1" selected="0">
            <x v="3"/>
          </reference>
          <reference field="4" count="1">
            <x v="5"/>
          </reference>
        </references>
      </pivotArea>
    </format>
    <format dxfId="49">
      <pivotArea collapsedLevelsAreSubtotals="1" fieldPosition="0">
        <references count="3">
          <reference field="4294967294" count="1" selected="0">
            <x v="3"/>
          </reference>
          <reference field="4" count="1" selected="0">
            <x v="5"/>
          </reference>
          <reference field="5" count="6">
            <x v="34"/>
            <x v="35"/>
            <x v="36"/>
            <x v="37"/>
            <x v="38"/>
            <x v="39"/>
          </reference>
        </references>
      </pivotArea>
    </format>
    <format dxfId="48">
      <pivotArea collapsedLevelsAreSubtotals="1" fieldPosition="0">
        <references count="2">
          <reference field="4294967294" count="1" selected="0">
            <x v="3"/>
          </reference>
          <reference field="4" count="1">
            <x v="6"/>
          </reference>
        </references>
      </pivotArea>
    </format>
    <format dxfId="47">
      <pivotArea collapsedLevelsAreSubtotals="1" fieldPosition="0">
        <references count="3">
          <reference field="4294967294" count="1" selected="0">
            <x v="3"/>
          </reference>
          <reference field="4" count="1" selected="0">
            <x v="6"/>
          </reference>
          <reference field="5" count="5">
            <x v="40"/>
            <x v="41"/>
            <x v="42"/>
            <x v="43"/>
            <x v="44"/>
          </reference>
        </references>
      </pivotArea>
    </format>
    <format dxfId="46">
      <pivotArea collapsedLevelsAreSubtotals="1" fieldPosition="0">
        <references count="3">
          <reference field="4294967294" count="1" selected="0">
            <x v="3"/>
          </reference>
          <reference field="4" count="1" selected="0">
            <x v="0"/>
          </reference>
          <reference field="5" count="1">
            <x v="0"/>
          </reference>
        </references>
      </pivotArea>
    </format>
    <format dxfId="45">
      <pivotArea type="all" dataOnly="0" outline="0" fieldPosition="0"/>
    </format>
    <format dxfId="44">
      <pivotArea outline="0" collapsedLevelsAreSubtotals="1" fieldPosition="0"/>
    </format>
    <format dxfId="43">
      <pivotArea field="4" type="button" dataOnly="0" labelOnly="1" outline="0" axis="axisRow" fieldPosition="0"/>
    </format>
    <format dxfId="42">
      <pivotArea dataOnly="0" labelOnly="1" fieldPosition="0">
        <references count="1">
          <reference field="4" count="0"/>
        </references>
      </pivotArea>
    </format>
    <format dxfId="41">
      <pivotArea dataOnly="0" labelOnly="1" grandRow="1" outline="0" fieldPosition="0"/>
    </format>
    <format dxfId="40">
      <pivotArea dataOnly="0" labelOnly="1" fieldPosition="0">
        <references count="2">
          <reference field="4" count="1" selected="0">
            <x v="0"/>
          </reference>
          <reference field="5" count="12">
            <x v="0"/>
            <x v="1"/>
            <x v="2"/>
            <x v="3"/>
            <x v="4"/>
            <x v="5"/>
            <x v="6"/>
            <x v="7"/>
            <x v="8"/>
            <x v="9"/>
            <x v="10"/>
            <x v="11"/>
          </reference>
        </references>
      </pivotArea>
    </format>
    <format dxfId="39">
      <pivotArea dataOnly="0" labelOnly="1" fieldPosition="0">
        <references count="2">
          <reference field="4" count="1" selected="0">
            <x v="1"/>
          </reference>
          <reference field="5" count="6">
            <x v="12"/>
            <x v="13"/>
            <x v="14"/>
            <x v="15"/>
            <x v="16"/>
            <x v="17"/>
          </reference>
        </references>
      </pivotArea>
    </format>
    <format dxfId="38">
      <pivotArea dataOnly="0" labelOnly="1" fieldPosition="0">
        <references count="2">
          <reference field="4" count="1" selected="0">
            <x v="2"/>
          </reference>
          <reference field="5" count="5">
            <x v="18"/>
            <x v="19"/>
            <x v="20"/>
            <x v="21"/>
            <x v="22"/>
          </reference>
        </references>
      </pivotArea>
    </format>
    <format dxfId="37">
      <pivotArea dataOnly="0" labelOnly="1" fieldPosition="0">
        <references count="2">
          <reference field="4" count="1" selected="0">
            <x v="3"/>
          </reference>
          <reference field="5" count="6">
            <x v="23"/>
            <x v="24"/>
            <x v="25"/>
            <x v="26"/>
            <x v="27"/>
            <x v="28"/>
          </reference>
        </references>
      </pivotArea>
    </format>
    <format dxfId="36">
      <pivotArea dataOnly="0" labelOnly="1" fieldPosition="0">
        <references count="2">
          <reference field="4" count="1" selected="0">
            <x v="4"/>
          </reference>
          <reference field="5" count="5">
            <x v="29"/>
            <x v="30"/>
            <x v="31"/>
            <x v="32"/>
            <x v="33"/>
          </reference>
        </references>
      </pivotArea>
    </format>
    <format dxfId="35">
      <pivotArea dataOnly="0" labelOnly="1" fieldPosition="0">
        <references count="2">
          <reference field="4" count="1" selected="0">
            <x v="5"/>
          </reference>
          <reference field="5" count="6">
            <x v="34"/>
            <x v="35"/>
            <x v="36"/>
            <x v="37"/>
            <x v="38"/>
            <x v="39"/>
          </reference>
        </references>
      </pivotArea>
    </format>
    <format dxfId="34">
      <pivotArea dataOnly="0" labelOnly="1" fieldPosition="0">
        <references count="2">
          <reference field="4" count="1" selected="0">
            <x v="6"/>
          </reference>
          <reference field="5" count="5">
            <x v="40"/>
            <x v="41"/>
            <x v="42"/>
            <x v="43"/>
            <x v="44"/>
          </reference>
        </references>
      </pivotArea>
    </format>
    <format dxfId="33">
      <pivotArea dataOnly="0" labelOnly="1" outline="0" fieldPosition="0">
        <references count="1">
          <reference field="4294967294" count="5">
            <x v="0"/>
            <x v="1"/>
            <x v="2"/>
            <x v="3"/>
            <x v="4"/>
          </reference>
        </references>
      </pivotArea>
    </format>
  </formats>
  <conditionalFormats count="5">
    <conditionalFormat priority="5">
      <pivotAreas count="14">
        <pivotArea type="data" collapsedLevelsAreSubtotals="1" fieldPosition="0">
          <references count="2">
            <reference field="4294967294" count="1" selected="0">
              <x v="1"/>
            </reference>
            <reference field="4" count="1">
              <x v="0"/>
            </reference>
          </references>
        </pivotArea>
        <pivotArea type="data" collapsedLevelsAreSubtotals="1" fieldPosition="0">
          <references count="3">
            <reference field="4294967294" count="1" selected="0">
              <x v="1"/>
            </reference>
            <reference field="4" count="1" selected="0">
              <x v="0"/>
            </reference>
            <reference field="5" count="12">
              <x v="0"/>
              <x v="1"/>
              <x v="2"/>
              <x v="3"/>
              <x v="4"/>
              <x v="5"/>
              <x v="6"/>
              <x v="7"/>
              <x v="8"/>
              <x v="9"/>
              <x v="10"/>
              <x v="11"/>
            </reference>
          </references>
        </pivotArea>
        <pivotArea type="data" collapsedLevelsAreSubtotals="1" fieldPosition="0">
          <references count="2">
            <reference field="4294967294" count="1" selected="0">
              <x v="1"/>
            </reference>
            <reference field="4" count="1">
              <x v="1"/>
            </reference>
          </references>
        </pivotArea>
        <pivotArea type="data" collapsedLevelsAreSubtotals="1" fieldPosition="0">
          <references count="3">
            <reference field="4294967294" count="1" selected="0">
              <x v="1"/>
            </reference>
            <reference field="4" count="1" selected="0">
              <x v="1"/>
            </reference>
            <reference field="5" count="6">
              <x v="12"/>
              <x v="13"/>
              <x v="14"/>
              <x v="15"/>
              <x v="16"/>
              <x v="17"/>
            </reference>
          </references>
        </pivotArea>
        <pivotArea type="data" collapsedLevelsAreSubtotals="1" fieldPosition="0">
          <references count="2">
            <reference field="4294967294" count="1" selected="0">
              <x v="1"/>
            </reference>
            <reference field="4" count="1">
              <x v="2"/>
            </reference>
          </references>
        </pivotArea>
        <pivotArea type="data" collapsedLevelsAreSubtotals="1" fieldPosition="0">
          <references count="3">
            <reference field="4294967294" count="1" selected="0">
              <x v="1"/>
            </reference>
            <reference field="4" count="1" selected="0">
              <x v="2"/>
            </reference>
            <reference field="5" count="5">
              <x v="18"/>
              <x v="19"/>
              <x v="20"/>
              <x v="21"/>
              <x v="22"/>
            </reference>
          </references>
        </pivotArea>
        <pivotArea type="data" collapsedLevelsAreSubtotals="1" fieldPosition="0">
          <references count="2">
            <reference field="4294967294" count="1" selected="0">
              <x v="1"/>
            </reference>
            <reference field="4" count="1">
              <x v="3"/>
            </reference>
          </references>
        </pivotArea>
        <pivotArea type="data" collapsedLevelsAreSubtotals="1" fieldPosition="0">
          <references count="3">
            <reference field="4294967294" count="1" selected="0">
              <x v="1"/>
            </reference>
            <reference field="4" count="1" selected="0">
              <x v="3"/>
            </reference>
            <reference field="5" count="6">
              <x v="23"/>
              <x v="24"/>
              <x v="25"/>
              <x v="26"/>
              <x v="27"/>
              <x v="28"/>
            </reference>
          </references>
        </pivotArea>
        <pivotArea type="data" collapsedLevelsAreSubtotals="1" fieldPosition="0">
          <references count="2">
            <reference field="4294967294" count="1" selected="0">
              <x v="1"/>
            </reference>
            <reference field="4" count="1">
              <x v="4"/>
            </reference>
          </references>
        </pivotArea>
        <pivotArea type="data" collapsedLevelsAreSubtotals="1" fieldPosition="0">
          <references count="3">
            <reference field="4294967294" count="1" selected="0">
              <x v="1"/>
            </reference>
            <reference field="4" count="1" selected="0">
              <x v="4"/>
            </reference>
            <reference field="5" count="5">
              <x v="29"/>
              <x v="30"/>
              <x v="31"/>
              <x v="32"/>
              <x v="33"/>
            </reference>
          </references>
        </pivotArea>
        <pivotArea type="data" collapsedLevelsAreSubtotals="1" fieldPosition="0">
          <references count="2">
            <reference field="4294967294" count="1" selected="0">
              <x v="1"/>
            </reference>
            <reference field="4" count="1">
              <x v="5"/>
            </reference>
          </references>
        </pivotArea>
        <pivotArea type="data" collapsedLevelsAreSubtotals="1" fieldPosition="0">
          <references count="3">
            <reference field="4294967294" count="1" selected="0">
              <x v="1"/>
            </reference>
            <reference field="4" count="1" selected="0">
              <x v="5"/>
            </reference>
            <reference field="5" count="6">
              <x v="34"/>
              <x v="35"/>
              <x v="36"/>
              <x v="37"/>
              <x v="38"/>
              <x v="39"/>
            </reference>
          </references>
        </pivotArea>
        <pivotArea type="data" collapsedLevelsAreSubtotals="1" fieldPosition="0">
          <references count="2">
            <reference field="4294967294" count="1" selected="0">
              <x v="1"/>
            </reference>
            <reference field="4" count="1">
              <x v="6"/>
            </reference>
          </references>
        </pivotArea>
        <pivotArea type="data" collapsedLevelsAreSubtotals="1" fieldPosition="0">
          <references count="3">
            <reference field="4294967294" count="1" selected="0">
              <x v="1"/>
            </reference>
            <reference field="4" count="1" selected="0">
              <x v="6"/>
            </reference>
            <reference field="5" count="5">
              <x v="40"/>
              <x v="41"/>
              <x v="42"/>
              <x v="43"/>
              <x v="44"/>
            </reference>
          </references>
        </pivotArea>
      </pivotAreas>
    </conditionalFormat>
    <conditionalFormat priority="4">
      <pivotAreas count="14">
        <pivotArea type="data" collapsedLevelsAreSubtotals="1" fieldPosition="0">
          <references count="2">
            <reference field="4294967294" count="1" selected="0">
              <x v="2"/>
            </reference>
            <reference field="4" count="1">
              <x v="0"/>
            </reference>
          </references>
        </pivotArea>
        <pivotArea type="data" collapsedLevelsAreSubtotals="1" fieldPosition="0">
          <references count="3">
            <reference field="4294967294" count="1" selected="0">
              <x v="2"/>
            </reference>
            <reference field="4" count="1" selected="0">
              <x v="0"/>
            </reference>
            <reference field="5" count="12">
              <x v="0"/>
              <x v="1"/>
              <x v="2"/>
              <x v="3"/>
              <x v="4"/>
              <x v="5"/>
              <x v="6"/>
              <x v="7"/>
              <x v="8"/>
              <x v="9"/>
              <x v="10"/>
              <x v="11"/>
            </reference>
          </references>
        </pivotArea>
        <pivotArea type="data" collapsedLevelsAreSubtotals="1" fieldPosition="0">
          <references count="2">
            <reference field="4294967294" count="1" selected="0">
              <x v="2"/>
            </reference>
            <reference field="4" count="1">
              <x v="1"/>
            </reference>
          </references>
        </pivotArea>
        <pivotArea type="data" collapsedLevelsAreSubtotals="1" fieldPosition="0">
          <references count="3">
            <reference field="4294967294" count="1" selected="0">
              <x v="2"/>
            </reference>
            <reference field="4" count="1" selected="0">
              <x v="1"/>
            </reference>
            <reference field="5" count="6">
              <x v="12"/>
              <x v="13"/>
              <x v="14"/>
              <x v="15"/>
              <x v="16"/>
              <x v="17"/>
            </reference>
          </references>
        </pivotArea>
        <pivotArea type="data" collapsedLevelsAreSubtotals="1" fieldPosition="0">
          <references count="2">
            <reference field="4294967294" count="1" selected="0">
              <x v="2"/>
            </reference>
            <reference field="4" count="1">
              <x v="2"/>
            </reference>
          </references>
        </pivotArea>
        <pivotArea type="data" collapsedLevelsAreSubtotals="1" fieldPosition="0">
          <references count="3">
            <reference field="4294967294" count="1" selected="0">
              <x v="2"/>
            </reference>
            <reference field="4" count="1" selected="0">
              <x v="2"/>
            </reference>
            <reference field="5" count="5">
              <x v="18"/>
              <x v="19"/>
              <x v="20"/>
              <x v="21"/>
              <x v="22"/>
            </reference>
          </references>
        </pivotArea>
        <pivotArea type="data" collapsedLevelsAreSubtotals="1" fieldPosition="0">
          <references count="2">
            <reference field="4294967294" count="1" selected="0">
              <x v="2"/>
            </reference>
            <reference field="4" count="1">
              <x v="3"/>
            </reference>
          </references>
        </pivotArea>
        <pivotArea type="data" collapsedLevelsAreSubtotals="1" fieldPosition="0">
          <references count="3">
            <reference field="4294967294" count="1" selected="0">
              <x v="2"/>
            </reference>
            <reference field="4" count="1" selected="0">
              <x v="3"/>
            </reference>
            <reference field="5" count="6">
              <x v="23"/>
              <x v="24"/>
              <x v="25"/>
              <x v="26"/>
              <x v="27"/>
              <x v="28"/>
            </reference>
          </references>
        </pivotArea>
        <pivotArea type="data" collapsedLevelsAreSubtotals="1" fieldPosition="0">
          <references count="2">
            <reference field="4294967294" count="1" selected="0">
              <x v="2"/>
            </reference>
            <reference field="4" count="1">
              <x v="4"/>
            </reference>
          </references>
        </pivotArea>
        <pivotArea type="data" collapsedLevelsAreSubtotals="1" fieldPosition="0">
          <references count="3">
            <reference field="4294967294" count="1" selected="0">
              <x v="2"/>
            </reference>
            <reference field="4" count="1" selected="0">
              <x v="4"/>
            </reference>
            <reference field="5" count="5">
              <x v="29"/>
              <x v="30"/>
              <x v="31"/>
              <x v="32"/>
              <x v="33"/>
            </reference>
          </references>
        </pivotArea>
        <pivotArea type="data" collapsedLevelsAreSubtotals="1" fieldPosition="0">
          <references count="2">
            <reference field="4294967294" count="1" selected="0">
              <x v="2"/>
            </reference>
            <reference field="4" count="1">
              <x v="5"/>
            </reference>
          </references>
        </pivotArea>
        <pivotArea type="data" collapsedLevelsAreSubtotals="1" fieldPosition="0">
          <references count="3">
            <reference field="4294967294" count="1" selected="0">
              <x v="2"/>
            </reference>
            <reference field="4" count="1" selected="0">
              <x v="5"/>
            </reference>
            <reference field="5" count="6">
              <x v="34"/>
              <x v="35"/>
              <x v="36"/>
              <x v="37"/>
              <x v="38"/>
              <x v="39"/>
            </reference>
          </references>
        </pivotArea>
        <pivotArea type="data" collapsedLevelsAreSubtotals="1" fieldPosition="0">
          <references count="2">
            <reference field="4294967294" count="1" selected="0">
              <x v="2"/>
            </reference>
            <reference field="4" count="1">
              <x v="6"/>
            </reference>
          </references>
        </pivotArea>
        <pivotArea type="data" collapsedLevelsAreSubtotals="1" fieldPosition="0">
          <references count="3">
            <reference field="4294967294" count="1" selected="0">
              <x v="2"/>
            </reference>
            <reference field="4" count="1" selected="0">
              <x v="6"/>
            </reference>
            <reference field="5" count="5">
              <x v="40"/>
              <x v="41"/>
              <x v="42"/>
              <x v="43"/>
              <x v="44"/>
            </reference>
          </references>
        </pivotArea>
      </pivotAreas>
    </conditionalFormat>
    <conditionalFormat priority="3">
      <pivotAreas count="14">
        <pivotArea type="data" collapsedLevelsAreSubtotals="1" fieldPosition="0">
          <references count="2">
            <reference field="4294967294" count="1" selected="0">
              <x v="4"/>
            </reference>
            <reference field="4" count="1">
              <x v="0"/>
            </reference>
          </references>
        </pivotArea>
        <pivotArea type="data" collapsedLevelsAreSubtotals="1" fieldPosition="0">
          <references count="3">
            <reference field="4294967294" count="1" selected="0">
              <x v="4"/>
            </reference>
            <reference field="4" count="1" selected="0">
              <x v="0"/>
            </reference>
            <reference field="5" count="12">
              <x v="0"/>
              <x v="1"/>
              <x v="2"/>
              <x v="3"/>
              <x v="4"/>
              <x v="5"/>
              <x v="6"/>
              <x v="7"/>
              <x v="8"/>
              <x v="9"/>
              <x v="10"/>
              <x v="11"/>
            </reference>
          </references>
        </pivotArea>
        <pivotArea type="data" collapsedLevelsAreSubtotals="1" fieldPosition="0">
          <references count="2">
            <reference field="4294967294" count="1" selected="0">
              <x v="4"/>
            </reference>
            <reference field="4" count="1">
              <x v="1"/>
            </reference>
          </references>
        </pivotArea>
        <pivotArea type="data" collapsedLevelsAreSubtotals="1" fieldPosition="0">
          <references count="3">
            <reference field="4294967294" count="1" selected="0">
              <x v="4"/>
            </reference>
            <reference field="4" count="1" selected="0">
              <x v="1"/>
            </reference>
            <reference field="5" count="6">
              <x v="12"/>
              <x v="13"/>
              <x v="14"/>
              <x v="15"/>
              <x v="16"/>
              <x v="17"/>
            </reference>
          </references>
        </pivotArea>
        <pivotArea type="data" collapsedLevelsAreSubtotals="1" fieldPosition="0">
          <references count="2">
            <reference field="4294967294" count="1" selected="0">
              <x v="4"/>
            </reference>
            <reference field="4" count="1">
              <x v="2"/>
            </reference>
          </references>
        </pivotArea>
        <pivotArea type="data" collapsedLevelsAreSubtotals="1" fieldPosition="0">
          <references count="3">
            <reference field="4294967294" count="1" selected="0">
              <x v="4"/>
            </reference>
            <reference field="4" count="1" selected="0">
              <x v="2"/>
            </reference>
            <reference field="5" count="5">
              <x v="18"/>
              <x v="19"/>
              <x v="20"/>
              <x v="21"/>
              <x v="22"/>
            </reference>
          </references>
        </pivotArea>
        <pivotArea type="data" collapsedLevelsAreSubtotals="1" fieldPosition="0">
          <references count="2">
            <reference field="4294967294" count="1" selected="0">
              <x v="4"/>
            </reference>
            <reference field="4" count="1">
              <x v="3"/>
            </reference>
          </references>
        </pivotArea>
        <pivotArea type="data" collapsedLevelsAreSubtotals="1" fieldPosition="0">
          <references count="3">
            <reference field="4294967294" count="1" selected="0">
              <x v="4"/>
            </reference>
            <reference field="4" count="1" selected="0">
              <x v="3"/>
            </reference>
            <reference field="5" count="6">
              <x v="23"/>
              <x v="24"/>
              <x v="25"/>
              <x v="26"/>
              <x v="27"/>
              <x v="28"/>
            </reference>
          </references>
        </pivotArea>
        <pivotArea type="data" collapsedLevelsAreSubtotals="1" fieldPosition="0">
          <references count="2">
            <reference field="4294967294" count="1" selected="0">
              <x v="4"/>
            </reference>
            <reference field="4" count="1">
              <x v="4"/>
            </reference>
          </references>
        </pivotArea>
        <pivotArea type="data" collapsedLevelsAreSubtotals="1" fieldPosition="0">
          <references count="3">
            <reference field="4294967294" count="1" selected="0">
              <x v="4"/>
            </reference>
            <reference field="4" count="1" selected="0">
              <x v="4"/>
            </reference>
            <reference field="5" count="5">
              <x v="29"/>
              <x v="30"/>
              <x v="31"/>
              <x v="32"/>
              <x v="33"/>
            </reference>
          </references>
        </pivotArea>
        <pivotArea type="data" collapsedLevelsAreSubtotals="1" fieldPosition="0">
          <references count="2">
            <reference field="4294967294" count="1" selected="0">
              <x v="4"/>
            </reference>
            <reference field="4" count="1">
              <x v="5"/>
            </reference>
          </references>
        </pivotArea>
        <pivotArea type="data" collapsedLevelsAreSubtotals="1" fieldPosition="0">
          <references count="3">
            <reference field="4294967294" count="1" selected="0">
              <x v="4"/>
            </reference>
            <reference field="4" count="1" selected="0">
              <x v="5"/>
            </reference>
            <reference field="5" count="6">
              <x v="34"/>
              <x v="35"/>
              <x v="36"/>
              <x v="37"/>
              <x v="38"/>
              <x v="39"/>
            </reference>
          </references>
        </pivotArea>
        <pivotArea type="data" collapsedLevelsAreSubtotals="1" fieldPosition="0">
          <references count="2">
            <reference field="4294967294" count="1" selected="0">
              <x v="4"/>
            </reference>
            <reference field="4" count="1">
              <x v="6"/>
            </reference>
          </references>
        </pivotArea>
        <pivotArea type="data" collapsedLevelsAreSubtotals="1" fieldPosition="0">
          <references count="3">
            <reference field="4294967294" count="1" selected="0">
              <x v="4"/>
            </reference>
            <reference field="4" count="1" selected="0">
              <x v="6"/>
            </reference>
            <reference field="5" count="5">
              <x v="40"/>
              <x v="41"/>
              <x v="42"/>
              <x v="43"/>
              <x v="44"/>
            </reference>
          </references>
        </pivotArea>
      </pivotAreas>
    </conditionalFormat>
    <conditionalFormat priority="2">
      <pivotAreas count="14">
        <pivotArea type="data" collapsedLevelsAreSubtotals="1" fieldPosition="0">
          <references count="2">
            <reference field="4294967294" count="1" selected="0">
              <x v="4"/>
            </reference>
            <reference field="4" count="1">
              <x v="0"/>
            </reference>
          </references>
        </pivotArea>
        <pivotArea type="data" collapsedLevelsAreSubtotals="1" fieldPosition="0">
          <references count="3">
            <reference field="4294967294" count="1" selected="0">
              <x v="4"/>
            </reference>
            <reference field="4" count="1" selected="0">
              <x v="0"/>
            </reference>
            <reference field="5" count="12">
              <x v="0"/>
              <x v="1"/>
              <x v="2"/>
              <x v="3"/>
              <x v="4"/>
              <x v="5"/>
              <x v="6"/>
              <x v="7"/>
              <x v="8"/>
              <x v="9"/>
              <x v="10"/>
              <x v="11"/>
            </reference>
          </references>
        </pivotArea>
        <pivotArea type="data" collapsedLevelsAreSubtotals="1" fieldPosition="0">
          <references count="2">
            <reference field="4294967294" count="1" selected="0">
              <x v="4"/>
            </reference>
            <reference field="4" count="1">
              <x v="1"/>
            </reference>
          </references>
        </pivotArea>
        <pivotArea type="data" collapsedLevelsAreSubtotals="1" fieldPosition="0">
          <references count="3">
            <reference field="4294967294" count="1" selected="0">
              <x v="4"/>
            </reference>
            <reference field="4" count="1" selected="0">
              <x v="1"/>
            </reference>
            <reference field="5" count="6">
              <x v="12"/>
              <x v="13"/>
              <x v="14"/>
              <x v="15"/>
              <x v="16"/>
              <x v="17"/>
            </reference>
          </references>
        </pivotArea>
        <pivotArea type="data" collapsedLevelsAreSubtotals="1" fieldPosition="0">
          <references count="2">
            <reference field="4294967294" count="1" selected="0">
              <x v="4"/>
            </reference>
            <reference field="4" count="1">
              <x v="2"/>
            </reference>
          </references>
        </pivotArea>
        <pivotArea type="data" collapsedLevelsAreSubtotals="1" fieldPosition="0">
          <references count="3">
            <reference field="4294967294" count="1" selected="0">
              <x v="4"/>
            </reference>
            <reference field="4" count="1" selected="0">
              <x v="2"/>
            </reference>
            <reference field="5" count="5">
              <x v="18"/>
              <x v="19"/>
              <x v="20"/>
              <x v="21"/>
              <x v="22"/>
            </reference>
          </references>
        </pivotArea>
        <pivotArea type="data" collapsedLevelsAreSubtotals="1" fieldPosition="0">
          <references count="2">
            <reference field="4294967294" count="1" selected="0">
              <x v="4"/>
            </reference>
            <reference field="4" count="1">
              <x v="3"/>
            </reference>
          </references>
        </pivotArea>
        <pivotArea type="data" collapsedLevelsAreSubtotals="1" fieldPosition="0">
          <references count="3">
            <reference field="4294967294" count="1" selected="0">
              <x v="4"/>
            </reference>
            <reference field="4" count="1" selected="0">
              <x v="3"/>
            </reference>
            <reference field="5" count="6">
              <x v="23"/>
              <x v="24"/>
              <x v="25"/>
              <x v="26"/>
              <x v="27"/>
              <x v="28"/>
            </reference>
          </references>
        </pivotArea>
        <pivotArea type="data" collapsedLevelsAreSubtotals="1" fieldPosition="0">
          <references count="2">
            <reference field="4294967294" count="1" selected="0">
              <x v="4"/>
            </reference>
            <reference field="4" count="1">
              <x v="4"/>
            </reference>
          </references>
        </pivotArea>
        <pivotArea type="data" collapsedLevelsAreSubtotals="1" fieldPosition="0">
          <references count="3">
            <reference field="4294967294" count="1" selected="0">
              <x v="4"/>
            </reference>
            <reference field="4" count="1" selected="0">
              <x v="4"/>
            </reference>
            <reference field="5" count="5">
              <x v="29"/>
              <x v="30"/>
              <x v="31"/>
              <x v="32"/>
              <x v="33"/>
            </reference>
          </references>
        </pivotArea>
        <pivotArea type="data" collapsedLevelsAreSubtotals="1" fieldPosition="0">
          <references count="2">
            <reference field="4294967294" count="1" selected="0">
              <x v="4"/>
            </reference>
            <reference field="4" count="1">
              <x v="5"/>
            </reference>
          </references>
        </pivotArea>
        <pivotArea type="data" collapsedLevelsAreSubtotals="1" fieldPosition="0">
          <references count="3">
            <reference field="4294967294" count="1" selected="0">
              <x v="4"/>
            </reference>
            <reference field="4" count="1" selected="0">
              <x v="5"/>
            </reference>
            <reference field="5" count="6">
              <x v="34"/>
              <x v="35"/>
              <x v="36"/>
              <x v="37"/>
              <x v="38"/>
              <x v="39"/>
            </reference>
          </references>
        </pivotArea>
        <pivotArea type="data" collapsedLevelsAreSubtotals="1" fieldPosition="0">
          <references count="2">
            <reference field="4294967294" count="1" selected="0">
              <x v="4"/>
            </reference>
            <reference field="4" count="1">
              <x v="6"/>
            </reference>
          </references>
        </pivotArea>
        <pivotArea type="data" collapsedLevelsAreSubtotals="1" fieldPosition="0">
          <references count="3">
            <reference field="4294967294" count="1" selected="0">
              <x v="4"/>
            </reference>
            <reference field="4" count="1" selected="0">
              <x v="6"/>
            </reference>
            <reference field="5" count="5">
              <x v="40"/>
              <x v="41"/>
              <x v="42"/>
              <x v="43"/>
              <x v="44"/>
            </reference>
          </references>
        </pivotArea>
      </pivotAreas>
    </conditionalFormat>
    <conditionalFormat priority="1">
      <pivotAreas count="13">
        <pivotArea type="data" collapsedLevelsAreSubtotals="1" fieldPosition="0">
          <references count="3">
            <reference field="4294967294" count="1" selected="0">
              <x v="3"/>
            </reference>
            <reference field="4" count="1" selected="0">
              <x v="0"/>
            </reference>
            <reference field="5" count="12">
              <x v="0"/>
              <x v="1"/>
              <x v="2"/>
              <x v="3"/>
              <x v="4"/>
              <x v="5"/>
              <x v="6"/>
              <x v="7"/>
              <x v="8"/>
              <x v="9"/>
              <x v="10"/>
              <x v="11"/>
            </reference>
          </references>
        </pivotArea>
        <pivotArea type="data" collapsedLevelsAreSubtotals="1" fieldPosition="0">
          <references count="2">
            <reference field="4294967294" count="1" selected="0">
              <x v="3"/>
            </reference>
            <reference field="4" count="1">
              <x v="1"/>
            </reference>
          </references>
        </pivotArea>
        <pivotArea type="data" collapsedLevelsAreSubtotals="1" fieldPosition="0">
          <references count="3">
            <reference field="4294967294" count="1" selected="0">
              <x v="3"/>
            </reference>
            <reference field="4" count="1" selected="0">
              <x v="1"/>
            </reference>
            <reference field="5" count="6">
              <x v="12"/>
              <x v="13"/>
              <x v="14"/>
              <x v="15"/>
              <x v="16"/>
              <x v="17"/>
            </reference>
          </references>
        </pivotArea>
        <pivotArea type="data" collapsedLevelsAreSubtotals="1" fieldPosition="0">
          <references count="2">
            <reference field="4294967294" count="1" selected="0">
              <x v="3"/>
            </reference>
            <reference field="4" count="1">
              <x v="2"/>
            </reference>
          </references>
        </pivotArea>
        <pivotArea type="data" collapsedLevelsAreSubtotals="1" fieldPosition="0">
          <references count="3">
            <reference field="4294967294" count="1" selected="0">
              <x v="3"/>
            </reference>
            <reference field="4" count="1" selected="0">
              <x v="2"/>
            </reference>
            <reference field="5" count="5">
              <x v="18"/>
              <x v="19"/>
              <x v="20"/>
              <x v="21"/>
              <x v="22"/>
            </reference>
          </references>
        </pivotArea>
        <pivotArea type="data" collapsedLevelsAreSubtotals="1" fieldPosition="0">
          <references count="2">
            <reference field="4294967294" count="1" selected="0">
              <x v="3"/>
            </reference>
            <reference field="4" count="1">
              <x v="3"/>
            </reference>
          </references>
        </pivotArea>
        <pivotArea type="data" collapsedLevelsAreSubtotals="1" fieldPosition="0">
          <references count="3">
            <reference field="4294967294" count="1" selected="0">
              <x v="3"/>
            </reference>
            <reference field="4" count="1" selected="0">
              <x v="3"/>
            </reference>
            <reference field="5" count="6">
              <x v="23"/>
              <x v="24"/>
              <x v="25"/>
              <x v="26"/>
              <x v="27"/>
              <x v="28"/>
            </reference>
          </references>
        </pivotArea>
        <pivotArea type="data" collapsedLevelsAreSubtotals="1" fieldPosition="0">
          <references count="2">
            <reference field="4294967294" count="1" selected="0">
              <x v="3"/>
            </reference>
            <reference field="4" count="1">
              <x v="4"/>
            </reference>
          </references>
        </pivotArea>
        <pivotArea type="data" collapsedLevelsAreSubtotals="1" fieldPosition="0">
          <references count="3">
            <reference field="4294967294" count="1" selected="0">
              <x v="3"/>
            </reference>
            <reference field="4" count="1" selected="0">
              <x v="4"/>
            </reference>
            <reference field="5" count="5">
              <x v="29"/>
              <x v="30"/>
              <x v="31"/>
              <x v="32"/>
              <x v="33"/>
            </reference>
          </references>
        </pivotArea>
        <pivotArea type="data" collapsedLevelsAreSubtotals="1" fieldPosition="0">
          <references count="2">
            <reference field="4294967294" count="1" selected="0">
              <x v="3"/>
            </reference>
            <reference field="4" count="1">
              <x v="5"/>
            </reference>
          </references>
        </pivotArea>
        <pivotArea type="data" collapsedLevelsAreSubtotals="1" fieldPosition="0">
          <references count="3">
            <reference field="4294967294" count="1" selected="0">
              <x v="3"/>
            </reference>
            <reference field="4" count="1" selected="0">
              <x v="5"/>
            </reference>
            <reference field="5" count="6">
              <x v="34"/>
              <x v="35"/>
              <x v="36"/>
              <x v="37"/>
              <x v="38"/>
              <x v="39"/>
            </reference>
          </references>
        </pivotArea>
        <pivotArea type="data" collapsedLevelsAreSubtotals="1" fieldPosition="0">
          <references count="2">
            <reference field="4294967294" count="1" selected="0">
              <x v="3"/>
            </reference>
            <reference field="4" count="1">
              <x v="6"/>
            </reference>
          </references>
        </pivotArea>
        <pivotArea type="data" collapsedLevelsAreSubtotals="1" fieldPosition="0">
          <references count="3">
            <reference field="4294967294" count="1" selected="0">
              <x v="3"/>
            </reference>
            <reference field="4" count="1" selected="0">
              <x v="6"/>
            </reference>
            <reference field="5" count="5">
              <x v="40"/>
              <x v="41"/>
              <x v="42"/>
              <x v="43"/>
              <x v="44"/>
            </reference>
          </references>
        </pivotArea>
      </pivotAreas>
    </conditionalFormat>
  </conditional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5" type="valueGreaterThan" id="1" iMeasureHier="167">
      <autoFilter ref="A1">
        <filterColumn colId="0">
          <customFilters>
            <customFilter operator="greaterThan" val="0"/>
          </customFilters>
        </filterColumn>
      </autoFilter>
    </filter>
  </filters>
  <rowHierarchiesUsage count="2">
    <rowHierarchyUsage hierarchyUsage="27"/>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dividual_Budgets]"/>
        <x15:activeTabTopLevelEntity name="[dim_account_exe]"/>
        <x15:activeTabTopLevelEntity name="[Opportunity]"/>
        <x15:activeTabTopLevelEntity name="[meeting]"/>
        <x15:activeTabTopLevelEntity name="[brokerage]"/>
        <x15:activeTabTopLevelEntity name="[invoic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68AAB3D2-5DBC-4189-A527-A1984CA874F4}" name="PivotTable3" cacheId="2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58:B69" firstHeaderRow="1" firstDataRow="1" firstDataCol="1"/>
  <pivotFields count="3">
    <pivotField dataField="1" subtotalTop="0" showAll="0" defaultSubtotal="0"/>
    <pivotField axis="axisRow" allDrilled="1" subtotalTop="0" showAll="0" measureFilter="1" dataSourceSort="1" defaultSubtotal="0" defaultAttributeDrillState="1">
      <items count="10">
        <item x="0"/>
        <item x="1"/>
        <item x="2"/>
        <item x="3"/>
        <item x="4"/>
        <item x="5"/>
        <item x="6"/>
        <item x="7"/>
        <item x="8"/>
        <item x="9"/>
      </items>
    </pivotField>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Items count="1">
    <i/>
  </colItems>
  <dataFields count="1">
    <dataField fld="0" subtotal="count" baseField="0" baseItem="0"/>
  </dataField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167">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rokera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E2DB406-7DFD-4D72-B139-E68367A8CFA1}" name="PivotTable18" cacheId="7" applyNumberFormats="0" applyBorderFormats="0" applyFontFormats="0" applyPatternFormats="0" applyAlignmentFormats="0" applyWidthHeightFormats="1" dataCaption="Values" tag="1d334ae4-d148-41a4-a37d-1cc3b880b2f4" updatedVersion="8" minRefreshableVersion="3" useAutoFormatting="1" subtotalHiddenItems="1" itemPrintTitles="1" createdVersion="8" indent="0" outline="1" outlineData="1" multipleFieldFilters="0" rowHeaderCaption="Branch">
  <location ref="E38:F46" firstHeaderRow="1"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fld="1" subtotal="count" baseField="0" baseItem="0"/>
  </dataFields>
  <formats count="6">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axis="axisValues" fieldPosition="0"/>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Individual_Budgets].[Branch].&amp;[Bangalo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oic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918A669-4FEB-4C74-A9D9-DB30D43FEE3F}" name="PivotTable36" cacheId="3" applyNumberFormats="0" applyBorderFormats="0" applyFontFormats="0" applyPatternFormats="0" applyAlignmentFormats="0" applyWidthHeightFormats="1" dataCaption="Values" tag="cfc06589-0053-4e87-895a-81332a6e437e" updatedVersion="8" minRefreshableVersion="3" useAutoFormatting="1" subtotalHiddenItems="1" itemPrintTitles="1" createdVersion="8" indent="0" outline="1" outlineData="1" multipleFieldFilters="0">
  <location ref="A14:C15" firstHeaderRow="0" firstDataRow="1" firstDataCol="0"/>
  <pivotFields count="3">
    <pivotField dataField="1" subtotalTop="0" showAll="0" defaultSubtotal="0"/>
    <pivotField dataField="1" subtotalTop="0" showAll="0" defaultSubtotal="0"/>
    <pivotField dataField="1" subtotalTop="0" showAll="0" defaultSubtotal="0"/>
  </pivotFields>
  <rowItems count="1">
    <i/>
  </rowItems>
  <colFields count="1">
    <field x="-2"/>
  </colFields>
  <colItems count="3">
    <i>
      <x/>
    </i>
    <i i="1">
      <x v="1"/>
    </i>
    <i i="2">
      <x v="2"/>
    </i>
  </colItems>
  <dataFields count="3">
    <dataField name="Sum of Budget_New" fld="0" baseField="0" baseItem="0"/>
    <dataField name="Sum of Budget_CrossSell" fld="1" baseField="0" baseItem="0"/>
    <dataField name="Sum of Budget_Renewal" fld="2" baseField="0" baseItem="0"/>
  </dataFields>
  <formats count="3">
    <format dxfId="8">
      <pivotArea type="all" dataOnly="0" outline="0" fieldPosition="0"/>
    </format>
    <format dxfId="7">
      <pivotArea outline="0" collapsedLevelsAreSubtotals="1" fieldPosition="0"/>
    </format>
    <format dxfId="6">
      <pivotArea dataOnly="0" labelOnly="1" outline="0" fieldPosition="0">
        <references count="1">
          <reference field="4294967294" count="3">
            <x v="0"/>
            <x v="1"/>
            <x v="2"/>
          </reference>
        </references>
      </pivotArea>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dividual_Budgets]"/>
        <x15:activeTabTopLevelEntity name="[brokerage]"/>
        <x15:activeTabTopLevelEntity name="[invoi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A482E932-0346-48AE-ADE0-C98030CF38AC}" name="PivotTable37" cacheId="2" applyNumberFormats="0" applyBorderFormats="0" applyFontFormats="0" applyPatternFormats="0" applyAlignmentFormats="0" applyWidthHeightFormats="1" dataCaption="Values" tag="e3065984-caef-4d43-aa34-fea55c1b5920" updatedVersion="8" minRefreshableVersion="3" useAutoFormatting="1" subtotalHiddenItems="1" itemPrintTitles="1" createdVersion="8" indent="0" outline="1" outlineData="1" multipleFieldFilters="0">
  <location ref="E14:F18"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Sum of Amount" fld="1" baseField="0" baseItem="0"/>
  </dataFields>
  <formats count="6">
    <format dxfId="14">
      <pivotArea type="all" dataOnly="0" outline="0" fieldPosition="0"/>
    </format>
    <format dxfId="13">
      <pivotArea outline="0" collapsedLevelsAreSubtotals="1" fieldPosition="0"/>
    </format>
    <format dxfId="12">
      <pivotArea field="0" type="button" dataOnly="0" labelOnly="1" outline="0" axis="axisRow" fieldPosition="0"/>
    </format>
    <format dxfId="11">
      <pivotArea dataOnly="0" labelOnly="1" fieldPosition="0">
        <references count="1">
          <reference field="0" count="0"/>
        </references>
      </pivotArea>
    </format>
    <format dxfId="10">
      <pivotArea dataOnly="0" labelOnly="1" grandRow="1" outline="0" fieldPosition="0"/>
    </format>
    <format dxfId="9">
      <pivotArea dataOnly="0" labelOnly="1" outline="0" axis="axisValues" fieldPosition="0"/>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rokerage]"/>
        <x15:activeTabTopLevelEntity name="[fe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7ED337A6-F076-4CF3-9564-DAE138F80197}" name="PivotTable40" cacheId="4" applyNumberFormats="0" applyBorderFormats="0" applyFontFormats="0" applyPatternFormats="0" applyAlignmentFormats="0" applyWidthHeightFormats="1" dataCaption="Values" tag="c5e9b6a0-ce81-47a8-b2d4-a5620a875430" updatedVersion="8" minRefreshableVersion="3" subtotalHiddenItems="1" itemPrintTitles="1" createdVersion="8" indent="0" outline="1" outlineData="1" multipleFieldFilters="0" chartFormat="9">
  <location ref="A18:C31" firstHeaderRow="0" firstDataRow="1" firstDataCol="1"/>
  <pivotFields count="3">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2" subtotal="count" baseField="0" baseItem="0"/>
    <dataField name="Sum of Amount" fld="1" baseField="0" baseItem="0"/>
  </dataFields>
  <formats count="6">
    <format dxfId="20">
      <pivotArea type="all" dataOnly="0" outline="0" fieldPosition="0"/>
    </format>
    <format dxfId="19">
      <pivotArea outline="0" collapsedLevelsAreSubtotals="1" fieldPosition="0"/>
    </format>
    <format dxfId="18">
      <pivotArea field="0" type="button" dataOnly="0" labelOnly="1" outline="0" axis="axisRow" fieldPosition="0"/>
    </format>
    <format dxfId="17">
      <pivotArea dataOnly="0" labelOnly="1" fieldPosition="0">
        <references count="1">
          <reference field="0" count="0"/>
        </references>
      </pivotArea>
    </format>
    <format dxfId="16">
      <pivotArea dataOnly="0" labelOnly="1" grandRow="1" outline="0" fieldPosition="0"/>
    </format>
    <format dxfId="15">
      <pivotArea dataOnly="0" labelOnly="1" outline="0" fieldPosition="0">
        <references count="1">
          <reference field="4294967294" count="2">
            <x v="0"/>
            <x v="1"/>
          </reference>
        </references>
      </pivotArea>
    </format>
  </formats>
  <chartFormats count="2">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Table]"/>
        <x15:activeTabTopLevelEntity name="[Individual_Budgets]"/>
        <x15:activeTabTopLevelEntity name="[invoice]"/>
        <x15:activeTabTopLevelEntity name="[brokera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F255B8BB-F332-489B-8B69-A1C48E1ACD3B}" name="PivotTable39" cacheId="0" applyNumberFormats="0" applyBorderFormats="0" applyFontFormats="0" applyPatternFormats="0" applyAlignmentFormats="0" applyWidthHeightFormats="1" dataCaption="Values" tag="05c0fc1f-019f-41bd-9f3a-2b686ed3ddc5" updatedVersion="8" minRefreshableVersion="3" useAutoFormatting="1" subtotalHiddenItems="1" itemPrintTitles="1" createdVersion="8" indent="0" outline="1" outlineData="1" multipleFieldFilters="0">
  <location ref="K14:L18" firstHeaderRow="1" firstDataRow="1" firstDataCol="1"/>
  <pivotFields count="2">
    <pivotField dataField="1" subtotalTop="0" showAll="0" defaultSubtotal="0"/>
    <pivotField axis="axisRow" allDrilled="1" subtotalTop="0" showAll="0" dataSourceSort="1" defaultSubtotal="0" defaultAttributeDrillState="1">
      <items count="3">
        <item x="0"/>
        <item x="1"/>
        <item x="2"/>
      </items>
    </pivotField>
  </pivotFields>
  <rowFields count="1">
    <field x="1"/>
  </rowFields>
  <rowItems count="4">
    <i>
      <x/>
    </i>
    <i>
      <x v="1"/>
    </i>
    <i>
      <x v="2"/>
    </i>
    <i t="grand">
      <x/>
    </i>
  </rowItems>
  <colItems count="1">
    <i/>
  </colItems>
  <dataFields count="1">
    <dataField name="Sum of Amount" fld="0" baseField="0" baseItem="0"/>
  </dataFields>
  <formats count="6">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fieldPosition="0">
        <references count="1">
          <reference field="1" count="0"/>
        </references>
      </pivotArea>
    </format>
    <format dxfId="22">
      <pivotArea dataOnly="0" labelOnly="1" grandRow="1" outline="0" fieldPosition="0"/>
    </format>
    <format dxfId="21">
      <pivotArea dataOnly="0" labelOnly="1" outline="0" axis="axisValues" fieldPosition="0"/>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e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2BA1BC65-2357-462B-9374-4222084E3290}" name="PivotTable35" cacheId="6" applyNumberFormats="0" applyBorderFormats="0" applyFontFormats="0" applyPatternFormats="0" applyAlignmentFormats="0" applyWidthHeightFormats="1" dataCaption="Values" tag="eb39d9f7-d3e3-4db3-aa58-ccc6d01145a8" updatedVersion="8" minRefreshableVersion="3" useAutoFormatting="1" subtotalHiddenItems="1" itemPrintTitles="1" createdVersion="8" indent="0" outline="1" outlineData="1" multipleFieldFilters="0">
  <location ref="A2:E10" firstHeaderRow="0" firstDataRow="1" firstDataCol="1"/>
  <pivotFields count="6">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4"/>
  </rowFields>
  <rowItems count="8">
    <i>
      <x/>
    </i>
    <i>
      <x v="1"/>
    </i>
    <i>
      <x v="2"/>
    </i>
    <i>
      <x v="3"/>
    </i>
    <i>
      <x v="4"/>
    </i>
    <i>
      <x v="5"/>
    </i>
    <i>
      <x v="6"/>
    </i>
    <i t="grand">
      <x/>
    </i>
  </rowItems>
  <colFields count="1">
    <field x="-2"/>
  </colFields>
  <colItems count="4">
    <i>
      <x/>
    </i>
    <i i="1">
      <x v="1"/>
    </i>
    <i i="2">
      <x v="2"/>
    </i>
    <i i="3">
      <x v="3"/>
    </i>
  </colItems>
  <dataFields count="4">
    <dataField fld="0" subtotal="count" baseField="0" baseItem="1" numFmtId="10"/>
    <dataField fld="1" subtotal="count" baseField="0" baseItem="1" numFmtId="164"/>
    <dataField fld="2" subtotal="count" baseField="4" baseItem="3" numFmtId="164"/>
    <dataField fld="3" subtotal="count" baseField="4" baseItem="2" numFmtId="164"/>
  </dataField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dividual_Budgets]"/>
        <x15:activeTabTopLevelEntity name="[invoice]"/>
        <x15:activeTabTopLevelEntity name="[dim_branc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2E83EC8-061B-40E2-B442-71CFED7E44A6}" name="PivotTable38" cacheId="1" applyNumberFormats="0" applyBorderFormats="0" applyFontFormats="0" applyPatternFormats="0" applyAlignmentFormats="0" applyWidthHeightFormats="1" dataCaption="Values" tag="55d557ff-b893-4d0a-8b62-008ba18a9d34" updatedVersion="8" minRefreshableVersion="3" useAutoFormatting="1" subtotalHiddenItems="1" itemPrintTitles="1" createdVersion="8" indent="0" outline="1" outlineData="1" multipleFieldFilters="0">
  <location ref="H14:I18"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Sum of Amount" fld="1" baseField="0" baseItem="0"/>
  </dataFields>
  <formats count="6">
    <format dxfId="32">
      <pivotArea type="all" dataOnly="0" outline="0" fieldPosition="0"/>
    </format>
    <format dxfId="31">
      <pivotArea outline="0" collapsedLevelsAreSubtotals="1" fieldPosition="0"/>
    </format>
    <format dxfId="30">
      <pivotArea field="0" type="button" dataOnly="0" labelOnly="1" outline="0" axis="axisRow" fieldPosition="0"/>
    </format>
    <format dxfId="29">
      <pivotArea dataOnly="0" labelOnly="1" fieldPosition="0">
        <references count="1">
          <reference field="0" count="0"/>
        </references>
      </pivotArea>
    </format>
    <format dxfId="28">
      <pivotArea dataOnly="0" labelOnly="1" grandRow="1" outline="0" fieldPosition="0"/>
    </format>
    <format dxfId="27">
      <pivotArea dataOnly="0" labelOnly="1" outline="0" axis="axisValues" fieldPosition="0"/>
    </format>
  </formats>
  <pivotHierarchies count="18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oic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_Name" xr10:uid="{BADFC1CC-B162-4C43-91C6-B08AC87B4CB2}" sourceName="[dim_branch].[Branch_Name]">
  <pivotTables>
    <pivotTable tabId="1" name="PivotTable1"/>
    <pivotTable tabId="3" name="PivotTable11"/>
    <pivotTable tabId="3" name="PivotTable12"/>
    <pivotTable tabId="3" name="PivotTable3"/>
    <pivotTable tabId="6" name="PivotTable6"/>
    <pivotTable tabId="5" name="PivotTable20"/>
    <pivotTable tabId="5" name="PivotTable21"/>
    <pivotTable tabId="5" name="PivotTable22"/>
    <pivotTable tabId="5" name="PivotTable5"/>
    <pivotTable tabId="4" name="PivotTable13"/>
    <pivotTable tabId="4" name="PivotTable16"/>
    <pivotTable tabId="4" name="PivotTable4"/>
    <pivotTable tabId="2" name="PivotTable10"/>
    <pivotTable tabId="2" name="PivotTable2"/>
    <pivotTable tabId="2" name="PivotTable8"/>
    <pivotTable tabId="2" name="PivotTable9"/>
    <pivotTable tabId="14" name="PivotTable35"/>
    <pivotTable tabId="14" name="PivotTable18"/>
  </pivotTables>
  <data>
    <olap pivotCacheId="784908181">
      <levels count="2">
        <level uniqueName="[dim_branch].[Branch_Name].[(All)]" sourceCaption="(All)" count="0"/>
        <level uniqueName="[dim_branch].[Branch_Name].[Branch_Name]" sourceCaption="Branch_Name" count="7">
          <ranges>
            <range startItem="0">
              <i n="[dim_branch].[Branch_Name].&amp;[Ahmedabad]" c="Ahmedabad"/>
              <i n="[dim_branch].[Branch_Name].&amp;[Bangalore]" c="Bangalore"/>
              <i n="[dim_branch].[Branch_Name].&amp;[Chennai]" c="Chennai"/>
              <i n="[dim_branch].[Branch_Name].&amp;[Delhi]" c="Delhi"/>
              <i n="[dim_branch].[Branch_Name].&amp;[Hyderabad]" c="Hyderabad"/>
              <i n="[dim_branch].[Branch_Name].&amp;[Mumbai]" c="Mumbai"/>
              <i n="[dim_branch].[Branch_Name].&amp;[Pune]" c="Pune"/>
            </range>
          </ranges>
        </level>
      </levels>
      <selections count="1">
        <selection n="[dim_branch].[Branch_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oice_date__Year" xr10:uid="{4DDEF025-EF4E-4D01-8473-26D6BC668BB5}" sourceName="[invoice].[invoice_date (Year)]">
  <pivotTables>
    <pivotTable tabId="4" name="PivotTable4"/>
    <pivotTable tabId="3" name="PivotTable11"/>
    <pivotTable tabId="3" name="PivotTable12"/>
    <pivotTable tabId="3" name="PivotTable3"/>
    <pivotTable tabId="6" name="PivotTable6"/>
    <pivotTable tabId="5" name="PivotTable20"/>
    <pivotTable tabId="5" name="PivotTable21"/>
    <pivotTable tabId="5" name="PivotTable22"/>
    <pivotTable tabId="5" name="PivotTable5"/>
    <pivotTable tabId="4" name="PivotTable13"/>
    <pivotTable tabId="4" name="PivotTable16"/>
    <pivotTable tabId="1" name="PivotTable1"/>
    <pivotTable tabId="2" name="PivotTable10"/>
    <pivotTable tabId="2" name="PivotTable2"/>
    <pivotTable tabId="2" name="PivotTable8"/>
    <pivotTable tabId="2" name="PivotTable9"/>
    <pivotTable tabId="14" name="PivotTable35"/>
    <pivotTable tabId="14" name="PivotTable18"/>
  </pivotTables>
  <data>
    <olap pivotCacheId="784908181">
      <levels count="2">
        <level uniqueName="[invoice].[invoice_date (Year)].[(All)]" sourceCaption="(All)" count="0"/>
        <level uniqueName="[invoice].[invoice_date (Year)].[invoice_date (Year)]" sourceCaption="invoice_date (Year)" count="2">
          <ranges>
            <range startItem="0">
              <i n="[invoice].[invoice_date (Year)].&amp;[2019]" c="2019"/>
              <i n="[invoice].[invoice_date (Year)].&amp;[2020]" c="2020"/>
            </range>
          </ranges>
        </level>
      </levels>
      <selections count="1">
        <selection n="[invoice].[invoice_date (Yea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class" xr10:uid="{0AB919BF-1119-45FB-B078-4A52C665A449}" sourceName="[brokerage].[income_class]">
  <pivotTables>
    <pivotTable tabId="1" name="PivotTable1"/>
  </pivotTables>
  <data>
    <olap pivotCacheId="784908181">
      <levels count="2">
        <level uniqueName="[brokerage].[income_class].[(All)]" sourceCaption="(All)" count="0"/>
        <level uniqueName="[brokerage].[income_class].[income_class]" sourceCaption="income_class" count="3">
          <ranges>
            <range startItem="0">
              <i n="[brokerage].[income_class].&amp;[Cross Sell]" c="Cross Sell"/>
              <i n="[brokerage].[income_class].&amp;[New]" c="New"/>
              <i n="[brokerage].[income_class].&amp;[Renewal]" c="Renewal"/>
            </range>
          </ranges>
        </level>
      </levels>
      <selections count="1">
        <selection n="[brokerage].[income_clas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12789B0E-0AA6-43D5-BA65-3AC45C22CDE3}" sourceName="[Opportunity].[stage]">
  <pivotTables>
    <pivotTable tabId="2" name="PivotTable2"/>
    <pivotTable tabId="2" name="PivotTable8"/>
    <pivotTable tabId="2" name="PivotTable9"/>
  </pivotTables>
  <data>
    <olap pivotCacheId="784908181">
      <levels count="2">
        <level uniqueName="[Opportunity].[stage].[(All)]" sourceCaption="(All)" count="0"/>
        <level uniqueName="[Opportunity].[stage].[stage]" sourceCaption="stage" count="5">
          <ranges>
            <range startItem="0">
              <i n="[Opportunity].[stage].&amp;[Lost]" c="Lost"/>
              <i n="[Opportunity].[stage].&amp;[Negotiate]" c="Negotiate"/>
              <i n="[Opportunity].[stage].&amp;[Propose Solution]" c="Propose Solution"/>
              <i n="[Opportunity].[stage].&amp;[Qualify Opportunity]" c="Qualify Opportunity"/>
              <i n="[Opportunity].[stage].&amp;[Won]" c="Won"/>
            </range>
          </ranges>
        </level>
      </levels>
      <selections count="1">
        <selection n="[Opportunity].[stag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_name1" xr10:uid="{A15BFF96-AD00-4749-8609-5A9E5FFA7EB1}" sourceName="[meeting].[branch_name]">
  <pivotTables>
    <pivotTable tabId="3" name="PivotTable3"/>
    <pivotTable tabId="3" name="PivotTable11"/>
    <pivotTable tabId="3" name="PivotTable12"/>
  </pivotTables>
  <data>
    <olap pivotCacheId="784908181">
      <levels count="2">
        <level uniqueName="[meeting].[branch_name].[(All)]" sourceCaption="(All)" count="0"/>
        <level uniqueName="[meeting].[branch_name].[branch_name]" sourceCaption="branch_name" count="7">
          <ranges>
            <range startItem="0">
              <i n="[meeting].[branch_name].&amp;[Ahmedabad]" c="Ahmedabad"/>
              <i n="[meeting].[branch_name].&amp;[Bangalore]" c="Bangalore"/>
              <i n="[meeting].[branch_name].&amp;[Chennai]" c="Chennai"/>
              <i n="[meeting].[branch_name].&amp;[Delhi]" c="Delhi"/>
              <i n="[meeting].[branch_name].&amp;[Hyderabad]" c="Hyderabad"/>
              <i n="[meeting].[branch_name].&amp;[Mumbai]" c="Mumbai"/>
              <i n="[meeting].[branch_name].&amp;[Pune]" c="Pune"/>
            </range>
          </ranges>
        </level>
      </levels>
      <selections count="1">
        <selection n="[meeting].[branch_nam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class1" xr10:uid="{92BFDACE-EF5B-4EDB-AD10-11EB196B093C}" sourceName="[invoice].[income_class]">
  <pivotTables>
    <pivotTable tabId="4" name="PivotTable13"/>
    <pivotTable tabId="4" name="PivotTable16"/>
    <pivotTable tabId="4" name="PivotTable4"/>
  </pivotTables>
  <data>
    <olap pivotCacheId="784908181">
      <levels count="2">
        <level uniqueName="[invoice].[income_class].[(All)]" sourceCaption="(All)" count="0"/>
        <level uniqueName="[invoice].[income_class].[income_class]" sourceCaption="income_class" count="3">
          <ranges>
            <range startItem="0">
              <i n="[invoice].[income_class].&amp;[Cross Sell]" c="Cross Sell"/>
              <i n="[invoice].[income_class].&amp;[New]" c="New"/>
              <i n="[invoice].[income_class].&amp;[Renewal]" c="Renewal"/>
            </range>
          </ranges>
        </level>
      </levels>
      <selections count="1">
        <selection n="[invoice].[income_class].[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9DF99E93-244F-459D-8F71-FF78829FC7B1}" sourceName="[invoice].[Segment]">
  <pivotTables>
    <pivotTable tabId="5" name="PivotTable22"/>
    <pivotTable tabId="5" name="PivotTable20"/>
    <pivotTable tabId="5" name="PivotTable21"/>
    <pivotTable tabId="5" name="PivotTable5"/>
  </pivotTables>
  <data>
    <olap pivotCacheId="784908181">
      <levels count="2">
        <level uniqueName="[invoice].[Segment].[(All)]" sourceCaption="(All)" count="0"/>
        <level uniqueName="[invoice].[Segment].[Segment]" sourceCaption="Segment" count="5">
          <ranges>
            <range startItem="0">
              <i n="[invoice].[Segment].&amp;[Emerging Corporate]" c="Emerging Corporate"/>
              <i n="[invoice].[Segment].&amp;[Large Corporate]" c="Large Corporate"/>
              <i n="[invoice].[Segment].&amp;[Mid Corporate]" c="Mid Corporate"/>
              <i n="[invoice].[Segment].&amp;[SME]" c="SME"/>
              <i n="[invoice].[Segment].&amp;[Unclassified]" c="Unclassified"/>
            </range>
          </ranges>
        </level>
      </levels>
      <selections count="1">
        <selection n="[invoice].[Segment].[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_Name2" xr10:uid="{AC62F7E6-60C4-40F3-A58D-E8FD3D40AC10}" sourceName="[dim_account_exe].[Branch_Name]">
  <pivotTables>
    <pivotTable tabId="6" name="PivotTable6"/>
    <pivotTable tabId="6" name="PivotTable3"/>
  </pivotTables>
  <data>
    <olap pivotCacheId="784908181">
      <levels count="2">
        <level uniqueName="[dim_account_exe].[Branch_Name].[(All)]" sourceCaption="(All)" count="0"/>
        <level uniqueName="[dim_account_exe].[Branch_Name].[Branch_Name]" sourceCaption="Branch_Name" count="7">
          <ranges>
            <range startItem="0">
              <i n="[dim_account_exe].[Branch_Name].&amp;[Ahmedabad]" c="Ahmedabad"/>
              <i n="[dim_account_exe].[Branch_Name].&amp;[Bangalore]" c="Bangalore"/>
              <i n="[dim_account_exe].[Branch_Name].&amp;[Chennai]" c="Chennai"/>
              <i n="[dim_account_exe].[Branch_Name].&amp;[Delhi]" c="Delhi"/>
              <i n="[dim_account_exe].[Branch_Name].&amp;[Hyderabad]" c="Hyderabad"/>
              <i n="[dim_account_exe].[Branch_Name].&amp;[Mumbai]" c="Mumbai"/>
              <i n="[dim_account_exe].[Branch_Name].&amp;[Pune]" c="Pune"/>
            </range>
          </ranges>
        </level>
      </levels>
      <selections count="1">
        <selection n="[dim_account_exe].[Branch_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come_class" xr10:uid="{45C6A4EF-267A-4917-A663-51008A6D0BE6}" cache="Slicer_income_class" caption="income_class" level="1" rowHeight="54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ge" xr10:uid="{785CA930-2191-459A-A44E-A4A04BF60DDB}" cache="Slicer_stage" caption="stage"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_name" xr10:uid="{19991284-196F-443C-84F5-6BD9FA2E87BB}" cache="Slicer_branch_name1" caption="branch_name"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come_class 1" xr10:uid="{76894443-9557-4512-9211-99D8E422728F}" cache="Slicer_income_class1" caption="income_class"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7E912459-55C1-41A7-AE13-43E3DB90F870}" cache="Slicer_Segment" caption="Segment" level="1" rowHeight="2880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_Name 2" xr10:uid="{AD4C60C0-7E59-4837-A0EE-B87B81B256A2}" cache="Slicer_Branch_Name2" caption="Branch_Name" level="1"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_Name 1" xr10:uid="{16F000A9-2E3D-4AC1-AF50-B1D6DD4A2C1B}" cache="Slicer_Branch_Name" caption="Branch_Name" showCaption="0" level="1" rowHeight="252000"/>
  <slicer name="Year" xr10:uid="{9708B924-8298-452B-B268-C0BFA50F7035}" cache="Slicer_invoice_date__Year" caption="Year" columnCount="2" showCaption="0" level="1" style="SlicerStyleDark1" rowHeight="61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07/relationships/slicer" Target="../slicers/slicer3.x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microsoft.com/office/2007/relationships/slicer" Target="../slicers/slicer4.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microsoft.com/office/2007/relationships/slicer" Target="../slicers/slicer5.xml"/><Relationship Id="rId5" Type="http://schemas.openxmlformats.org/officeDocument/2006/relationships/drawing" Target="../drawings/drawing5.xml"/><Relationship Id="rId4" Type="http://schemas.openxmlformats.org/officeDocument/2006/relationships/pivotTable" Target="../pivotTables/pivotTable1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2" Type="http://schemas.microsoft.com/office/2007/relationships/slicer" Target="../slicers/slicer7.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20.xml"/><Relationship Id="rId7" Type="http://schemas.openxmlformats.org/officeDocument/2006/relationships/pivotTable" Target="../pivotTables/pivotTable24.xml"/><Relationship Id="rId2" Type="http://schemas.openxmlformats.org/officeDocument/2006/relationships/pivotTable" Target="../pivotTables/pivotTable19.xml"/><Relationship Id="rId1" Type="http://schemas.openxmlformats.org/officeDocument/2006/relationships/pivotTable" Target="../pivotTables/pivotTable18.xml"/><Relationship Id="rId6" Type="http://schemas.openxmlformats.org/officeDocument/2006/relationships/pivotTable" Target="../pivotTables/pivotTable23.xml"/><Relationship Id="rId5" Type="http://schemas.openxmlformats.org/officeDocument/2006/relationships/pivotTable" Target="../pivotTables/pivotTable22.xml"/><Relationship Id="rId4" Type="http://schemas.openxmlformats.org/officeDocument/2006/relationships/pivotTable" Target="../pivotTables/pivot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FBCCB-99E1-4F04-8431-2BB67382C975}">
  <dimension ref="A1:Q29"/>
  <sheetViews>
    <sheetView showGridLines="0" tabSelected="1" zoomScale="80" zoomScaleNormal="80" workbookViewId="0">
      <selection sqref="A1:Q6"/>
    </sheetView>
  </sheetViews>
  <sheetFormatPr defaultRowHeight="14.4"/>
  <sheetData>
    <row r="1" spans="1:17">
      <c r="A1" s="97" t="s">
        <v>227</v>
      </c>
      <c r="B1" s="97"/>
      <c r="C1" s="97"/>
      <c r="D1" s="97"/>
      <c r="E1" s="97"/>
      <c r="F1" s="97"/>
      <c r="G1" s="97"/>
      <c r="H1" s="97"/>
      <c r="I1" s="97"/>
      <c r="J1" s="97"/>
      <c r="K1" s="97"/>
      <c r="L1" s="97"/>
      <c r="M1" s="97"/>
      <c r="N1" s="97"/>
      <c r="O1" s="97"/>
      <c r="P1" s="97"/>
      <c r="Q1" s="97"/>
    </row>
    <row r="2" spans="1:17">
      <c r="A2" s="97"/>
      <c r="B2" s="97"/>
      <c r="C2" s="97"/>
      <c r="D2" s="97"/>
      <c r="E2" s="97"/>
      <c r="F2" s="97"/>
      <c r="G2" s="97"/>
      <c r="H2" s="97"/>
      <c r="I2" s="97"/>
      <c r="J2" s="97"/>
      <c r="K2" s="97"/>
      <c r="L2" s="97"/>
      <c r="M2" s="97"/>
      <c r="N2" s="97"/>
      <c r="O2" s="97"/>
      <c r="P2" s="97"/>
      <c r="Q2" s="97"/>
    </row>
    <row r="3" spans="1:17">
      <c r="A3" s="97"/>
      <c r="B3" s="97"/>
      <c r="C3" s="97"/>
      <c r="D3" s="97"/>
      <c r="E3" s="97"/>
      <c r="F3" s="97"/>
      <c r="G3" s="97"/>
      <c r="H3" s="97"/>
      <c r="I3" s="97"/>
      <c r="J3" s="97"/>
      <c r="K3" s="97"/>
      <c r="L3" s="97"/>
      <c r="M3" s="97"/>
      <c r="N3" s="97"/>
      <c r="O3" s="97"/>
      <c r="P3" s="97"/>
      <c r="Q3" s="97"/>
    </row>
    <row r="4" spans="1:17">
      <c r="A4" s="97"/>
      <c r="B4" s="97"/>
      <c r="C4" s="97"/>
      <c r="D4" s="97"/>
      <c r="E4" s="97"/>
      <c r="F4" s="97"/>
      <c r="G4" s="97"/>
      <c r="H4" s="97"/>
      <c r="I4" s="97"/>
      <c r="J4" s="97"/>
      <c r="K4" s="97"/>
      <c r="L4" s="97"/>
      <c r="M4" s="97"/>
      <c r="N4" s="97"/>
      <c r="O4" s="97"/>
      <c r="P4" s="97"/>
      <c r="Q4" s="97"/>
    </row>
    <row r="5" spans="1:17">
      <c r="A5" s="97"/>
      <c r="B5" s="97"/>
      <c r="C5" s="97"/>
      <c r="D5" s="97"/>
      <c r="E5" s="97"/>
      <c r="F5" s="97"/>
      <c r="G5" s="97"/>
      <c r="H5" s="97"/>
      <c r="I5" s="97"/>
      <c r="J5" s="97"/>
      <c r="K5" s="97"/>
      <c r="L5" s="97"/>
      <c r="M5" s="97"/>
      <c r="N5" s="97"/>
      <c r="O5" s="97"/>
      <c r="P5" s="97"/>
      <c r="Q5" s="97"/>
    </row>
    <row r="6" spans="1:17">
      <c r="A6" s="97"/>
      <c r="B6" s="97"/>
      <c r="C6" s="97"/>
      <c r="D6" s="97"/>
      <c r="E6" s="97"/>
      <c r="F6" s="97"/>
      <c r="G6" s="97"/>
      <c r="H6" s="97"/>
      <c r="I6" s="97"/>
      <c r="J6" s="97"/>
      <c r="K6" s="97"/>
      <c r="L6" s="97"/>
      <c r="M6" s="97"/>
      <c r="N6" s="97"/>
      <c r="O6" s="97"/>
      <c r="P6" s="97"/>
      <c r="Q6" s="97"/>
    </row>
    <row r="7" spans="1:17" ht="26.4" customHeight="1" thickBot="1">
      <c r="A7" s="98" t="s">
        <v>228</v>
      </c>
      <c r="B7" s="98"/>
      <c r="C7" s="98"/>
      <c r="D7" s="98"/>
      <c r="E7" s="98"/>
      <c r="F7" s="98"/>
      <c r="G7" s="98"/>
      <c r="H7" s="98"/>
      <c r="I7" s="98"/>
      <c r="J7" s="98"/>
      <c r="K7" s="98"/>
      <c r="L7" s="98"/>
      <c r="M7" s="98"/>
      <c r="N7" s="98"/>
      <c r="O7" s="98"/>
      <c r="P7" s="98"/>
      <c r="Q7" s="98"/>
    </row>
    <row r="8" spans="1:17" ht="24" customHeight="1">
      <c r="A8" s="99" t="s">
        <v>229</v>
      </c>
      <c r="B8" s="100"/>
      <c r="C8" s="100"/>
      <c r="D8" s="100"/>
      <c r="E8" s="100"/>
      <c r="F8" s="100"/>
      <c r="G8" s="100"/>
      <c r="H8" s="100"/>
      <c r="I8" s="100"/>
      <c r="J8" s="100"/>
      <c r="K8" s="100"/>
      <c r="L8" s="100"/>
      <c r="M8" s="100"/>
      <c r="N8" s="100"/>
      <c r="O8" s="100"/>
      <c r="P8" s="100"/>
      <c r="Q8" s="101"/>
    </row>
    <row r="9" spans="1:17">
      <c r="A9" s="106" t="s">
        <v>232</v>
      </c>
      <c r="B9" s="107"/>
      <c r="C9" s="107"/>
      <c r="D9" s="107"/>
      <c r="E9" s="102" t="s">
        <v>231</v>
      </c>
      <c r="F9" s="102"/>
      <c r="G9" s="102"/>
      <c r="H9" s="102"/>
      <c r="I9" s="102"/>
      <c r="J9" s="102"/>
      <c r="K9" s="102"/>
      <c r="L9" s="102"/>
      <c r="M9" s="102"/>
      <c r="N9" s="102"/>
      <c r="O9" s="102"/>
      <c r="P9" s="102"/>
      <c r="Q9" s="103"/>
    </row>
    <row r="10" spans="1:17">
      <c r="A10" s="108"/>
      <c r="B10" s="109"/>
      <c r="C10" s="109"/>
      <c r="D10" s="109"/>
      <c r="E10" s="102"/>
      <c r="F10" s="102"/>
      <c r="G10" s="102"/>
      <c r="H10" s="102"/>
      <c r="I10" s="102"/>
      <c r="J10" s="102"/>
      <c r="K10" s="102"/>
      <c r="L10" s="102"/>
      <c r="M10" s="102"/>
      <c r="N10" s="102"/>
      <c r="O10" s="102"/>
      <c r="P10" s="102"/>
      <c r="Q10" s="103"/>
    </row>
    <row r="11" spans="1:17" ht="15" thickBot="1">
      <c r="A11" s="110" t="s">
        <v>244</v>
      </c>
      <c r="B11" s="111"/>
      <c r="C11" s="111"/>
      <c r="D11" s="111"/>
      <c r="E11" s="104"/>
      <c r="F11" s="104"/>
      <c r="G11" s="104"/>
      <c r="H11" s="104"/>
      <c r="I11" s="104"/>
      <c r="J11" s="104"/>
      <c r="K11" s="104"/>
      <c r="L11" s="104"/>
      <c r="M11" s="104"/>
      <c r="N11" s="104"/>
      <c r="O11" s="104"/>
      <c r="P11" s="104"/>
      <c r="Q11" s="105"/>
    </row>
    <row r="12" spans="1:17">
      <c r="A12" s="116" t="s">
        <v>234</v>
      </c>
      <c r="B12" s="117"/>
      <c r="C12" s="117"/>
      <c r="D12" s="117"/>
      <c r="E12" s="102" t="s">
        <v>235</v>
      </c>
      <c r="F12" s="102"/>
      <c r="G12" s="102"/>
      <c r="H12" s="102"/>
      <c r="I12" s="102"/>
      <c r="J12" s="102"/>
      <c r="K12" s="102"/>
      <c r="L12" s="102"/>
      <c r="M12" s="102"/>
      <c r="N12" s="102"/>
      <c r="O12" s="102"/>
      <c r="P12" s="102"/>
      <c r="Q12" s="103"/>
    </row>
    <row r="13" spans="1:17">
      <c r="A13" s="118"/>
      <c r="B13" s="119"/>
      <c r="C13" s="119"/>
      <c r="D13" s="119"/>
      <c r="E13" s="102"/>
      <c r="F13" s="102"/>
      <c r="G13" s="102"/>
      <c r="H13" s="102"/>
      <c r="I13" s="102"/>
      <c r="J13" s="102"/>
      <c r="K13" s="102"/>
      <c r="L13" s="102"/>
      <c r="M13" s="102"/>
      <c r="N13" s="102"/>
      <c r="O13" s="102"/>
      <c r="P13" s="102"/>
      <c r="Q13" s="103"/>
    </row>
    <row r="14" spans="1:17" ht="15" thickBot="1">
      <c r="A14" s="114" t="s">
        <v>245</v>
      </c>
      <c r="B14" s="115"/>
      <c r="C14" s="115"/>
      <c r="D14" s="115"/>
      <c r="E14" s="104"/>
      <c r="F14" s="104"/>
      <c r="G14" s="104"/>
      <c r="H14" s="104"/>
      <c r="I14" s="104"/>
      <c r="J14" s="104"/>
      <c r="K14" s="104"/>
      <c r="L14" s="104"/>
      <c r="M14" s="104"/>
      <c r="N14" s="104"/>
      <c r="O14" s="104"/>
      <c r="P14" s="104"/>
      <c r="Q14" s="105"/>
    </row>
    <row r="15" spans="1:17">
      <c r="A15" s="112" t="s">
        <v>233</v>
      </c>
      <c r="B15" s="112"/>
      <c r="C15" s="112"/>
      <c r="D15" s="112"/>
      <c r="E15" s="102" t="s">
        <v>236</v>
      </c>
      <c r="F15" s="102"/>
      <c r="G15" s="102"/>
      <c r="H15" s="102"/>
      <c r="I15" s="102"/>
      <c r="J15" s="102"/>
      <c r="K15" s="102"/>
      <c r="L15" s="102"/>
      <c r="M15" s="102"/>
      <c r="N15" s="102"/>
      <c r="O15" s="102"/>
      <c r="P15" s="102"/>
      <c r="Q15" s="103"/>
    </row>
    <row r="16" spans="1:17">
      <c r="A16" s="113"/>
      <c r="B16" s="113"/>
      <c r="C16" s="113"/>
      <c r="D16" s="113"/>
      <c r="E16" s="102"/>
      <c r="F16" s="102"/>
      <c r="G16" s="102"/>
      <c r="H16" s="102"/>
      <c r="I16" s="102"/>
      <c r="J16" s="102"/>
      <c r="K16" s="102"/>
      <c r="L16" s="102"/>
      <c r="M16" s="102"/>
      <c r="N16" s="102"/>
      <c r="O16" s="102"/>
      <c r="P16" s="102"/>
      <c r="Q16" s="103"/>
    </row>
    <row r="17" spans="1:17" ht="15" thickBot="1">
      <c r="A17" s="130" t="s">
        <v>246</v>
      </c>
      <c r="B17" s="130"/>
      <c r="C17" s="130"/>
      <c r="D17" s="130"/>
      <c r="E17" s="104"/>
      <c r="F17" s="104"/>
      <c r="G17" s="104"/>
      <c r="H17" s="104"/>
      <c r="I17" s="104"/>
      <c r="J17" s="104"/>
      <c r="K17" s="104"/>
      <c r="L17" s="104"/>
      <c r="M17" s="104"/>
      <c r="N17" s="104"/>
      <c r="O17" s="104"/>
      <c r="P17" s="104"/>
      <c r="Q17" s="105"/>
    </row>
    <row r="18" spans="1:17">
      <c r="A18" s="126" t="s">
        <v>237</v>
      </c>
      <c r="B18" s="126"/>
      <c r="C18" s="126"/>
      <c r="D18" s="126"/>
      <c r="E18" s="102" t="s">
        <v>238</v>
      </c>
      <c r="F18" s="102"/>
      <c r="G18" s="102"/>
      <c r="H18" s="102"/>
      <c r="I18" s="102"/>
      <c r="J18" s="102"/>
      <c r="K18" s="102"/>
      <c r="L18" s="102"/>
      <c r="M18" s="102"/>
      <c r="N18" s="102"/>
      <c r="O18" s="102"/>
      <c r="P18" s="102"/>
      <c r="Q18" s="103"/>
    </row>
    <row r="19" spans="1:17">
      <c r="A19" s="127"/>
      <c r="B19" s="127"/>
      <c r="C19" s="127"/>
      <c r="D19" s="127"/>
      <c r="E19" s="102"/>
      <c r="F19" s="102"/>
      <c r="G19" s="102"/>
      <c r="H19" s="102"/>
      <c r="I19" s="102"/>
      <c r="J19" s="102"/>
      <c r="K19" s="102"/>
      <c r="L19" s="102"/>
      <c r="M19" s="102"/>
      <c r="N19" s="102"/>
      <c r="O19" s="102"/>
      <c r="P19" s="102"/>
      <c r="Q19" s="103"/>
    </row>
    <row r="20" spans="1:17" ht="15" thickBot="1">
      <c r="A20" s="131" t="s">
        <v>250</v>
      </c>
      <c r="B20" s="131"/>
      <c r="C20" s="131"/>
      <c r="D20" s="131"/>
      <c r="E20" s="104"/>
      <c r="F20" s="104"/>
      <c r="G20" s="104"/>
      <c r="H20" s="104"/>
      <c r="I20" s="104"/>
      <c r="J20" s="104"/>
      <c r="K20" s="104"/>
      <c r="L20" s="104"/>
      <c r="M20" s="104"/>
      <c r="N20" s="104"/>
      <c r="O20" s="104"/>
      <c r="P20" s="104"/>
      <c r="Q20" s="105"/>
    </row>
    <row r="21" spans="1:17">
      <c r="A21" s="128" t="s">
        <v>239</v>
      </c>
      <c r="B21" s="128"/>
      <c r="C21" s="128"/>
      <c r="D21" s="128"/>
      <c r="E21" s="102" t="s">
        <v>240</v>
      </c>
      <c r="F21" s="102"/>
      <c r="G21" s="102"/>
      <c r="H21" s="102"/>
      <c r="I21" s="102"/>
      <c r="J21" s="102"/>
      <c r="K21" s="102"/>
      <c r="L21" s="102"/>
      <c r="M21" s="102"/>
      <c r="N21" s="102"/>
      <c r="O21" s="102"/>
      <c r="P21" s="102"/>
      <c r="Q21" s="103"/>
    </row>
    <row r="22" spans="1:17">
      <c r="A22" s="129"/>
      <c r="B22" s="129"/>
      <c r="C22" s="129"/>
      <c r="D22" s="129"/>
      <c r="E22" s="102"/>
      <c r="F22" s="102"/>
      <c r="G22" s="102"/>
      <c r="H22" s="102"/>
      <c r="I22" s="102"/>
      <c r="J22" s="102"/>
      <c r="K22" s="102"/>
      <c r="L22" s="102"/>
      <c r="M22" s="102"/>
      <c r="N22" s="102"/>
      <c r="O22" s="102"/>
      <c r="P22" s="102"/>
      <c r="Q22" s="103"/>
    </row>
    <row r="23" spans="1:17" ht="15" thickBot="1">
      <c r="A23" s="132" t="s">
        <v>249</v>
      </c>
      <c r="B23" s="132"/>
      <c r="C23" s="132"/>
      <c r="D23" s="132"/>
      <c r="E23" s="104"/>
      <c r="F23" s="104"/>
      <c r="G23" s="104"/>
      <c r="H23" s="104"/>
      <c r="I23" s="104"/>
      <c r="J23" s="104"/>
      <c r="K23" s="104"/>
      <c r="L23" s="104"/>
      <c r="M23" s="104"/>
      <c r="N23" s="104"/>
      <c r="O23" s="104"/>
      <c r="P23" s="104"/>
      <c r="Q23" s="105"/>
    </row>
    <row r="24" spans="1:17">
      <c r="A24" s="120" t="s">
        <v>230</v>
      </c>
      <c r="B24" s="121"/>
      <c r="C24" s="121"/>
      <c r="D24" s="121"/>
      <c r="E24" s="102" t="s">
        <v>241</v>
      </c>
      <c r="F24" s="102"/>
      <c r="G24" s="102"/>
      <c r="H24" s="102"/>
      <c r="I24" s="102"/>
      <c r="J24" s="102"/>
      <c r="K24" s="102"/>
      <c r="L24" s="102"/>
      <c r="M24" s="102"/>
      <c r="N24" s="102"/>
      <c r="O24" s="102"/>
      <c r="P24" s="102"/>
      <c r="Q24" s="103"/>
    </row>
    <row r="25" spans="1:17">
      <c r="A25" s="122"/>
      <c r="B25" s="123"/>
      <c r="C25" s="123"/>
      <c r="D25" s="123"/>
      <c r="E25" s="102"/>
      <c r="F25" s="102"/>
      <c r="G25" s="102"/>
      <c r="H25" s="102"/>
      <c r="I25" s="102"/>
      <c r="J25" s="102"/>
      <c r="K25" s="102"/>
      <c r="L25" s="102"/>
      <c r="M25" s="102"/>
      <c r="N25" s="102"/>
      <c r="O25" s="102"/>
      <c r="P25" s="102"/>
      <c r="Q25" s="103"/>
    </row>
    <row r="26" spans="1:17" ht="15" thickBot="1">
      <c r="A26" s="133" t="s">
        <v>248</v>
      </c>
      <c r="B26" s="134"/>
      <c r="C26" s="134"/>
      <c r="D26" s="134"/>
      <c r="E26" s="104"/>
      <c r="F26" s="104"/>
      <c r="G26" s="104"/>
      <c r="H26" s="104"/>
      <c r="I26" s="104"/>
      <c r="J26" s="104"/>
      <c r="K26" s="104"/>
      <c r="L26" s="104"/>
      <c r="M26" s="104"/>
      <c r="N26" s="104"/>
      <c r="O26" s="104"/>
      <c r="P26" s="104"/>
      <c r="Q26" s="105"/>
    </row>
    <row r="27" spans="1:17">
      <c r="A27" s="124" t="s">
        <v>242</v>
      </c>
      <c r="B27" s="124"/>
      <c r="C27" s="124"/>
      <c r="D27" s="124"/>
      <c r="E27" s="102" t="s">
        <v>243</v>
      </c>
      <c r="F27" s="102"/>
      <c r="G27" s="102"/>
      <c r="H27" s="102"/>
      <c r="I27" s="102"/>
      <c r="J27" s="102"/>
      <c r="K27" s="102"/>
      <c r="L27" s="102"/>
      <c r="M27" s="102"/>
      <c r="N27" s="102"/>
      <c r="O27" s="102"/>
      <c r="P27" s="102"/>
      <c r="Q27" s="103"/>
    </row>
    <row r="28" spans="1:17">
      <c r="A28" s="125"/>
      <c r="B28" s="125"/>
      <c r="C28" s="125"/>
      <c r="D28" s="125"/>
      <c r="E28" s="102"/>
      <c r="F28" s="102"/>
      <c r="G28" s="102"/>
      <c r="H28" s="102"/>
      <c r="I28" s="102"/>
      <c r="J28" s="102"/>
      <c r="K28" s="102"/>
      <c r="L28" s="102"/>
      <c r="M28" s="102"/>
      <c r="N28" s="102"/>
      <c r="O28" s="102"/>
      <c r="P28" s="102"/>
      <c r="Q28" s="103"/>
    </row>
    <row r="29" spans="1:17" ht="15" thickBot="1">
      <c r="A29" s="135" t="s">
        <v>247</v>
      </c>
      <c r="B29" s="135"/>
      <c r="C29" s="135"/>
      <c r="D29" s="135"/>
      <c r="E29" s="104"/>
      <c r="F29" s="104"/>
      <c r="G29" s="104"/>
      <c r="H29" s="104"/>
      <c r="I29" s="104"/>
      <c r="J29" s="104"/>
      <c r="K29" s="104"/>
      <c r="L29" s="104"/>
      <c r="M29" s="104"/>
      <c r="N29" s="104"/>
      <c r="O29" s="104"/>
      <c r="P29" s="104"/>
      <c r="Q29" s="105"/>
    </row>
  </sheetData>
  <mergeCells count="24">
    <mergeCell ref="E24:Q26"/>
    <mergeCell ref="E27:Q29"/>
    <mergeCell ref="A24:D25"/>
    <mergeCell ref="A27:D28"/>
    <mergeCell ref="E18:Q20"/>
    <mergeCell ref="E21:Q23"/>
    <mergeCell ref="A18:D19"/>
    <mergeCell ref="A21:D22"/>
    <mergeCell ref="A20:D20"/>
    <mergeCell ref="A23:D23"/>
    <mergeCell ref="A26:D26"/>
    <mergeCell ref="A29:D29"/>
    <mergeCell ref="E12:Q14"/>
    <mergeCell ref="A15:D16"/>
    <mergeCell ref="A14:D14"/>
    <mergeCell ref="E15:Q17"/>
    <mergeCell ref="A12:D13"/>
    <mergeCell ref="A17:D17"/>
    <mergeCell ref="A1:Q6"/>
    <mergeCell ref="A7:Q7"/>
    <mergeCell ref="A8:Q8"/>
    <mergeCell ref="E9:Q11"/>
    <mergeCell ref="A9:D10"/>
    <mergeCell ref="A11:D11"/>
  </mergeCells>
  <hyperlinks>
    <hyperlink ref="A9:D10" location="'Performance KPIs'!A1" display="📊 Performance" xr:uid="{92DAA46B-6E3C-42B3-9958-A4C46F1C653E}"/>
    <hyperlink ref="A12:D13" location="'Pipeline KPIs'!A1" display="🔁 Pipeline &amp; Opportunities" xr:uid="{5D49D41C-AC29-4C80-84C6-9CA0AB4A6AD5}"/>
    <hyperlink ref="A15:D16" location="'Activity KPIs'!A1" display="🤝 Meeting Activity" xr:uid="{7B8B2750-EB51-4306-82C3-1FFB2FF282F5}"/>
    <hyperlink ref="A18:D19" location="'Invoice KPIs'!A1" display="📄 Invoice Analysis" xr:uid="{A02CF793-6679-4F7F-8413-A030D9CA355A}"/>
    <hyperlink ref="A21:D22" location="'Client Policy KPIs'!A1" display="👤 Client Policy" xr:uid="{5D5A7FCC-3F1B-49B9-AD23-EFE13DDDC870}"/>
    <hyperlink ref="A24:D25" location="'Branch KPIs'!A1" display="📊 Branch Summary" xr:uid="{DB0D9829-F9EC-4777-B501-28B0536F704E}"/>
    <hyperlink ref="A27:D28" location="Dashboard!A1" display="🏦 Dashboard" xr:uid="{E6A88682-818F-4644-B216-289CCD24985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8A92C-5EE2-457D-8325-AE1F5B77E1B4}">
  <sheetPr codeName="Sheet1"/>
  <dimension ref="A1:M24"/>
  <sheetViews>
    <sheetView zoomScale="90" zoomScaleNormal="90" workbookViewId="0">
      <selection sqref="A1:I1"/>
    </sheetView>
  </sheetViews>
  <sheetFormatPr defaultRowHeight="14.4"/>
  <cols>
    <col min="1" max="1" width="15.77734375" bestFit="1" customWidth="1"/>
    <col min="2" max="2" width="23.21875" bestFit="1" customWidth="1"/>
    <col min="3" max="3" width="22.6640625" bestFit="1" customWidth="1"/>
    <col min="4" max="4" width="15.21875" bestFit="1" customWidth="1"/>
    <col min="5" max="5" width="20.44140625" bestFit="1" customWidth="1"/>
    <col min="6" max="6" width="25.33203125" bestFit="1" customWidth="1"/>
    <col min="7" max="7" width="24.21875" bestFit="1" customWidth="1"/>
    <col min="8" max="8" width="22.6640625" bestFit="1" customWidth="1"/>
    <col min="9" max="9" width="20" bestFit="1" customWidth="1"/>
    <col min="10" max="10" width="16.33203125" bestFit="1" customWidth="1"/>
    <col min="11" max="11" width="9.5546875" bestFit="1" customWidth="1"/>
    <col min="12" max="12" width="15.109375" bestFit="1" customWidth="1"/>
    <col min="13" max="13" width="11.77734375" bestFit="1" customWidth="1"/>
    <col min="16" max="16" width="15.44140625" customWidth="1"/>
    <col min="21" max="21" width="19.6640625" bestFit="1" customWidth="1"/>
  </cols>
  <sheetData>
    <row r="1" spans="1:13" ht="28.8" customHeight="1" thickBot="1">
      <c r="A1" s="94" t="s">
        <v>106</v>
      </c>
      <c r="B1" s="95"/>
      <c r="C1" s="95"/>
      <c r="D1" s="95"/>
      <c r="E1" s="95"/>
      <c r="F1" s="95"/>
      <c r="G1" s="95"/>
      <c r="H1" s="95"/>
      <c r="I1" s="96"/>
      <c r="J1" s="11"/>
      <c r="K1" s="11"/>
      <c r="L1" s="11"/>
      <c r="M1" s="11"/>
    </row>
    <row r="2" spans="1:13" ht="15" thickBot="1">
      <c r="A2" s="36" t="s">
        <v>104</v>
      </c>
      <c r="B2" s="41" t="s">
        <v>3</v>
      </c>
      <c r="C2" s="42" t="s">
        <v>4</v>
      </c>
      <c r="D2" s="42" t="s">
        <v>105</v>
      </c>
      <c r="E2" s="42" t="s">
        <v>0</v>
      </c>
      <c r="F2" s="42" t="s">
        <v>1</v>
      </c>
      <c r="G2" s="42" t="s">
        <v>2</v>
      </c>
      <c r="H2" s="42" t="s">
        <v>187</v>
      </c>
      <c r="I2" s="43" t="s">
        <v>188</v>
      </c>
    </row>
    <row r="3" spans="1:13">
      <c r="A3" s="37" t="s">
        <v>64</v>
      </c>
      <c r="B3" s="34">
        <v>21854720.590000004</v>
      </c>
      <c r="C3" s="35">
        <v>0.2115121786105954</v>
      </c>
      <c r="D3" s="32">
        <v>34117426.590000004</v>
      </c>
      <c r="E3" s="35">
        <v>0.16523175413928637</v>
      </c>
      <c r="F3" s="35">
        <v>0.56919803581169781</v>
      </c>
      <c r="G3" s="35">
        <v>1.1975505525161805</v>
      </c>
      <c r="H3" s="35">
        <v>0.58847135588490485</v>
      </c>
      <c r="I3" s="33">
        <v>57976359</v>
      </c>
    </row>
    <row r="4" spans="1:13">
      <c r="A4" s="38" t="s">
        <v>38</v>
      </c>
      <c r="B4" s="24">
        <v>15288639.009999998</v>
      </c>
      <c r="C4" s="6">
        <v>0.71586248906311611</v>
      </c>
      <c r="D4">
        <v>28382706.009999998</v>
      </c>
      <c r="E4" s="6">
        <v>1.0847932789004013</v>
      </c>
      <c r="F4" s="6">
        <v>2.0498338732279775</v>
      </c>
      <c r="G4" s="6">
        <v>1.7134368871653043</v>
      </c>
      <c r="H4" s="6">
        <v>1.5517038801363443</v>
      </c>
      <c r="I4" s="25">
        <v>18291316</v>
      </c>
    </row>
    <row r="5" spans="1:13">
      <c r="A5" s="38" t="s">
        <v>45</v>
      </c>
      <c r="B5" s="24">
        <v>11963843.75</v>
      </c>
      <c r="C5" s="6">
        <v>0.81162641617195341</v>
      </c>
      <c r="D5">
        <v>23608136.75</v>
      </c>
      <c r="E5" s="6">
        <v>1.7011827913051267</v>
      </c>
      <c r="F5" s="6">
        <v>1.5957025091050419</v>
      </c>
      <c r="G5" s="6">
        <v>1.6355905383510627</v>
      </c>
      <c r="H5" s="6">
        <v>1.6455260463559176</v>
      </c>
      <c r="I5" s="25">
        <v>14346863</v>
      </c>
    </row>
    <row r="6" spans="1:13">
      <c r="A6" s="38" t="s">
        <v>32</v>
      </c>
      <c r="B6" s="24">
        <v>11070830</v>
      </c>
      <c r="C6" s="6">
        <v>1.0335984289638014</v>
      </c>
      <c r="D6">
        <v>29195426</v>
      </c>
      <c r="E6" s="6">
        <v>0.94084169813259633</v>
      </c>
      <c r="F6" s="6">
        <v>1.7754126435374316</v>
      </c>
      <c r="G6" s="6">
        <v>2.2054298051559051</v>
      </c>
      <c r="H6" s="6">
        <v>1.6649389838277733</v>
      </c>
      <c r="I6" s="25">
        <v>17535433</v>
      </c>
    </row>
    <row r="7" spans="1:13">
      <c r="A7" s="38" t="s">
        <v>55</v>
      </c>
      <c r="B7" s="24">
        <v>7850629.7300000004</v>
      </c>
      <c r="C7" s="6">
        <v>0.76820656817693656</v>
      </c>
      <c r="D7">
        <v>17650379.73</v>
      </c>
      <c r="E7" s="6">
        <v>1.0350138104255018</v>
      </c>
      <c r="F7" s="6">
        <v>1.5218196409239086</v>
      </c>
      <c r="G7" s="6">
        <v>1.582927809118936</v>
      </c>
      <c r="H7" s="6">
        <v>1.3836207698566867</v>
      </c>
      <c r="I7" s="25">
        <v>12756660</v>
      </c>
    </row>
    <row r="8" spans="1:13">
      <c r="A8" s="38" t="s">
        <v>24</v>
      </c>
      <c r="B8" s="24">
        <v>9224743.9600000009</v>
      </c>
      <c r="C8" s="6">
        <v>1.2612960891342353</v>
      </c>
      <c r="D8">
        <v>29418106.960000001</v>
      </c>
      <c r="E8" s="6">
        <v>1.4185795682675215</v>
      </c>
      <c r="F8" s="6">
        <v>1.7011528610667437</v>
      </c>
      <c r="G8" s="6">
        <v>2.233038762241415</v>
      </c>
      <c r="H8" s="6">
        <v>1.8374821102547718</v>
      </c>
      <c r="I8" s="25">
        <v>16010010</v>
      </c>
    </row>
    <row r="9" spans="1:13" ht="15" thickBot="1">
      <c r="A9" s="39" t="s">
        <v>50</v>
      </c>
      <c r="B9" s="24">
        <v>9424672.1099999994</v>
      </c>
      <c r="C9" s="6">
        <v>0.67858597037862989</v>
      </c>
      <c r="D9">
        <v>19914182.109999999</v>
      </c>
      <c r="E9" s="6">
        <v>0.94684809440605122</v>
      </c>
      <c r="F9" s="6">
        <v>1.7271525106147652</v>
      </c>
      <c r="G9" s="6">
        <v>1.3560454766999399</v>
      </c>
      <c r="H9" s="6">
        <v>1.2882855911678524</v>
      </c>
      <c r="I9" s="25">
        <v>15457894</v>
      </c>
    </row>
    <row r="10" spans="1:13" ht="15" thickBot="1">
      <c r="A10" s="40" t="s">
        <v>77</v>
      </c>
      <c r="B10" s="26">
        <v>86678079.150000006</v>
      </c>
      <c r="C10" s="28">
        <v>0.62745579502506765</v>
      </c>
      <c r="D10" s="27">
        <v>182286364.15000001</v>
      </c>
      <c r="E10" s="28">
        <v>0.75742593017987292</v>
      </c>
      <c r="F10" s="28">
        <v>1.1100917664290382</v>
      </c>
      <c r="G10" s="28">
        <v>1.6376139549028104</v>
      </c>
      <c r="H10" s="28">
        <v>1.1963046459830049</v>
      </c>
      <c r="I10" s="29">
        <v>152374535</v>
      </c>
    </row>
    <row r="13" spans="1:13" ht="15" thickBot="1"/>
    <row r="14" spans="1:13" ht="19.8">
      <c r="A14" s="94" t="s">
        <v>221</v>
      </c>
      <c r="B14" s="95"/>
      <c r="C14" s="95"/>
      <c r="D14" s="95"/>
      <c r="E14" s="95"/>
      <c r="F14" s="95"/>
      <c r="G14" s="95"/>
      <c r="H14" s="95"/>
      <c r="I14" s="96"/>
    </row>
    <row r="15" spans="1:13" ht="20.399999999999999" customHeight="1">
      <c r="A15" s="21" t="s">
        <v>104</v>
      </c>
      <c r="B15" s="22" t="s">
        <v>3</v>
      </c>
      <c r="C15" s="22" t="s">
        <v>4</v>
      </c>
      <c r="D15" s="22" t="s">
        <v>105</v>
      </c>
      <c r="E15" s="22" t="s">
        <v>0</v>
      </c>
      <c r="F15" s="22" t="s">
        <v>1</v>
      </c>
      <c r="G15" s="22" t="s">
        <v>2</v>
      </c>
      <c r="H15" s="22" t="s">
        <v>187</v>
      </c>
      <c r="I15" s="23" t="s">
        <v>188</v>
      </c>
    </row>
    <row r="16" spans="1:13">
      <c r="A16" s="24" t="s">
        <v>64</v>
      </c>
      <c r="B16">
        <v>21854720.590000004</v>
      </c>
      <c r="C16" s="6">
        <v>0.2115121786105954</v>
      </c>
      <c r="D16">
        <v>34117426.590000004</v>
      </c>
      <c r="E16" s="6">
        <v>0.16523175413928637</v>
      </c>
      <c r="F16" s="6">
        <v>0.56919803581169781</v>
      </c>
      <c r="G16" s="6">
        <v>1.1975505525161805</v>
      </c>
      <c r="H16" s="6">
        <v>0.58847135588490485</v>
      </c>
      <c r="I16" s="25">
        <v>57976359</v>
      </c>
    </row>
    <row r="17" spans="1:9">
      <c r="A17" s="24" t="s">
        <v>38</v>
      </c>
      <c r="B17">
        <v>15288639.009999998</v>
      </c>
      <c r="C17" s="6">
        <v>0.71586248906311611</v>
      </c>
      <c r="D17">
        <v>28382706.009999998</v>
      </c>
      <c r="E17" s="6">
        <v>1.0847932789004013</v>
      </c>
      <c r="F17" s="6">
        <v>2.0498338732279775</v>
      </c>
      <c r="G17" s="6">
        <v>1.7134368871653043</v>
      </c>
      <c r="H17" s="6">
        <v>1.5517038801363443</v>
      </c>
      <c r="I17" s="25">
        <v>18291316</v>
      </c>
    </row>
    <row r="18" spans="1:9">
      <c r="A18" s="24" t="s">
        <v>45</v>
      </c>
      <c r="B18">
        <v>11963843.75</v>
      </c>
      <c r="C18" s="6">
        <v>0.81162641617195341</v>
      </c>
      <c r="D18">
        <v>23608136.75</v>
      </c>
      <c r="E18" s="6">
        <v>1.7011827913051267</v>
      </c>
      <c r="F18" s="6">
        <v>1.5957025091050419</v>
      </c>
      <c r="G18" s="6">
        <v>1.6355905383510627</v>
      </c>
      <c r="H18" s="6">
        <v>1.6455260463559176</v>
      </c>
      <c r="I18" s="25">
        <v>14346863</v>
      </c>
    </row>
    <row r="19" spans="1:9">
      <c r="A19" s="24" t="s">
        <v>32</v>
      </c>
      <c r="B19">
        <v>11070830</v>
      </c>
      <c r="C19" s="6">
        <v>1.0335984289638014</v>
      </c>
      <c r="D19">
        <v>29195426</v>
      </c>
      <c r="E19" s="6">
        <v>0.94084169813259633</v>
      </c>
      <c r="F19" s="6">
        <v>1.7754126435374316</v>
      </c>
      <c r="G19" s="6">
        <v>2.2054298051559051</v>
      </c>
      <c r="H19" s="6">
        <v>1.6649389838277733</v>
      </c>
      <c r="I19" s="25">
        <v>17535433</v>
      </c>
    </row>
    <row r="20" spans="1:9">
      <c r="A20" s="24" t="s">
        <v>55</v>
      </c>
      <c r="B20">
        <v>7850629.7300000004</v>
      </c>
      <c r="C20" s="6">
        <v>0.76820656817693656</v>
      </c>
      <c r="D20">
        <v>17650379.73</v>
      </c>
      <c r="E20" s="6">
        <v>1.0350138104255018</v>
      </c>
      <c r="F20" s="6">
        <v>1.5218196409239086</v>
      </c>
      <c r="G20" s="6">
        <v>1.582927809118936</v>
      </c>
      <c r="H20" s="6">
        <v>1.3836207698566867</v>
      </c>
      <c r="I20" s="25">
        <v>12756660</v>
      </c>
    </row>
    <row r="21" spans="1:9">
      <c r="A21" s="24" t="s">
        <v>24</v>
      </c>
      <c r="B21">
        <v>9224743.9600000009</v>
      </c>
      <c r="C21" s="6">
        <v>1.2612960891342353</v>
      </c>
      <c r="D21">
        <v>29418106.960000001</v>
      </c>
      <c r="E21" s="6">
        <v>1.4185795682675215</v>
      </c>
      <c r="F21" s="6">
        <v>1.7011528610667437</v>
      </c>
      <c r="G21" s="6">
        <v>2.233038762241415</v>
      </c>
      <c r="H21" s="6">
        <v>1.8374821102547718</v>
      </c>
      <c r="I21" s="25">
        <v>16010010</v>
      </c>
    </row>
    <row r="22" spans="1:9">
      <c r="A22" s="24" t="s">
        <v>50</v>
      </c>
      <c r="B22">
        <v>9424672.1099999994</v>
      </c>
      <c r="C22" s="6">
        <v>0.67858597037862989</v>
      </c>
      <c r="D22">
        <v>19914182.109999999</v>
      </c>
      <c r="E22" s="6">
        <v>0.94684809440605122</v>
      </c>
      <c r="F22" s="6">
        <v>1.7271525106147652</v>
      </c>
      <c r="G22" s="6">
        <v>1.3560454766999399</v>
      </c>
      <c r="H22" s="6">
        <v>1.2882855911678524</v>
      </c>
      <c r="I22" s="25">
        <v>15457894</v>
      </c>
    </row>
    <row r="23" spans="1:9" ht="15" thickBot="1">
      <c r="A23" s="26" t="s">
        <v>77</v>
      </c>
      <c r="B23" s="27">
        <v>86678079.150000006</v>
      </c>
      <c r="C23" s="28">
        <v>0.62745579502506765</v>
      </c>
      <c r="D23" s="27">
        <v>182286364.15000001</v>
      </c>
      <c r="E23" s="28">
        <v>0.75742593017987292</v>
      </c>
      <c r="F23" s="28">
        <v>1.1100917664290382</v>
      </c>
      <c r="G23" s="28">
        <v>1.6376139549028104</v>
      </c>
      <c r="H23" s="28">
        <v>1.1963046459830049</v>
      </c>
      <c r="I23" s="29">
        <v>152374535</v>
      </c>
    </row>
    <row r="24" spans="1:9">
      <c r="D24" s="11"/>
    </row>
  </sheetData>
  <mergeCells count="2">
    <mergeCell ref="A1:I1"/>
    <mergeCell ref="A14:I14"/>
  </mergeCells>
  <conditionalFormatting sqref="E16:E22">
    <cfRule type="colorScale" priority="5">
      <colorScale>
        <cfvo type="min"/>
        <cfvo type="percentile" val="50"/>
        <cfvo type="max"/>
        <color rgb="FFF8696B"/>
        <color rgb="FFFFEB84"/>
        <color rgb="FF63BE7B"/>
      </colorScale>
    </cfRule>
  </conditionalFormatting>
  <conditionalFormatting sqref="F16:F22">
    <cfRule type="colorScale" priority="4">
      <colorScale>
        <cfvo type="min"/>
        <cfvo type="percentile" val="50"/>
        <cfvo type="max"/>
        <color rgb="FFF8696B"/>
        <color rgb="FFFFEB84"/>
        <color rgb="FF63BE7B"/>
      </colorScale>
    </cfRule>
  </conditionalFormatting>
  <conditionalFormatting sqref="G16:G22">
    <cfRule type="colorScale" priority="3">
      <colorScale>
        <cfvo type="min"/>
        <cfvo type="percentile" val="50"/>
        <cfvo type="max"/>
        <color rgb="FFF8696B"/>
        <color rgb="FFFFEB84"/>
        <color rgb="FF63BE7B"/>
      </colorScale>
    </cfRule>
  </conditionalFormatting>
  <conditionalFormatting sqref="H16:H22">
    <cfRule type="colorScale" priority="2">
      <colorScale>
        <cfvo type="min"/>
        <cfvo type="percentile" val="50"/>
        <cfvo type="max"/>
        <color rgb="FFF8696B"/>
        <color rgb="FFFFEB84"/>
        <color rgb="FF63BE7B"/>
      </colorScale>
    </cfRule>
  </conditionalFormatting>
  <conditionalFormatting sqref="C16:C22">
    <cfRule type="iconSet" priority="1">
      <iconSet>
        <cfvo type="percent" val="0"/>
        <cfvo type="percent" val="60"/>
        <cfvo type="percent" val="100"/>
      </iconSet>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EDACC-3007-49BB-BEE2-E6478169E05C}">
  <sheetPr codeName="Sheet2"/>
  <dimension ref="A1:J50"/>
  <sheetViews>
    <sheetView workbookViewId="0">
      <selection sqref="A1:J1"/>
    </sheetView>
  </sheetViews>
  <sheetFormatPr defaultRowHeight="14.4"/>
  <cols>
    <col min="1" max="1" width="18.5546875" bestFit="1" customWidth="1"/>
    <col min="2" max="2" width="6.109375" bestFit="1" customWidth="1"/>
    <col min="3" max="3" width="15.109375" customWidth="1"/>
    <col min="4" max="4" width="15.33203125" bestFit="1" customWidth="1"/>
    <col min="5" max="5" width="20.109375" bestFit="1" customWidth="1"/>
    <col min="6" max="6" width="17.33203125" customWidth="1"/>
    <col min="7" max="7" width="15.88671875" customWidth="1"/>
    <col min="8" max="8" width="22.21875" customWidth="1"/>
    <col min="9" max="9" width="16.88671875" customWidth="1"/>
    <col min="10" max="10" width="23" customWidth="1"/>
    <col min="11" max="11" width="14.6640625" customWidth="1"/>
    <col min="12" max="12" width="22.44140625" bestFit="1" customWidth="1"/>
    <col min="13" max="14" width="14.6640625" bestFit="1" customWidth="1"/>
    <col min="15" max="15" width="10.77734375" bestFit="1" customWidth="1"/>
    <col min="16" max="16" width="8" bestFit="1" customWidth="1"/>
    <col min="17" max="17" width="10.77734375" bestFit="1" customWidth="1"/>
    <col min="18" max="18" width="11.6640625" bestFit="1" customWidth="1"/>
    <col min="19" max="19" width="13.21875" bestFit="1" customWidth="1"/>
    <col min="20" max="20" width="10" bestFit="1" customWidth="1"/>
    <col min="21" max="21" width="9.5546875" bestFit="1" customWidth="1"/>
    <col min="22" max="22" width="11.44140625" bestFit="1" customWidth="1"/>
    <col min="23" max="24" width="14.6640625" bestFit="1" customWidth="1"/>
    <col min="25" max="25" width="11.77734375" bestFit="1" customWidth="1"/>
    <col min="26" max="27" width="11.88671875" bestFit="1" customWidth="1"/>
    <col min="28" max="28" width="10.77734375" bestFit="1" customWidth="1"/>
    <col min="29" max="29" width="10.33203125" bestFit="1" customWidth="1"/>
    <col min="30" max="30" width="11" bestFit="1" customWidth="1"/>
    <col min="31" max="31" width="10.77734375" bestFit="1" customWidth="1"/>
    <col min="32" max="32" width="14.109375" bestFit="1" customWidth="1"/>
    <col min="33" max="33" width="9.88671875" bestFit="1" customWidth="1"/>
    <col min="34" max="34" width="11.109375" bestFit="1" customWidth="1"/>
    <col min="35" max="35" width="11.44140625" bestFit="1" customWidth="1"/>
    <col min="36" max="36" width="15.5546875" bestFit="1" customWidth="1"/>
    <col min="37" max="37" width="13.109375" bestFit="1" customWidth="1"/>
    <col min="38" max="38" width="11.6640625" bestFit="1" customWidth="1"/>
    <col min="39" max="39" width="7" bestFit="1" customWidth="1"/>
    <col min="40" max="40" width="10.77734375" bestFit="1" customWidth="1"/>
  </cols>
  <sheetData>
    <row r="1" spans="1:10" ht="27.6" customHeight="1">
      <c r="A1" s="94" t="s">
        <v>107</v>
      </c>
      <c r="B1" s="95"/>
      <c r="C1" s="95"/>
      <c r="D1" s="95"/>
      <c r="E1" s="95"/>
      <c r="F1" s="95"/>
      <c r="G1" s="95"/>
      <c r="H1" s="95"/>
      <c r="I1" s="95"/>
      <c r="J1" s="95"/>
    </row>
    <row r="2" spans="1:10">
      <c r="A2" s="2" t="s">
        <v>104</v>
      </c>
      <c r="B2" t="s">
        <v>5</v>
      </c>
      <c r="C2" t="s">
        <v>6</v>
      </c>
      <c r="D2" t="s">
        <v>7</v>
      </c>
      <c r="E2" t="s">
        <v>8</v>
      </c>
      <c r="F2" t="s">
        <v>9</v>
      </c>
      <c r="G2" t="s">
        <v>10</v>
      </c>
      <c r="H2" t="s">
        <v>11</v>
      </c>
      <c r="I2" t="s">
        <v>12</v>
      </c>
      <c r="J2" t="s">
        <v>13</v>
      </c>
    </row>
    <row r="3" spans="1:10">
      <c r="A3" t="s">
        <v>64</v>
      </c>
      <c r="B3">
        <v>49</v>
      </c>
      <c r="C3">
        <v>6878500</v>
      </c>
      <c r="D3">
        <v>14</v>
      </c>
      <c r="E3">
        <v>1419500</v>
      </c>
      <c r="G3" s="4">
        <v>0.22222222222222221</v>
      </c>
      <c r="H3" s="4">
        <v>0.28829873364815828</v>
      </c>
      <c r="I3">
        <v>131714.28571428571</v>
      </c>
      <c r="J3" s="4">
        <v>0.22222222222222221</v>
      </c>
    </row>
    <row r="4" spans="1:10">
      <c r="A4" t="s">
        <v>38</v>
      </c>
      <c r="B4">
        <v>27</v>
      </c>
      <c r="C4">
        <v>10827174</v>
      </c>
      <c r="D4">
        <v>11</v>
      </c>
      <c r="E4">
        <v>3470358</v>
      </c>
      <c r="F4">
        <v>7</v>
      </c>
      <c r="G4" s="4">
        <v>0.24444444444444444</v>
      </c>
      <c r="H4" s="4">
        <v>-1.0729120556504983</v>
      </c>
      <c r="I4">
        <v>362553.22222222225</v>
      </c>
      <c r="J4" s="4">
        <v>0.24444444444444444</v>
      </c>
    </row>
    <row r="5" spans="1:10">
      <c r="A5" t="s">
        <v>45</v>
      </c>
      <c r="B5">
        <v>29</v>
      </c>
      <c r="C5">
        <v>13589846</v>
      </c>
      <c r="D5">
        <v>7</v>
      </c>
      <c r="E5">
        <v>3132096</v>
      </c>
      <c r="F5">
        <v>4</v>
      </c>
      <c r="G5" s="4">
        <v>0.17499999999999999</v>
      </c>
      <c r="H5" s="4">
        <v>-1.4673841165746775</v>
      </c>
      <c r="I5">
        <v>438476.17499999999</v>
      </c>
      <c r="J5" s="4">
        <v>0.17499999999999999</v>
      </c>
    </row>
    <row r="6" spans="1:10">
      <c r="A6" t="s">
        <v>32</v>
      </c>
      <c r="B6">
        <v>34</v>
      </c>
      <c r="C6">
        <v>16226679</v>
      </c>
      <c r="D6">
        <v>13</v>
      </c>
      <c r="E6">
        <v>5727686</v>
      </c>
      <c r="F6">
        <v>3</v>
      </c>
      <c r="G6" s="4">
        <v>0.26</v>
      </c>
      <c r="H6" s="4">
        <v>-1.3916542660017035</v>
      </c>
      <c r="I6">
        <v>451327.7</v>
      </c>
      <c r="J6" s="4">
        <v>0.26</v>
      </c>
    </row>
    <row r="7" spans="1:10">
      <c r="A7" t="s">
        <v>55</v>
      </c>
      <c r="B7">
        <v>22</v>
      </c>
      <c r="C7">
        <v>8435797</v>
      </c>
      <c r="D7">
        <v>5</v>
      </c>
      <c r="E7">
        <v>2976901</v>
      </c>
      <c r="F7">
        <v>3</v>
      </c>
      <c r="G7" s="4">
        <v>0.16666666666666666</v>
      </c>
      <c r="H7" s="4">
        <v>-1.7238005986092708</v>
      </c>
      <c r="I7">
        <v>399146.26666666666</v>
      </c>
      <c r="J7" s="4">
        <v>0.16666666666666666</v>
      </c>
    </row>
    <row r="8" spans="1:10">
      <c r="A8" t="s">
        <v>24</v>
      </c>
      <c r="B8">
        <v>36</v>
      </c>
      <c r="C8">
        <v>14351643</v>
      </c>
      <c r="D8">
        <v>15</v>
      </c>
      <c r="E8">
        <v>5861977</v>
      </c>
      <c r="F8">
        <v>4</v>
      </c>
      <c r="G8" s="4">
        <v>0.27272727272727271</v>
      </c>
      <c r="H8" s="4">
        <v>-1.070371361634306</v>
      </c>
      <c r="I8">
        <v>394313.70909090911</v>
      </c>
      <c r="J8" s="4">
        <v>0.27272727272727271</v>
      </c>
    </row>
    <row r="9" spans="1:10">
      <c r="A9" t="s">
        <v>50</v>
      </c>
      <c r="B9">
        <v>24</v>
      </c>
      <c r="C9">
        <v>11151792</v>
      </c>
      <c r="D9">
        <v>7</v>
      </c>
      <c r="E9">
        <v>2966427</v>
      </c>
      <c r="F9">
        <v>4</v>
      </c>
      <c r="G9" s="4">
        <v>0.2</v>
      </c>
      <c r="H9" s="4">
        <v>-2.5024845173217494</v>
      </c>
      <c r="I9">
        <v>467191.71428571426</v>
      </c>
      <c r="J9" s="4">
        <v>0.2</v>
      </c>
    </row>
    <row r="10" spans="1:10">
      <c r="A10" t="s">
        <v>77</v>
      </c>
      <c r="B10">
        <v>221</v>
      </c>
      <c r="C10">
        <v>81461431</v>
      </c>
      <c r="D10">
        <v>72</v>
      </c>
      <c r="E10">
        <v>25554945</v>
      </c>
      <c r="F10">
        <v>25</v>
      </c>
      <c r="G10" s="4">
        <v>0.22641509433962265</v>
      </c>
      <c r="H10" s="4">
        <v>-2.7233851394206692</v>
      </c>
      <c r="I10">
        <v>360791.44339622639</v>
      </c>
      <c r="J10" s="4">
        <v>0.22641509433962265</v>
      </c>
    </row>
    <row r="13" spans="1:10">
      <c r="A13" s="2" t="s">
        <v>225</v>
      </c>
      <c r="B13" t="s">
        <v>224</v>
      </c>
      <c r="C13" s="5" t="s">
        <v>184</v>
      </c>
      <c r="D13" s="5" t="s">
        <v>223</v>
      </c>
    </row>
    <row r="14" spans="1:10">
      <c r="A14" s="3" t="s">
        <v>108</v>
      </c>
      <c r="B14">
        <v>25</v>
      </c>
      <c r="C14" s="5">
        <v>7715303</v>
      </c>
      <c r="D14" s="5">
        <v>308612.12</v>
      </c>
    </row>
    <row r="15" spans="1:10">
      <c r="A15" s="3" t="s">
        <v>109</v>
      </c>
      <c r="B15">
        <v>46</v>
      </c>
      <c r="C15" s="5">
        <v>17653609</v>
      </c>
      <c r="D15" s="5">
        <v>383774.10869565216</v>
      </c>
    </row>
    <row r="16" spans="1:10">
      <c r="A16" s="3" t="s">
        <v>110</v>
      </c>
      <c r="B16">
        <v>51</v>
      </c>
      <c r="C16" s="5">
        <v>21881843</v>
      </c>
      <c r="D16" s="5">
        <v>429055.74509803922</v>
      </c>
    </row>
    <row r="17" spans="1:6">
      <c r="A17" s="3" t="s">
        <v>111</v>
      </c>
      <c r="B17">
        <v>124</v>
      </c>
      <c r="C17" s="5">
        <v>41925979</v>
      </c>
      <c r="D17" s="5">
        <v>338112.73387096776</v>
      </c>
    </row>
    <row r="18" spans="1:6">
      <c r="A18" s="3" t="s">
        <v>112</v>
      </c>
      <c r="B18">
        <v>72</v>
      </c>
      <c r="C18" s="5">
        <v>25554945</v>
      </c>
      <c r="D18" s="5">
        <v>354929.79166666669</v>
      </c>
    </row>
    <row r="19" spans="1:6">
      <c r="A19" s="3" t="s">
        <v>77</v>
      </c>
      <c r="B19">
        <v>318</v>
      </c>
      <c r="C19" s="5">
        <v>114731679</v>
      </c>
      <c r="D19" s="5">
        <v>360791.44339622639</v>
      </c>
    </row>
    <row r="20" spans="1:6">
      <c r="A20" s="3"/>
      <c r="C20" s="5"/>
      <c r="D20" s="5"/>
      <c r="E20" s="4"/>
    </row>
    <row r="22" spans="1:6" ht="15.6">
      <c r="A22" s="136" t="s">
        <v>114</v>
      </c>
      <c r="B22" s="136"/>
      <c r="C22" s="136"/>
      <c r="D22" s="136"/>
      <c r="E22" s="136"/>
      <c r="F22" s="136"/>
    </row>
    <row r="23" spans="1:6">
      <c r="A23" s="2" t="s">
        <v>130</v>
      </c>
      <c r="B23" s="2" t="s">
        <v>131</v>
      </c>
      <c r="C23" s="2" t="s">
        <v>132</v>
      </c>
      <c r="D23" s="2" t="s">
        <v>133</v>
      </c>
      <c r="E23" s="2" t="s">
        <v>125</v>
      </c>
      <c r="F23" t="s">
        <v>113</v>
      </c>
    </row>
    <row r="24" spans="1:6">
      <c r="A24" t="s">
        <v>128</v>
      </c>
      <c r="B24" t="s">
        <v>115</v>
      </c>
      <c r="C24" t="s">
        <v>29</v>
      </c>
      <c r="D24" t="s">
        <v>24</v>
      </c>
      <c r="E24" t="s">
        <v>112</v>
      </c>
      <c r="F24">
        <v>985506</v>
      </c>
    </row>
    <row r="25" spans="1:6">
      <c r="A25" t="s">
        <v>134</v>
      </c>
      <c r="B25" t="s">
        <v>120</v>
      </c>
      <c r="C25" t="s">
        <v>33</v>
      </c>
      <c r="D25" t="s">
        <v>32</v>
      </c>
      <c r="E25" t="s">
        <v>109</v>
      </c>
      <c r="F25">
        <v>1077386</v>
      </c>
    </row>
    <row r="26" spans="1:6">
      <c r="A26" t="s">
        <v>135</v>
      </c>
      <c r="B26" t="s">
        <v>124</v>
      </c>
      <c r="C26" t="s">
        <v>44</v>
      </c>
      <c r="D26" t="s">
        <v>38</v>
      </c>
      <c r="E26" t="s">
        <v>111</v>
      </c>
      <c r="F26">
        <v>1162589</v>
      </c>
    </row>
    <row r="27" spans="1:6">
      <c r="A27" t="s">
        <v>136</v>
      </c>
      <c r="B27" t="s">
        <v>117</v>
      </c>
      <c r="C27" t="s">
        <v>40</v>
      </c>
      <c r="D27" t="s">
        <v>38</v>
      </c>
      <c r="E27" t="s">
        <v>111</v>
      </c>
      <c r="F27">
        <v>1067346</v>
      </c>
    </row>
    <row r="28" spans="1:6">
      <c r="A28" t="s">
        <v>137</v>
      </c>
      <c r="B28" t="s">
        <v>116</v>
      </c>
      <c r="C28" t="s">
        <v>48</v>
      </c>
      <c r="D28" t="s">
        <v>45</v>
      </c>
      <c r="E28" t="s">
        <v>111</v>
      </c>
      <c r="F28">
        <v>1063612</v>
      </c>
    </row>
    <row r="29" spans="1:6">
      <c r="A29" t="s">
        <v>138</v>
      </c>
      <c r="B29" t="s">
        <v>119</v>
      </c>
      <c r="C29" t="s">
        <v>46</v>
      </c>
      <c r="D29" t="s">
        <v>45</v>
      </c>
      <c r="E29" t="s">
        <v>110</v>
      </c>
      <c r="F29">
        <v>1140246</v>
      </c>
    </row>
    <row r="30" spans="1:6">
      <c r="A30" t="s">
        <v>139</v>
      </c>
      <c r="B30" t="s">
        <v>123</v>
      </c>
      <c r="C30" t="s">
        <v>62</v>
      </c>
      <c r="D30" t="s">
        <v>45</v>
      </c>
      <c r="E30" t="s">
        <v>110</v>
      </c>
      <c r="F30">
        <v>962289</v>
      </c>
    </row>
    <row r="31" spans="1:6">
      <c r="A31" t="s">
        <v>140</v>
      </c>
      <c r="B31" t="s">
        <v>122</v>
      </c>
      <c r="C31" t="s">
        <v>51</v>
      </c>
      <c r="D31" t="s">
        <v>50</v>
      </c>
      <c r="E31" t="s">
        <v>110</v>
      </c>
      <c r="F31">
        <v>979089</v>
      </c>
    </row>
    <row r="32" spans="1:6">
      <c r="A32" t="s">
        <v>141</v>
      </c>
      <c r="B32" t="s">
        <v>121</v>
      </c>
      <c r="C32" t="s">
        <v>56</v>
      </c>
      <c r="D32" t="s">
        <v>55</v>
      </c>
      <c r="E32" t="s">
        <v>111</v>
      </c>
      <c r="F32">
        <v>1063192</v>
      </c>
    </row>
    <row r="33" spans="1:6">
      <c r="A33" t="s">
        <v>129</v>
      </c>
      <c r="B33" t="s">
        <v>118</v>
      </c>
      <c r="C33" t="s">
        <v>57</v>
      </c>
      <c r="D33" t="s">
        <v>55</v>
      </c>
      <c r="E33" t="s">
        <v>112</v>
      </c>
      <c r="F33">
        <v>946221</v>
      </c>
    </row>
    <row r="34" spans="1:6">
      <c r="A34" t="s">
        <v>77</v>
      </c>
      <c r="F34">
        <v>10447476</v>
      </c>
    </row>
    <row r="37" spans="1:6">
      <c r="A37" s="2" t="s">
        <v>125</v>
      </c>
      <c r="B37" t="s" vm="1">
        <v>126</v>
      </c>
    </row>
    <row r="38" spans="1:6" ht="15.6">
      <c r="A38" s="136" t="s">
        <v>166</v>
      </c>
      <c r="B38" s="136"/>
      <c r="C38" s="136"/>
      <c r="D38" s="136"/>
      <c r="E38" s="136"/>
    </row>
    <row r="39" spans="1:6">
      <c r="A39" s="2" t="s">
        <v>130</v>
      </c>
      <c r="B39" s="2" t="s">
        <v>131</v>
      </c>
      <c r="C39" s="2" t="s">
        <v>132</v>
      </c>
      <c r="D39" s="2" t="s">
        <v>133</v>
      </c>
      <c r="E39" t="s">
        <v>113</v>
      </c>
    </row>
    <row r="40" spans="1:6">
      <c r="A40" t="s">
        <v>128</v>
      </c>
      <c r="B40" t="s">
        <v>115</v>
      </c>
      <c r="C40" t="s">
        <v>29</v>
      </c>
      <c r="D40" t="s">
        <v>24</v>
      </c>
      <c r="E40">
        <v>985506</v>
      </c>
    </row>
    <row r="41" spans="1:6">
      <c r="A41" t="s">
        <v>134</v>
      </c>
      <c r="B41" t="s">
        <v>120</v>
      </c>
      <c r="C41" t="s">
        <v>33</v>
      </c>
      <c r="D41" t="s">
        <v>32</v>
      </c>
      <c r="E41">
        <v>1077386</v>
      </c>
    </row>
    <row r="42" spans="1:6">
      <c r="A42" t="s">
        <v>135</v>
      </c>
      <c r="B42" t="s">
        <v>124</v>
      </c>
      <c r="C42" t="s">
        <v>44</v>
      </c>
      <c r="D42" t="s">
        <v>38</v>
      </c>
      <c r="E42">
        <v>1162589</v>
      </c>
    </row>
    <row r="43" spans="1:6">
      <c r="A43" t="s">
        <v>136</v>
      </c>
      <c r="B43" t="s">
        <v>117</v>
      </c>
      <c r="C43" t="s">
        <v>40</v>
      </c>
      <c r="D43" t="s">
        <v>38</v>
      </c>
      <c r="E43">
        <v>1067346</v>
      </c>
    </row>
    <row r="44" spans="1:6">
      <c r="A44" t="s">
        <v>137</v>
      </c>
      <c r="B44" t="s">
        <v>116</v>
      </c>
      <c r="C44" t="s">
        <v>48</v>
      </c>
      <c r="D44" t="s">
        <v>45</v>
      </c>
      <c r="E44">
        <v>1063612</v>
      </c>
    </row>
    <row r="45" spans="1:6">
      <c r="A45" t="s">
        <v>138</v>
      </c>
      <c r="B45" t="s">
        <v>119</v>
      </c>
      <c r="C45" t="s">
        <v>46</v>
      </c>
      <c r="D45" t="s">
        <v>45</v>
      </c>
      <c r="E45">
        <v>1140246</v>
      </c>
    </row>
    <row r="46" spans="1:6">
      <c r="A46" t="s">
        <v>139</v>
      </c>
      <c r="B46" t="s">
        <v>123</v>
      </c>
      <c r="C46" t="s">
        <v>62</v>
      </c>
      <c r="D46" t="s">
        <v>45</v>
      </c>
      <c r="E46">
        <v>962289</v>
      </c>
    </row>
    <row r="47" spans="1:6">
      <c r="A47" t="s">
        <v>140</v>
      </c>
      <c r="B47" t="s">
        <v>122</v>
      </c>
      <c r="C47" t="s">
        <v>51</v>
      </c>
      <c r="D47" t="s">
        <v>50</v>
      </c>
      <c r="E47">
        <v>979089</v>
      </c>
    </row>
    <row r="48" spans="1:6">
      <c r="A48" t="s">
        <v>141</v>
      </c>
      <c r="B48" t="s">
        <v>121</v>
      </c>
      <c r="C48" t="s">
        <v>56</v>
      </c>
      <c r="D48" t="s">
        <v>55</v>
      </c>
      <c r="E48">
        <v>1063192</v>
      </c>
    </row>
    <row r="49" spans="1:5">
      <c r="A49" t="s">
        <v>129</v>
      </c>
      <c r="B49" t="s">
        <v>118</v>
      </c>
      <c r="C49" t="s">
        <v>57</v>
      </c>
      <c r="D49" t="s">
        <v>55</v>
      </c>
      <c r="E49">
        <v>946221</v>
      </c>
    </row>
    <row r="50" spans="1:5">
      <c r="A50" t="s">
        <v>77</v>
      </c>
      <c r="E50">
        <v>10447476</v>
      </c>
    </row>
  </sheetData>
  <mergeCells count="3">
    <mergeCell ref="A1:J1"/>
    <mergeCell ref="A38:E38"/>
    <mergeCell ref="A22:F22"/>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801EB-8CB6-49B0-9BF7-A5B819F7D34B}">
  <sheetPr codeName="Sheet3"/>
  <dimension ref="A1:F36"/>
  <sheetViews>
    <sheetView workbookViewId="0">
      <selection sqref="A1:F1"/>
    </sheetView>
  </sheetViews>
  <sheetFormatPr defaultRowHeight="14.4"/>
  <cols>
    <col min="1" max="1" width="14" bestFit="1" customWidth="1"/>
    <col min="2" max="2" width="20.6640625" bestFit="1" customWidth="1"/>
    <col min="3" max="3" width="18" bestFit="1" customWidth="1"/>
    <col min="4" max="4" width="21.33203125" customWidth="1"/>
    <col min="5" max="5" width="26.21875" customWidth="1"/>
    <col min="6" max="6" width="19.6640625" customWidth="1"/>
    <col min="7" max="7" width="23.5546875" customWidth="1"/>
  </cols>
  <sheetData>
    <row r="1" spans="1:6" ht="27.6" customHeight="1" thickBot="1">
      <c r="A1" s="94" t="s">
        <v>251</v>
      </c>
      <c r="B1" s="95"/>
      <c r="C1" s="95"/>
      <c r="D1" s="95"/>
      <c r="E1" s="95"/>
      <c r="F1" s="95"/>
    </row>
    <row r="2" spans="1:6" ht="21" customHeight="1" thickBot="1">
      <c r="A2" s="36" t="s">
        <v>142</v>
      </c>
      <c r="B2" s="41" t="s">
        <v>151</v>
      </c>
      <c r="C2" s="42" t="s">
        <v>152</v>
      </c>
      <c r="D2" s="42" t="s">
        <v>14</v>
      </c>
      <c r="E2" s="42" t="s">
        <v>153</v>
      </c>
      <c r="F2" s="43" t="s">
        <v>154</v>
      </c>
    </row>
    <row r="3" spans="1:6">
      <c r="A3" s="37" t="s">
        <v>64</v>
      </c>
      <c r="B3" s="34">
        <v>3</v>
      </c>
      <c r="C3" s="32">
        <v>31</v>
      </c>
      <c r="D3" s="81">
        <v>3.7777777777777777</v>
      </c>
      <c r="E3" s="81">
        <v>9.3529411764705888</v>
      </c>
      <c r="F3" s="80">
        <v>2.1176470588235294</v>
      </c>
    </row>
    <row r="4" spans="1:6">
      <c r="A4" s="38" t="s">
        <v>38</v>
      </c>
      <c r="B4" s="24">
        <v>39</v>
      </c>
      <c r="C4">
        <v>6</v>
      </c>
      <c r="D4" s="5">
        <v>6.4285714285714288</v>
      </c>
      <c r="E4" s="5">
        <v>7.0666666666666664</v>
      </c>
      <c r="F4" s="74">
        <v>1.6</v>
      </c>
    </row>
    <row r="5" spans="1:6">
      <c r="A5" s="38" t="s">
        <v>45</v>
      </c>
      <c r="B5" s="24">
        <v>30</v>
      </c>
      <c r="C5">
        <v>10</v>
      </c>
      <c r="D5" s="5">
        <v>6.666666666666667</v>
      </c>
      <c r="E5" s="5">
        <v>7.95</v>
      </c>
      <c r="F5" s="74">
        <v>1.8</v>
      </c>
    </row>
    <row r="6" spans="1:6">
      <c r="A6" s="38" t="s">
        <v>32</v>
      </c>
      <c r="B6" s="24">
        <v>43</v>
      </c>
      <c r="C6">
        <v>7</v>
      </c>
      <c r="D6" s="5">
        <v>7.1428571428571432</v>
      </c>
      <c r="E6" s="5">
        <v>6.36</v>
      </c>
      <c r="F6" s="74">
        <v>1.44</v>
      </c>
    </row>
    <row r="7" spans="1:6">
      <c r="A7" s="38" t="s">
        <v>55</v>
      </c>
      <c r="B7" s="24">
        <v>25</v>
      </c>
      <c r="C7">
        <v>5</v>
      </c>
      <c r="D7" s="5">
        <v>5</v>
      </c>
      <c r="E7" s="5">
        <v>10.6</v>
      </c>
      <c r="F7" s="74">
        <v>2.4</v>
      </c>
    </row>
    <row r="8" spans="1:6">
      <c r="A8" s="38" t="s">
        <v>24</v>
      </c>
      <c r="B8" s="24">
        <v>47</v>
      </c>
      <c r="C8">
        <v>8</v>
      </c>
      <c r="D8" s="5">
        <v>7.8571428571428568</v>
      </c>
      <c r="E8" s="5">
        <v>5.7818181818181822</v>
      </c>
      <c r="F8" s="74">
        <v>1.3090909090909091</v>
      </c>
    </row>
    <row r="9" spans="1:6" ht="15" thickBot="1">
      <c r="A9" s="39" t="s">
        <v>50</v>
      </c>
      <c r="B9" s="24">
        <v>22</v>
      </c>
      <c r="C9">
        <v>13</v>
      </c>
      <c r="D9" s="5">
        <v>5.833333333333333</v>
      </c>
      <c r="E9" s="5">
        <v>9.0857142857142854</v>
      </c>
      <c r="F9" s="74">
        <v>2.0571428571428569</v>
      </c>
    </row>
    <row r="10" spans="1:6" ht="15" thickBot="1">
      <c r="A10" s="40" t="s">
        <v>77</v>
      </c>
      <c r="B10" s="26">
        <v>209</v>
      </c>
      <c r="C10" s="27">
        <v>80</v>
      </c>
      <c r="D10" s="75">
        <v>6.020833333333333</v>
      </c>
      <c r="E10" s="75">
        <v>1.1003460207612457</v>
      </c>
      <c r="F10" s="76">
        <v>0.2491349480968858</v>
      </c>
    </row>
    <row r="12" spans="1:6" ht="15" thickBot="1"/>
    <row r="13" spans="1:6" ht="16.2" thickBot="1">
      <c r="A13" s="137" t="s">
        <v>219</v>
      </c>
      <c r="B13" s="138"/>
      <c r="C13" s="138"/>
      <c r="D13" s="139"/>
    </row>
    <row r="14" spans="1:6" ht="15" thickBot="1">
      <c r="A14" s="36" t="s">
        <v>76</v>
      </c>
      <c r="B14" s="41" t="s">
        <v>149</v>
      </c>
      <c r="C14" s="42" t="s">
        <v>148</v>
      </c>
      <c r="D14" s="43" t="s">
        <v>150</v>
      </c>
    </row>
    <row r="15" spans="1:6">
      <c r="A15" s="77" t="s">
        <v>64</v>
      </c>
      <c r="B15" s="34">
        <v>34</v>
      </c>
      <c r="C15" s="32">
        <v>9</v>
      </c>
      <c r="D15" s="80">
        <v>3.7777777777777777</v>
      </c>
    </row>
    <row r="16" spans="1:6">
      <c r="A16" s="78" t="s">
        <v>38</v>
      </c>
      <c r="B16" s="24">
        <v>45</v>
      </c>
      <c r="C16">
        <v>7</v>
      </c>
      <c r="D16" s="74">
        <v>6.4285714285714288</v>
      </c>
    </row>
    <row r="17" spans="1:4">
      <c r="A17" s="78" t="s">
        <v>45</v>
      </c>
      <c r="B17" s="24">
        <v>40</v>
      </c>
      <c r="C17">
        <v>6</v>
      </c>
      <c r="D17" s="74">
        <v>6.666666666666667</v>
      </c>
    </row>
    <row r="18" spans="1:4">
      <c r="A18" s="78" t="s">
        <v>32</v>
      </c>
      <c r="B18" s="24">
        <v>50</v>
      </c>
      <c r="C18">
        <v>7</v>
      </c>
      <c r="D18" s="74">
        <v>7.1428571428571432</v>
      </c>
    </row>
    <row r="19" spans="1:4">
      <c r="A19" s="78" t="s">
        <v>55</v>
      </c>
      <c r="B19" s="24">
        <v>30</v>
      </c>
      <c r="C19">
        <v>6</v>
      </c>
      <c r="D19" s="74">
        <v>5</v>
      </c>
    </row>
    <row r="20" spans="1:4">
      <c r="A20" s="78" t="s">
        <v>24</v>
      </c>
      <c r="B20" s="24">
        <v>55</v>
      </c>
      <c r="C20">
        <v>7</v>
      </c>
      <c r="D20" s="74">
        <v>7.8571428571428568</v>
      </c>
    </row>
    <row r="21" spans="1:4" ht="15" thickBot="1">
      <c r="A21" s="79" t="s">
        <v>50</v>
      </c>
      <c r="B21" s="24">
        <v>35</v>
      </c>
      <c r="C21">
        <v>6</v>
      </c>
      <c r="D21" s="74">
        <v>5.833333333333333</v>
      </c>
    </row>
    <row r="22" spans="1:4" ht="15" thickBot="1">
      <c r="A22" s="50" t="s">
        <v>77</v>
      </c>
      <c r="B22" s="26">
        <v>289</v>
      </c>
      <c r="C22" s="27">
        <v>48</v>
      </c>
      <c r="D22" s="76">
        <v>6.020833333333333</v>
      </c>
    </row>
    <row r="23" spans="1:4" ht="15" thickBot="1"/>
    <row r="24" spans="1:4" ht="14.4" customHeight="1" thickBot="1">
      <c r="A24" s="140" t="s">
        <v>226</v>
      </c>
      <c r="B24" s="141"/>
    </row>
    <row r="25" spans="1:4" ht="15" thickBot="1">
      <c r="A25" s="36" t="s">
        <v>76</v>
      </c>
      <c r="B25" s="40" t="s">
        <v>147</v>
      </c>
    </row>
    <row r="26" spans="1:4">
      <c r="A26" s="77" t="s">
        <v>40</v>
      </c>
      <c r="B26" s="37">
        <v>8</v>
      </c>
    </row>
    <row r="27" spans="1:4">
      <c r="A27" s="78" t="s">
        <v>39</v>
      </c>
      <c r="B27" s="38">
        <v>8</v>
      </c>
    </row>
    <row r="28" spans="1:4">
      <c r="A28" s="78" t="s">
        <v>56</v>
      </c>
      <c r="B28" s="38">
        <v>9</v>
      </c>
    </row>
    <row r="29" spans="1:4">
      <c r="A29" s="78" t="s">
        <v>34</v>
      </c>
      <c r="B29" s="38">
        <v>8</v>
      </c>
    </row>
    <row r="30" spans="1:4">
      <c r="A30" s="78" t="s">
        <v>143</v>
      </c>
      <c r="B30" s="38">
        <v>9</v>
      </c>
    </row>
    <row r="31" spans="1:4">
      <c r="A31" s="78" t="s">
        <v>31</v>
      </c>
      <c r="B31" s="38">
        <v>9</v>
      </c>
    </row>
    <row r="32" spans="1:4">
      <c r="A32" s="78" t="s">
        <v>63</v>
      </c>
      <c r="B32" s="38">
        <v>8</v>
      </c>
    </row>
    <row r="33" spans="1:2">
      <c r="A33" s="78" t="s">
        <v>25</v>
      </c>
      <c r="B33" s="38">
        <v>10</v>
      </c>
    </row>
    <row r="34" spans="1:2">
      <c r="A34" s="78" t="s">
        <v>48</v>
      </c>
      <c r="B34" s="38">
        <v>11</v>
      </c>
    </row>
    <row r="35" spans="1:2" ht="15" thickBot="1">
      <c r="A35" s="79" t="s">
        <v>145</v>
      </c>
      <c r="B35" s="38">
        <v>12</v>
      </c>
    </row>
    <row r="36" spans="1:2" ht="15" thickBot="1">
      <c r="A36" s="50" t="s">
        <v>77</v>
      </c>
      <c r="B36" s="39">
        <v>92</v>
      </c>
    </row>
  </sheetData>
  <mergeCells count="3">
    <mergeCell ref="A13:D13"/>
    <mergeCell ref="A24:B24"/>
    <mergeCell ref="A1:F1"/>
  </mergeCells>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F7CA4-3628-4C10-AC2D-4F113848A3DD}">
  <sheetPr codeName="Sheet4"/>
  <dimension ref="A1:K54"/>
  <sheetViews>
    <sheetView workbookViewId="0">
      <selection sqref="A1:K1"/>
    </sheetView>
  </sheetViews>
  <sheetFormatPr defaultRowHeight="14.4"/>
  <cols>
    <col min="1" max="1" width="10.77734375" customWidth="1"/>
    <col min="2" max="2" width="10.6640625" bestFit="1" customWidth="1"/>
    <col min="3" max="3" width="17.5546875" customWidth="1"/>
    <col min="4" max="4" width="14.5546875" customWidth="1"/>
    <col min="5" max="5" width="21" customWidth="1"/>
    <col min="6" max="6" width="14.44140625" customWidth="1"/>
    <col min="7" max="7" width="15.6640625" bestFit="1" customWidth="1"/>
    <col min="8" max="8" width="15.5546875" bestFit="1" customWidth="1"/>
    <col min="9" max="9" width="4.77734375" customWidth="1"/>
    <col min="10" max="10" width="8.109375" customWidth="1"/>
    <col min="11" max="12" width="10.77734375" customWidth="1"/>
  </cols>
  <sheetData>
    <row r="1" spans="1:11" ht="31.2" customHeight="1">
      <c r="A1" s="94" t="s">
        <v>252</v>
      </c>
      <c r="B1" s="95"/>
      <c r="C1" s="95"/>
      <c r="D1" s="95"/>
      <c r="E1" s="95"/>
      <c r="F1" s="95"/>
      <c r="G1" s="95"/>
      <c r="H1" s="95"/>
      <c r="I1" s="95"/>
      <c r="J1" s="95"/>
      <c r="K1" s="95"/>
    </row>
    <row r="2" spans="1:11">
      <c r="A2" s="2" t="s">
        <v>78</v>
      </c>
      <c r="B2" t="s">
        <v>16</v>
      </c>
      <c r="C2" t="s">
        <v>18</v>
      </c>
      <c r="D2" t="s">
        <v>75</v>
      </c>
    </row>
    <row r="3" spans="1:11">
      <c r="A3" t="s">
        <v>172</v>
      </c>
      <c r="B3">
        <v>970</v>
      </c>
      <c r="C3">
        <v>98180.962886597932</v>
      </c>
      <c r="D3" s="4"/>
    </row>
    <row r="4" spans="1:11">
      <c r="A4" t="s">
        <v>173</v>
      </c>
      <c r="B4">
        <v>14</v>
      </c>
      <c r="C4">
        <v>26625.071428571428</v>
      </c>
      <c r="D4" s="4">
        <v>-0.99608600924104651</v>
      </c>
    </row>
    <row r="5" spans="1:11">
      <c r="A5" t="s">
        <v>77</v>
      </c>
      <c r="B5">
        <v>984</v>
      </c>
      <c r="C5">
        <v>97162.891260162607</v>
      </c>
      <c r="D5" s="4">
        <v>3.9139907589534808E-3</v>
      </c>
    </row>
    <row r="11" spans="1:11" ht="15.6">
      <c r="A11" s="142" t="s">
        <v>157</v>
      </c>
      <c r="B11" s="142"/>
      <c r="C11" s="142"/>
      <c r="D11" s="142"/>
      <c r="E11" s="142"/>
      <c r="G11" s="142" t="s">
        <v>158</v>
      </c>
      <c r="H11" s="142"/>
      <c r="I11" s="142"/>
      <c r="J11" s="142"/>
      <c r="K11" s="142"/>
    </row>
    <row r="12" spans="1:11">
      <c r="A12" s="2" t="s">
        <v>132</v>
      </c>
      <c r="B12" s="2" t="s">
        <v>159</v>
      </c>
      <c r="C12" t="s">
        <v>162</v>
      </c>
      <c r="D12" t="s">
        <v>161</v>
      </c>
      <c r="E12" t="s">
        <v>17</v>
      </c>
      <c r="G12" s="2" t="s">
        <v>156</v>
      </c>
      <c r="H12" s="2" t="s">
        <v>79</v>
      </c>
    </row>
    <row r="13" spans="1:11">
      <c r="A13" t="s">
        <v>69</v>
      </c>
      <c r="B13" t="s">
        <v>64</v>
      </c>
      <c r="C13">
        <v>10</v>
      </c>
      <c r="D13">
        <v>1012346</v>
      </c>
      <c r="E13">
        <v>101234.6</v>
      </c>
      <c r="G13" s="2" t="s">
        <v>159</v>
      </c>
      <c r="H13" t="s">
        <v>70</v>
      </c>
      <c r="I13" t="s">
        <v>68</v>
      </c>
      <c r="J13" t="s">
        <v>26</v>
      </c>
      <c r="K13" t="s">
        <v>77</v>
      </c>
    </row>
    <row r="14" spans="1:11">
      <c r="A14" t="s">
        <v>49</v>
      </c>
      <c r="B14" t="s">
        <v>45</v>
      </c>
      <c r="C14">
        <v>23</v>
      </c>
      <c r="D14">
        <v>1940596</v>
      </c>
      <c r="E14">
        <v>84373.739130434784</v>
      </c>
      <c r="G14" s="3" t="s">
        <v>64</v>
      </c>
      <c r="H14">
        <v>74</v>
      </c>
      <c r="I14">
        <v>28</v>
      </c>
      <c r="J14">
        <v>102</v>
      </c>
      <c r="K14">
        <v>204</v>
      </c>
    </row>
    <row r="15" spans="1:11">
      <c r="A15" t="s">
        <v>74</v>
      </c>
      <c r="B15" t="s">
        <v>64</v>
      </c>
      <c r="C15">
        <v>20</v>
      </c>
      <c r="D15">
        <v>443901</v>
      </c>
      <c r="E15">
        <v>22195.05</v>
      </c>
      <c r="G15" s="3" t="s">
        <v>38</v>
      </c>
      <c r="H15">
        <v>30</v>
      </c>
      <c r="I15">
        <v>31</v>
      </c>
      <c r="J15">
        <v>79</v>
      </c>
      <c r="K15">
        <v>140</v>
      </c>
    </row>
    <row r="16" spans="1:11">
      <c r="A16" t="s">
        <v>27</v>
      </c>
      <c r="B16" t="s">
        <v>24</v>
      </c>
      <c r="C16">
        <v>33</v>
      </c>
      <c r="D16">
        <v>3660251</v>
      </c>
      <c r="E16">
        <v>110916.69696969698</v>
      </c>
      <c r="G16" s="3" t="s">
        <v>45</v>
      </c>
      <c r="H16">
        <v>20</v>
      </c>
      <c r="I16">
        <v>29</v>
      </c>
      <c r="J16">
        <v>71</v>
      </c>
      <c r="K16">
        <v>120</v>
      </c>
    </row>
    <row r="17" spans="1:11">
      <c r="A17" t="s">
        <v>40</v>
      </c>
      <c r="B17" t="s">
        <v>38</v>
      </c>
      <c r="C17">
        <v>17</v>
      </c>
      <c r="D17">
        <v>1607152</v>
      </c>
      <c r="E17">
        <v>94538.352941176476</v>
      </c>
      <c r="G17" s="3" t="s">
        <v>32</v>
      </c>
      <c r="H17">
        <v>46</v>
      </c>
      <c r="I17">
        <v>37</v>
      </c>
      <c r="J17">
        <v>77</v>
      </c>
      <c r="K17">
        <v>160</v>
      </c>
    </row>
    <row r="18" spans="1:11">
      <c r="A18" t="s">
        <v>61</v>
      </c>
      <c r="B18" t="s">
        <v>32</v>
      </c>
      <c r="C18">
        <v>28</v>
      </c>
      <c r="D18">
        <v>3442810</v>
      </c>
      <c r="E18">
        <v>122957.5</v>
      </c>
      <c r="G18" s="3" t="s">
        <v>55</v>
      </c>
      <c r="H18">
        <v>12</v>
      </c>
      <c r="I18">
        <v>22</v>
      </c>
      <c r="J18">
        <v>46</v>
      </c>
      <c r="K18">
        <v>80</v>
      </c>
    </row>
    <row r="19" spans="1:11">
      <c r="A19" t="s">
        <v>60</v>
      </c>
      <c r="B19" t="s">
        <v>55</v>
      </c>
      <c r="C19">
        <v>18</v>
      </c>
      <c r="D19">
        <v>1730024</v>
      </c>
      <c r="E19">
        <v>96112.444444444438</v>
      </c>
      <c r="G19" s="3" t="s">
        <v>24</v>
      </c>
      <c r="H19">
        <v>29</v>
      </c>
      <c r="I19">
        <v>55</v>
      </c>
      <c r="J19">
        <v>96</v>
      </c>
      <c r="K19">
        <v>180</v>
      </c>
    </row>
    <row r="20" spans="1:11">
      <c r="A20" t="s">
        <v>56</v>
      </c>
      <c r="B20" t="s">
        <v>55</v>
      </c>
      <c r="C20">
        <v>12</v>
      </c>
      <c r="D20">
        <v>1448821</v>
      </c>
      <c r="E20">
        <v>120735.08333333333</v>
      </c>
      <c r="G20" s="3" t="s">
        <v>50</v>
      </c>
      <c r="H20">
        <v>20</v>
      </c>
      <c r="I20">
        <v>31</v>
      </c>
      <c r="J20">
        <v>49</v>
      </c>
      <c r="K20">
        <v>100</v>
      </c>
    </row>
    <row r="21" spans="1:11">
      <c r="A21" t="s">
        <v>34</v>
      </c>
      <c r="B21" t="s">
        <v>32</v>
      </c>
      <c r="C21">
        <v>19</v>
      </c>
      <c r="D21">
        <v>1942706</v>
      </c>
      <c r="E21">
        <v>102247.68421052632</v>
      </c>
      <c r="G21" s="3" t="s">
        <v>77</v>
      </c>
      <c r="H21">
        <v>231</v>
      </c>
      <c r="I21">
        <v>233</v>
      </c>
      <c r="J21">
        <v>520</v>
      </c>
      <c r="K21">
        <v>984</v>
      </c>
    </row>
    <row r="22" spans="1:11">
      <c r="A22" t="s">
        <v>42</v>
      </c>
      <c r="B22" t="s">
        <v>38</v>
      </c>
      <c r="C22">
        <v>30</v>
      </c>
      <c r="D22">
        <v>2809334</v>
      </c>
      <c r="E22">
        <v>93644.46666666666</v>
      </c>
    </row>
    <row r="23" spans="1:11">
      <c r="A23" t="s">
        <v>65</v>
      </c>
      <c r="B23" t="s">
        <v>64</v>
      </c>
      <c r="C23">
        <v>63</v>
      </c>
      <c r="D23">
        <v>4451847</v>
      </c>
      <c r="E23">
        <v>70664.238095238092</v>
      </c>
    </row>
    <row r="24" spans="1:11">
      <c r="A24" t="s">
        <v>71</v>
      </c>
      <c r="B24" t="s">
        <v>64</v>
      </c>
      <c r="C24">
        <v>22</v>
      </c>
      <c r="D24">
        <v>629687</v>
      </c>
      <c r="E24">
        <v>28622.136363636364</v>
      </c>
    </row>
    <row r="25" spans="1:11">
      <c r="A25" t="s">
        <v>43</v>
      </c>
      <c r="B25" t="s">
        <v>38</v>
      </c>
      <c r="C25">
        <v>23</v>
      </c>
      <c r="D25">
        <v>1747900</v>
      </c>
      <c r="E25">
        <v>75995.65217391304</v>
      </c>
    </row>
    <row r="26" spans="1:11">
      <c r="A26" t="s">
        <v>36</v>
      </c>
      <c r="B26" t="s">
        <v>32</v>
      </c>
      <c r="C26">
        <v>19</v>
      </c>
      <c r="D26">
        <v>1982389</v>
      </c>
      <c r="E26">
        <v>104336.26315789473</v>
      </c>
    </row>
    <row r="27" spans="1:11">
      <c r="A27" t="s">
        <v>72</v>
      </c>
      <c r="B27" t="s">
        <v>64</v>
      </c>
      <c r="C27">
        <v>36</v>
      </c>
      <c r="D27">
        <v>2379541</v>
      </c>
      <c r="E27">
        <v>66098.361111111109</v>
      </c>
    </row>
    <row r="28" spans="1:11">
      <c r="A28" t="s">
        <v>46</v>
      </c>
      <c r="B28" t="s">
        <v>45</v>
      </c>
      <c r="C28">
        <v>26</v>
      </c>
      <c r="D28">
        <v>2802882</v>
      </c>
      <c r="E28">
        <v>107803.15384615384</v>
      </c>
    </row>
    <row r="29" spans="1:11">
      <c r="A29" t="s">
        <v>57</v>
      </c>
      <c r="B29" t="s">
        <v>55</v>
      </c>
      <c r="C29">
        <v>15</v>
      </c>
      <c r="D29">
        <v>2311769</v>
      </c>
      <c r="E29">
        <v>154117.93333333332</v>
      </c>
    </row>
    <row r="30" spans="1:11">
      <c r="A30" t="s">
        <v>67</v>
      </c>
      <c r="B30" t="s">
        <v>64</v>
      </c>
      <c r="C30">
        <v>3</v>
      </c>
      <c r="D30">
        <v>175276</v>
      </c>
      <c r="E30">
        <v>58425.333333333336</v>
      </c>
    </row>
    <row r="31" spans="1:11">
      <c r="A31" t="s">
        <v>39</v>
      </c>
      <c r="B31" t="s">
        <v>38</v>
      </c>
      <c r="C31">
        <v>31</v>
      </c>
      <c r="D31">
        <v>3158749</v>
      </c>
      <c r="E31">
        <v>101895.12903225806</v>
      </c>
    </row>
    <row r="32" spans="1:11">
      <c r="A32" t="s">
        <v>37</v>
      </c>
      <c r="B32" t="s">
        <v>32</v>
      </c>
      <c r="C32">
        <v>23</v>
      </c>
      <c r="D32">
        <v>2505534</v>
      </c>
      <c r="E32">
        <v>108936.26086956522</v>
      </c>
    </row>
    <row r="33" spans="1:5">
      <c r="A33" t="s">
        <v>47</v>
      </c>
      <c r="B33" t="s">
        <v>45</v>
      </c>
      <c r="C33">
        <v>23</v>
      </c>
      <c r="D33">
        <v>1985443</v>
      </c>
      <c r="E33">
        <v>86323.608695652176</v>
      </c>
    </row>
    <row r="34" spans="1:5">
      <c r="A34" t="s">
        <v>31</v>
      </c>
      <c r="B34" t="s">
        <v>24</v>
      </c>
      <c r="C34">
        <v>26</v>
      </c>
      <c r="D34">
        <v>2914934</v>
      </c>
      <c r="E34">
        <v>112112.84615384616</v>
      </c>
    </row>
    <row r="35" spans="1:5">
      <c r="A35" t="s">
        <v>53</v>
      </c>
      <c r="B35" t="s">
        <v>50</v>
      </c>
      <c r="C35">
        <v>15</v>
      </c>
      <c r="D35">
        <v>1710070</v>
      </c>
      <c r="E35">
        <v>114004.66666666667</v>
      </c>
    </row>
    <row r="36" spans="1:5">
      <c r="A36" t="s">
        <v>63</v>
      </c>
      <c r="B36" t="s">
        <v>50</v>
      </c>
      <c r="C36">
        <v>19</v>
      </c>
      <c r="D36">
        <v>1822757</v>
      </c>
      <c r="E36">
        <v>95934.578947368427</v>
      </c>
    </row>
    <row r="37" spans="1:5">
      <c r="A37" t="s">
        <v>25</v>
      </c>
      <c r="B37" t="s">
        <v>24</v>
      </c>
      <c r="C37">
        <v>34</v>
      </c>
      <c r="D37">
        <v>3677712</v>
      </c>
      <c r="E37">
        <v>108168</v>
      </c>
    </row>
    <row r="38" spans="1:5">
      <c r="A38" t="s">
        <v>48</v>
      </c>
      <c r="B38" t="s">
        <v>45</v>
      </c>
      <c r="C38">
        <v>30</v>
      </c>
      <c r="D38">
        <v>2684849</v>
      </c>
      <c r="E38">
        <v>89494.96666666666</v>
      </c>
    </row>
    <row r="39" spans="1:5">
      <c r="A39" t="s">
        <v>41</v>
      </c>
      <c r="B39" t="s">
        <v>38</v>
      </c>
      <c r="C39">
        <v>19</v>
      </c>
      <c r="D39">
        <v>1855965</v>
      </c>
      <c r="E39">
        <v>97682.368421052626</v>
      </c>
    </row>
    <row r="40" spans="1:5">
      <c r="A40" t="s">
        <v>59</v>
      </c>
      <c r="B40" t="s">
        <v>55</v>
      </c>
      <c r="C40">
        <v>19</v>
      </c>
      <c r="D40">
        <v>2914679</v>
      </c>
      <c r="E40">
        <v>153404.15789473685</v>
      </c>
    </row>
    <row r="41" spans="1:5">
      <c r="A41" t="s">
        <v>54</v>
      </c>
      <c r="B41" t="s">
        <v>50</v>
      </c>
      <c r="C41">
        <v>21</v>
      </c>
      <c r="D41">
        <v>2914309</v>
      </c>
      <c r="E41">
        <v>138776.61904761905</v>
      </c>
    </row>
    <row r="42" spans="1:5">
      <c r="A42" t="s">
        <v>33</v>
      </c>
      <c r="B42" t="s">
        <v>32</v>
      </c>
      <c r="C42">
        <v>31</v>
      </c>
      <c r="D42">
        <v>2755963</v>
      </c>
      <c r="E42">
        <v>88902.032258064515</v>
      </c>
    </row>
    <row r="43" spans="1:5">
      <c r="A43" t="s">
        <v>28</v>
      </c>
      <c r="B43" t="s">
        <v>24</v>
      </c>
      <c r="C43">
        <v>28</v>
      </c>
      <c r="D43">
        <v>3192347</v>
      </c>
      <c r="E43">
        <v>114012.39285714286</v>
      </c>
    </row>
    <row r="44" spans="1:5">
      <c r="A44" t="s">
        <v>52</v>
      </c>
      <c r="B44" t="s">
        <v>50</v>
      </c>
      <c r="C44">
        <v>22</v>
      </c>
      <c r="D44">
        <v>2217228</v>
      </c>
      <c r="E44">
        <v>100783.09090909091</v>
      </c>
    </row>
    <row r="45" spans="1:5">
      <c r="A45" t="s">
        <v>30</v>
      </c>
      <c r="B45" t="s">
        <v>24</v>
      </c>
      <c r="C45">
        <v>32</v>
      </c>
      <c r="D45">
        <v>3856354</v>
      </c>
      <c r="E45">
        <v>120511.0625</v>
      </c>
    </row>
    <row r="46" spans="1:5">
      <c r="A46" t="s">
        <v>44</v>
      </c>
      <c r="B46" t="s">
        <v>38</v>
      </c>
      <c r="C46">
        <v>20</v>
      </c>
      <c r="D46">
        <v>1914967</v>
      </c>
      <c r="E46">
        <v>95748.35</v>
      </c>
    </row>
    <row r="47" spans="1:5">
      <c r="A47" t="s">
        <v>58</v>
      </c>
      <c r="B47" t="s">
        <v>55</v>
      </c>
      <c r="C47">
        <v>16</v>
      </c>
      <c r="D47">
        <v>1394457</v>
      </c>
      <c r="E47">
        <v>87153.5625</v>
      </c>
    </row>
    <row r="48" spans="1:5">
      <c r="A48" t="s">
        <v>35</v>
      </c>
      <c r="B48" t="s">
        <v>32</v>
      </c>
      <c r="C48">
        <v>40</v>
      </c>
      <c r="D48">
        <v>5495194</v>
      </c>
      <c r="E48">
        <v>137379.85</v>
      </c>
    </row>
    <row r="49" spans="1:5">
      <c r="A49" t="s">
        <v>51</v>
      </c>
      <c r="B49" t="s">
        <v>50</v>
      </c>
      <c r="C49">
        <v>23</v>
      </c>
      <c r="D49">
        <v>1825146</v>
      </c>
      <c r="E49">
        <v>79354.173913043473</v>
      </c>
    </row>
    <row r="50" spans="1:5">
      <c r="A50" t="s">
        <v>73</v>
      </c>
      <c r="B50" t="s">
        <v>64</v>
      </c>
      <c r="C50">
        <v>27</v>
      </c>
      <c r="D50">
        <v>2444394</v>
      </c>
      <c r="E50">
        <v>90533.111111111109</v>
      </c>
    </row>
    <row r="51" spans="1:5">
      <c r="A51" t="s">
        <v>62</v>
      </c>
      <c r="B51" t="s">
        <v>45</v>
      </c>
      <c r="C51">
        <v>18</v>
      </c>
      <c r="D51">
        <v>2230523</v>
      </c>
      <c r="E51">
        <v>123917.94444444444</v>
      </c>
    </row>
    <row r="52" spans="1:5">
      <c r="A52" t="s">
        <v>29</v>
      </c>
      <c r="B52" t="s">
        <v>24</v>
      </c>
      <c r="C52">
        <v>27</v>
      </c>
      <c r="D52">
        <v>2891765</v>
      </c>
      <c r="E52">
        <v>107102.4074074074</v>
      </c>
    </row>
    <row r="53" spans="1:5">
      <c r="A53" t="s">
        <v>66</v>
      </c>
      <c r="B53" t="s">
        <v>64</v>
      </c>
      <c r="C53">
        <v>23</v>
      </c>
      <c r="D53">
        <v>725714</v>
      </c>
      <c r="E53">
        <v>31552.782608695652</v>
      </c>
    </row>
    <row r="54" spans="1:5">
      <c r="A54" t="s">
        <v>77</v>
      </c>
      <c r="C54">
        <v>984</v>
      </c>
      <c r="D54">
        <v>95608285</v>
      </c>
      <c r="E54">
        <v>97162.891260162607</v>
      </c>
    </row>
  </sheetData>
  <mergeCells count="3">
    <mergeCell ref="G11:K11"/>
    <mergeCell ref="A11:E11"/>
    <mergeCell ref="A1:K1"/>
  </mergeCells>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6E229-CDE2-4D4E-A36E-78488886CB44}">
  <sheetPr codeName="Sheet5"/>
  <dimension ref="A1:J48"/>
  <sheetViews>
    <sheetView workbookViewId="0">
      <selection sqref="A1:J1"/>
    </sheetView>
  </sheetViews>
  <sheetFormatPr defaultRowHeight="14.4"/>
  <cols>
    <col min="1" max="1" width="14.77734375" customWidth="1"/>
    <col min="2" max="2" width="19.6640625" customWidth="1"/>
    <col min="3" max="3" width="16.33203125" customWidth="1"/>
    <col min="4" max="4" width="17.44140625" bestFit="1" customWidth="1"/>
    <col min="5" max="6" width="16.77734375" bestFit="1" customWidth="1"/>
    <col min="7" max="7" width="12.88671875" customWidth="1"/>
    <col min="8" max="8" width="14.109375" customWidth="1"/>
    <col min="9" max="9" width="19.44140625" bestFit="1" customWidth="1"/>
    <col min="10" max="10" width="18.109375" bestFit="1" customWidth="1"/>
    <col min="13" max="13" width="13.6640625" customWidth="1"/>
    <col min="14" max="14" width="14.88671875" customWidth="1"/>
  </cols>
  <sheetData>
    <row r="1" spans="1:10" ht="30" customHeight="1" thickBot="1">
      <c r="A1" s="94" t="s">
        <v>253</v>
      </c>
      <c r="B1" s="95"/>
      <c r="C1" s="95"/>
      <c r="D1" s="95"/>
      <c r="E1" s="95"/>
      <c r="F1" s="95"/>
      <c r="G1" s="95"/>
      <c r="H1" s="95"/>
      <c r="I1" s="95"/>
      <c r="J1" s="95"/>
    </row>
    <row r="2" spans="1:10" ht="16.2" thickBot="1">
      <c r="A2" s="145" t="s">
        <v>163</v>
      </c>
      <c r="B2" s="143"/>
      <c r="C2" s="144"/>
      <c r="D2" s="146" t="s">
        <v>220</v>
      </c>
      <c r="E2" s="146"/>
      <c r="F2" s="146"/>
      <c r="G2" s="146"/>
      <c r="H2" s="145" t="s">
        <v>254</v>
      </c>
      <c r="I2" s="143"/>
      <c r="J2" s="144"/>
    </row>
    <row r="3" spans="1:10">
      <c r="A3" s="31" t="s">
        <v>76</v>
      </c>
      <c r="B3" s="32" t="s">
        <v>165</v>
      </c>
      <c r="C3" s="33" t="s">
        <v>19</v>
      </c>
      <c r="H3" s="30" t="s">
        <v>142</v>
      </c>
      <c r="I3" s="2" t="s">
        <v>155</v>
      </c>
      <c r="J3" s="25" t="s">
        <v>20</v>
      </c>
    </row>
    <row r="4" spans="1:10">
      <c r="A4" s="44" t="s">
        <v>69</v>
      </c>
      <c r="B4" s="4">
        <v>1</v>
      </c>
      <c r="C4" s="45"/>
      <c r="H4" s="24" t="s">
        <v>64</v>
      </c>
      <c r="I4" t="s">
        <v>69</v>
      </c>
      <c r="J4" s="25">
        <v>101234.6</v>
      </c>
    </row>
    <row r="5" spans="1:10">
      <c r="A5" s="44" t="s">
        <v>49</v>
      </c>
      <c r="B5" s="4">
        <v>0.58333333333333337</v>
      </c>
      <c r="C5" s="45">
        <v>0.3125</v>
      </c>
      <c r="H5" s="24"/>
      <c r="I5" t="s">
        <v>74</v>
      </c>
      <c r="J5" s="25">
        <v>22195.05</v>
      </c>
    </row>
    <row r="6" spans="1:10">
      <c r="A6" s="44" t="s">
        <v>74</v>
      </c>
      <c r="B6" s="4">
        <v>0.69585253456221197</v>
      </c>
      <c r="C6" s="45">
        <v>0.29347826086956524</v>
      </c>
      <c r="H6" s="24"/>
      <c r="I6" t="s">
        <v>65</v>
      </c>
      <c r="J6" s="25">
        <v>70664.238095238092</v>
      </c>
    </row>
    <row r="7" spans="1:10">
      <c r="A7" s="44" t="s">
        <v>27</v>
      </c>
      <c r="B7" s="4">
        <v>0.46153846153846156</v>
      </c>
      <c r="C7" s="45">
        <v>0.2608695652173913</v>
      </c>
      <c r="H7" s="24"/>
      <c r="I7" t="s">
        <v>71</v>
      </c>
      <c r="J7" s="25">
        <v>28622.136363636364</v>
      </c>
    </row>
    <row r="8" spans="1:10">
      <c r="A8" s="44" t="s">
        <v>40</v>
      </c>
      <c r="B8" s="4">
        <v>0.5161290322580645</v>
      </c>
      <c r="C8" s="45">
        <v>0.36842105263157893</v>
      </c>
      <c r="H8" s="24"/>
      <c r="I8" t="s">
        <v>72</v>
      </c>
      <c r="J8" s="25">
        <v>66098.361111111109</v>
      </c>
    </row>
    <row r="9" spans="1:10">
      <c r="A9" s="44" t="s">
        <v>61</v>
      </c>
      <c r="B9" s="4">
        <v>0.39285714285714285</v>
      </c>
      <c r="C9" s="45">
        <v>0.29411764705882354</v>
      </c>
      <c r="H9" s="24"/>
      <c r="I9" t="s">
        <v>67</v>
      </c>
      <c r="J9" s="25">
        <v>58425.333333333336</v>
      </c>
    </row>
    <row r="10" spans="1:10">
      <c r="A10" s="44" t="s">
        <v>60</v>
      </c>
      <c r="B10" s="4">
        <v>0.6</v>
      </c>
      <c r="C10" s="45">
        <v>0.2857142857142857</v>
      </c>
      <c r="H10" s="24"/>
      <c r="I10" t="s">
        <v>73</v>
      </c>
      <c r="J10" s="25">
        <v>90533.111111111109</v>
      </c>
    </row>
    <row r="11" spans="1:10">
      <c r="A11" s="44" t="s">
        <v>56</v>
      </c>
      <c r="B11" s="4">
        <v>0.59090909090909094</v>
      </c>
      <c r="C11" s="45">
        <v>0.5</v>
      </c>
      <c r="H11" s="24"/>
      <c r="I11" t="s">
        <v>66</v>
      </c>
      <c r="J11" s="25">
        <v>31552.782608695652</v>
      </c>
    </row>
    <row r="12" spans="1:10">
      <c r="A12" s="44" t="s">
        <v>34</v>
      </c>
      <c r="B12" s="4">
        <v>0.48275862068965519</v>
      </c>
      <c r="C12" s="45">
        <v>0.35294117647058826</v>
      </c>
      <c r="H12" s="24" t="s">
        <v>38</v>
      </c>
      <c r="I12" t="s">
        <v>40</v>
      </c>
      <c r="J12" s="25">
        <v>107143.46666666666</v>
      </c>
    </row>
    <row r="13" spans="1:10" ht="15" thickBot="1">
      <c r="A13" s="44" t="s">
        <v>42</v>
      </c>
      <c r="B13" s="4">
        <v>0.51515151515151514</v>
      </c>
      <c r="C13" s="45">
        <v>0.42857142857142855</v>
      </c>
      <c r="H13" s="24"/>
      <c r="I13" t="s">
        <v>42</v>
      </c>
      <c r="J13" s="25">
        <v>112373.36</v>
      </c>
    </row>
    <row r="14" spans="1:10" ht="16.2" thickBot="1">
      <c r="A14" s="44" t="s">
        <v>65</v>
      </c>
      <c r="B14" s="4">
        <v>0.1111111111111111</v>
      </c>
      <c r="C14" s="45">
        <v>0.1111111111111111</v>
      </c>
      <c r="D14" s="143" t="s">
        <v>255</v>
      </c>
      <c r="E14" s="144"/>
      <c r="H14" s="24"/>
      <c r="I14" t="s">
        <v>43</v>
      </c>
      <c r="J14" s="25">
        <v>97105.555555555562</v>
      </c>
    </row>
    <row r="15" spans="1:10" ht="15" thickBot="1">
      <c r="A15" s="44" t="s">
        <v>71</v>
      </c>
      <c r="B15" s="4">
        <v>0.9285714285714286</v>
      </c>
      <c r="C15" s="45"/>
      <c r="D15" s="88" t="s">
        <v>76</v>
      </c>
      <c r="E15" s="40" t="s">
        <v>169</v>
      </c>
      <c r="H15" s="24"/>
      <c r="I15" t="s">
        <v>39</v>
      </c>
      <c r="J15" s="25">
        <v>116990.70370370371</v>
      </c>
    </row>
    <row r="16" spans="1:10">
      <c r="A16" s="44" t="s">
        <v>43</v>
      </c>
      <c r="B16" s="4">
        <v>0.47058823529411764</v>
      </c>
      <c r="C16" s="45">
        <v>0.75</v>
      </c>
      <c r="D16" s="89" t="s">
        <v>80</v>
      </c>
      <c r="E16" s="85">
        <v>0.1899566444477066</v>
      </c>
      <c r="H16" s="24"/>
      <c r="I16" t="s">
        <v>41</v>
      </c>
      <c r="J16" s="25">
        <v>103109.16666666667</v>
      </c>
    </row>
    <row r="17" spans="1:10">
      <c r="A17" s="44" t="s">
        <v>36</v>
      </c>
      <c r="B17" s="4">
        <v>0.67741935483870963</v>
      </c>
      <c r="C17" s="45">
        <v>0.2857142857142857</v>
      </c>
      <c r="D17" s="90" t="s">
        <v>81</v>
      </c>
      <c r="E17" s="86">
        <v>0.29135881895590954</v>
      </c>
      <c r="H17" s="24"/>
      <c r="I17" t="s">
        <v>44</v>
      </c>
      <c r="J17" s="25">
        <v>112645.11764705883</v>
      </c>
    </row>
    <row r="18" spans="1:10">
      <c r="A18" s="44" t="s">
        <v>72</v>
      </c>
      <c r="B18" s="4">
        <v>0.76923076923076927</v>
      </c>
      <c r="C18" s="45">
        <v>0.5</v>
      </c>
      <c r="D18" s="90" t="s">
        <v>82</v>
      </c>
      <c r="E18" s="86">
        <v>0.19099219277910906</v>
      </c>
      <c r="H18" s="24" t="s">
        <v>45</v>
      </c>
      <c r="I18" t="s">
        <v>49</v>
      </c>
      <c r="J18" s="25">
        <v>92409.333333333328</v>
      </c>
    </row>
    <row r="19" spans="1:10">
      <c r="A19" s="44" t="s">
        <v>46</v>
      </c>
      <c r="B19" s="4">
        <v>0.53333333333333333</v>
      </c>
      <c r="C19" s="45">
        <v>0.4</v>
      </c>
      <c r="D19" s="90" t="s">
        <v>83</v>
      </c>
      <c r="E19" s="86">
        <v>0.19943247596168051</v>
      </c>
      <c r="H19" s="24"/>
      <c r="I19" t="s">
        <v>46</v>
      </c>
      <c r="J19" s="25">
        <v>140144.1</v>
      </c>
    </row>
    <row r="20" spans="1:10" ht="15" thickBot="1">
      <c r="A20" s="44" t="s">
        <v>57</v>
      </c>
      <c r="B20" s="4">
        <v>0.55555555555555558</v>
      </c>
      <c r="C20" s="45">
        <v>0.45454545454545453</v>
      </c>
      <c r="D20" s="91" t="s">
        <v>170</v>
      </c>
      <c r="E20" s="86">
        <v>0.12825986785559432</v>
      </c>
      <c r="H20" s="24"/>
      <c r="I20" t="s">
        <v>47</v>
      </c>
      <c r="J20" s="25">
        <v>104497</v>
      </c>
    </row>
    <row r="21" spans="1:10" ht="15" thickBot="1">
      <c r="A21" s="44" t="s">
        <v>144</v>
      </c>
      <c r="B21" s="4">
        <v>0.9</v>
      </c>
      <c r="C21" s="45">
        <v>0.16666666666666666</v>
      </c>
      <c r="D21" s="92" t="s">
        <v>77</v>
      </c>
      <c r="E21" s="87">
        <v>1</v>
      </c>
      <c r="H21" s="24"/>
      <c r="I21" t="s">
        <v>48</v>
      </c>
      <c r="J21" s="25">
        <v>107393.96</v>
      </c>
    </row>
    <row r="22" spans="1:10">
      <c r="A22" s="44" t="s">
        <v>67</v>
      </c>
      <c r="B22" s="4">
        <v>0.60465116279069764</v>
      </c>
      <c r="C22" s="45">
        <v>0.15476190476190477</v>
      </c>
      <c r="H22" s="24"/>
      <c r="I22" t="s">
        <v>62</v>
      </c>
      <c r="J22" s="25">
        <v>131207.23529411765</v>
      </c>
    </row>
    <row r="23" spans="1:10">
      <c r="A23" s="44" t="s">
        <v>39</v>
      </c>
      <c r="B23" s="4">
        <v>0.53846153846153844</v>
      </c>
      <c r="C23" s="45">
        <v>0.35714285714285715</v>
      </c>
      <c r="H23" s="24" t="s">
        <v>32</v>
      </c>
      <c r="I23" t="s">
        <v>61</v>
      </c>
      <c r="J23" s="25">
        <v>156491.36363636365</v>
      </c>
    </row>
    <row r="24" spans="1:10" ht="15" thickBot="1">
      <c r="A24" s="44" t="s">
        <v>37</v>
      </c>
      <c r="B24" s="4">
        <v>0.6071428571428571</v>
      </c>
      <c r="C24" s="45">
        <v>0.31578947368421051</v>
      </c>
      <c r="H24" s="24"/>
      <c r="I24" t="s">
        <v>34</v>
      </c>
      <c r="J24" s="25">
        <v>121419.125</v>
      </c>
    </row>
    <row r="25" spans="1:10" ht="16.2" thickBot="1">
      <c r="A25" s="44" t="s">
        <v>47</v>
      </c>
      <c r="B25" s="4">
        <v>0.4358974358974359</v>
      </c>
      <c r="C25" s="45">
        <v>0.31578947368421051</v>
      </c>
      <c r="D25" s="143" t="s">
        <v>256</v>
      </c>
      <c r="E25" s="144"/>
      <c r="H25" s="24"/>
      <c r="I25" t="s">
        <v>36</v>
      </c>
      <c r="J25" s="25">
        <v>110132.72222222222</v>
      </c>
    </row>
    <row r="26" spans="1:10" ht="15" thickBot="1">
      <c r="A26" s="44" t="s">
        <v>31</v>
      </c>
      <c r="B26" s="4">
        <v>0.51515151515151514</v>
      </c>
      <c r="C26" s="45">
        <v>0.15</v>
      </c>
      <c r="D26" s="88" t="s">
        <v>167</v>
      </c>
      <c r="E26" s="40" t="s">
        <v>168</v>
      </c>
      <c r="H26" s="24"/>
      <c r="I26" t="s">
        <v>37</v>
      </c>
      <c r="J26" s="25">
        <v>125276.7</v>
      </c>
    </row>
    <row r="27" spans="1:10">
      <c r="A27" s="44" t="s">
        <v>53</v>
      </c>
      <c r="B27" s="4">
        <v>0.66666666666666663</v>
      </c>
      <c r="C27" s="45">
        <v>0.36363636363636365</v>
      </c>
      <c r="D27" s="89" t="s">
        <v>84</v>
      </c>
      <c r="E27" s="82">
        <v>3.0199171546691796E-2</v>
      </c>
      <c r="H27" s="24"/>
      <c r="I27" t="s">
        <v>33</v>
      </c>
      <c r="J27" s="25">
        <v>114831.79166666667</v>
      </c>
    </row>
    <row r="28" spans="1:10">
      <c r="A28" s="44" t="s">
        <v>63</v>
      </c>
      <c r="B28" s="4">
        <v>0.52380952380952384</v>
      </c>
      <c r="C28" s="45">
        <v>0.27272727272727271</v>
      </c>
      <c r="D28" s="90" t="s">
        <v>85</v>
      </c>
      <c r="E28" s="83">
        <v>4.1807506535652218E-2</v>
      </c>
      <c r="H28" s="24"/>
      <c r="I28" t="s">
        <v>35</v>
      </c>
      <c r="J28" s="25">
        <v>152644.27777777778</v>
      </c>
    </row>
    <row r="29" spans="1:10">
      <c r="A29" s="44" t="s">
        <v>25</v>
      </c>
      <c r="B29" s="4">
        <v>0.32258064516129031</v>
      </c>
      <c r="C29" s="45">
        <v>0.375</v>
      </c>
      <c r="D29" s="90" t="s">
        <v>86</v>
      </c>
      <c r="E29" s="83">
        <v>3.892721221806248E-2</v>
      </c>
      <c r="H29" s="24" t="s">
        <v>55</v>
      </c>
      <c r="I29" t="s">
        <v>60</v>
      </c>
      <c r="J29" s="25">
        <v>115334.93333333333</v>
      </c>
    </row>
    <row r="30" spans="1:10">
      <c r="A30" s="44" t="s">
        <v>48</v>
      </c>
      <c r="B30" s="4">
        <v>0.56000000000000005</v>
      </c>
      <c r="C30" s="45">
        <v>0.15384615384615385</v>
      </c>
      <c r="D30" s="90" t="s">
        <v>87</v>
      </c>
      <c r="E30" s="83">
        <v>3.7687999528492742E-2</v>
      </c>
      <c r="H30" s="24"/>
      <c r="I30" t="s">
        <v>56</v>
      </c>
      <c r="J30" s="25">
        <v>131711</v>
      </c>
    </row>
    <row r="31" spans="1:10">
      <c r="A31" s="44" t="s">
        <v>41</v>
      </c>
      <c r="B31" s="4">
        <v>0.6428571428571429</v>
      </c>
      <c r="C31" s="45">
        <v>0.2</v>
      </c>
      <c r="D31" s="90" t="s">
        <v>88</v>
      </c>
      <c r="E31" s="83">
        <v>5.7496241042290425E-2</v>
      </c>
      <c r="H31" s="24"/>
      <c r="I31" t="s">
        <v>57</v>
      </c>
      <c r="J31" s="25">
        <v>154117.93333333332</v>
      </c>
    </row>
    <row r="32" spans="1:10">
      <c r="A32" s="44" t="s">
        <v>146</v>
      </c>
      <c r="B32" s="4">
        <v>0.92500000000000004</v>
      </c>
      <c r="C32" s="45">
        <v>0.1111111111111111</v>
      </c>
      <c r="D32" s="90" t="s">
        <v>89</v>
      </c>
      <c r="E32" s="83">
        <v>1.5181299403079974E-2</v>
      </c>
      <c r="H32" s="24"/>
      <c r="I32" t="s">
        <v>59</v>
      </c>
      <c r="J32" s="25">
        <v>161926.61111111112</v>
      </c>
    </row>
    <row r="33" spans="1:10">
      <c r="A33" s="44" t="s">
        <v>59</v>
      </c>
      <c r="B33" s="4">
        <v>0.4</v>
      </c>
      <c r="C33" s="45">
        <v>0.25</v>
      </c>
      <c r="D33" s="90" t="s">
        <v>90</v>
      </c>
      <c r="E33" s="83">
        <v>4.9990280654024909E-2</v>
      </c>
      <c r="H33" s="24"/>
      <c r="I33" t="s">
        <v>58</v>
      </c>
      <c r="J33" s="25">
        <v>92963.8</v>
      </c>
    </row>
    <row r="34" spans="1:10">
      <c r="A34" s="44" t="s">
        <v>54</v>
      </c>
      <c r="B34" s="4">
        <v>0.6</v>
      </c>
      <c r="C34" s="45">
        <v>0.45454545454545453</v>
      </c>
      <c r="D34" s="90" t="s">
        <v>91</v>
      </c>
      <c r="E34" s="83">
        <v>1.5375937346852315E-2</v>
      </c>
      <c r="H34" s="24" t="s">
        <v>24</v>
      </c>
      <c r="I34" t="s">
        <v>27</v>
      </c>
      <c r="J34" s="25">
        <v>135564.85185185185</v>
      </c>
    </row>
    <row r="35" spans="1:10">
      <c r="A35" s="44" t="s">
        <v>33</v>
      </c>
      <c r="B35" s="4">
        <v>0.61764705882352944</v>
      </c>
      <c r="C35" s="45">
        <v>0.42857142857142855</v>
      </c>
      <c r="D35" s="90" t="s">
        <v>92</v>
      </c>
      <c r="E35" s="83">
        <v>6.8916464718512621E-2</v>
      </c>
      <c r="H35" s="24"/>
      <c r="I35" t="s">
        <v>31</v>
      </c>
      <c r="J35" s="25">
        <v>116597.36</v>
      </c>
    </row>
    <row r="36" spans="1:10">
      <c r="A36" s="44" t="s">
        <v>28</v>
      </c>
      <c r="B36" s="4">
        <v>0.58064516129032262</v>
      </c>
      <c r="C36" s="45">
        <v>0.23809523809523808</v>
      </c>
      <c r="D36" s="90" t="s">
        <v>93</v>
      </c>
      <c r="E36" s="83">
        <v>4.4016833896769511E-2</v>
      </c>
      <c r="H36" s="24"/>
      <c r="I36" t="s">
        <v>25</v>
      </c>
      <c r="J36" s="25">
        <v>131346.85714285713</v>
      </c>
    </row>
    <row r="37" spans="1:10">
      <c r="A37" s="44" t="s">
        <v>52</v>
      </c>
      <c r="B37" s="4">
        <v>0.56521739130434778</v>
      </c>
      <c r="C37" s="45">
        <v>0.2</v>
      </c>
      <c r="D37" s="90" t="s">
        <v>94</v>
      </c>
      <c r="E37" s="83">
        <v>2.8920621262059035E-2</v>
      </c>
      <c r="H37" s="24"/>
      <c r="I37" t="s">
        <v>28</v>
      </c>
      <c r="J37" s="25">
        <v>152016.52380952382</v>
      </c>
    </row>
    <row r="38" spans="1:10">
      <c r="A38" s="44" t="s">
        <v>30</v>
      </c>
      <c r="B38" s="4">
        <v>0.41176470588235292</v>
      </c>
      <c r="C38" s="45">
        <v>0.6</v>
      </c>
      <c r="D38" s="90" t="s">
        <v>95</v>
      </c>
      <c r="E38" s="83">
        <v>4.0621563288160648E-2</v>
      </c>
      <c r="H38" s="24"/>
      <c r="I38" t="s">
        <v>30</v>
      </c>
      <c r="J38" s="25">
        <v>137726.92857142858</v>
      </c>
    </row>
    <row r="39" spans="1:10">
      <c r="A39" s="44" t="s">
        <v>127</v>
      </c>
      <c r="B39" s="4">
        <v>0.43478260869565216</v>
      </c>
      <c r="C39" s="45">
        <v>4.7619047619047616E-2</v>
      </c>
      <c r="D39" s="90" t="s">
        <v>96</v>
      </c>
      <c r="E39" s="83">
        <v>4.5774537217145986E-2</v>
      </c>
      <c r="H39" s="24"/>
      <c r="I39" t="s">
        <v>29</v>
      </c>
      <c r="J39" s="25">
        <v>152198.15789473685</v>
      </c>
    </row>
    <row r="40" spans="1:10">
      <c r="A40" s="44" t="s">
        <v>44</v>
      </c>
      <c r="B40" s="4">
        <v>0.44</v>
      </c>
      <c r="C40" s="45">
        <v>0.23076923076923078</v>
      </c>
      <c r="D40" s="90" t="s">
        <v>97</v>
      </c>
      <c r="E40" s="83">
        <v>5.4875882356848052E-2</v>
      </c>
      <c r="H40" s="24" t="s">
        <v>50</v>
      </c>
      <c r="I40" t="s">
        <v>53</v>
      </c>
      <c r="J40" s="25">
        <v>122147.85714285714</v>
      </c>
    </row>
    <row r="41" spans="1:10">
      <c r="A41" s="44" t="s">
        <v>58</v>
      </c>
      <c r="B41" s="4">
        <v>0.52</v>
      </c>
      <c r="C41" s="45">
        <v>0.5</v>
      </c>
      <c r="D41" s="90" t="s">
        <v>98</v>
      </c>
      <c r="E41" s="83">
        <v>4.1383359193191256E-2</v>
      </c>
      <c r="H41" s="24"/>
      <c r="I41" t="s">
        <v>63</v>
      </c>
      <c r="J41" s="25">
        <v>121517.13333333333</v>
      </c>
    </row>
    <row r="42" spans="1:10">
      <c r="A42" s="44" t="s">
        <v>35</v>
      </c>
      <c r="B42" s="4">
        <v>0.6</v>
      </c>
      <c r="C42" s="45">
        <v>0.31578947368421051</v>
      </c>
      <c r="D42" s="90" t="s">
        <v>99</v>
      </c>
      <c r="E42" s="83">
        <v>3.6932186368576737E-2</v>
      </c>
      <c r="H42" s="24"/>
      <c r="I42" t="s">
        <v>54</v>
      </c>
      <c r="J42" s="25">
        <v>138776.61904761905</v>
      </c>
    </row>
    <row r="43" spans="1:10">
      <c r="A43" s="44" t="s">
        <v>51</v>
      </c>
      <c r="B43" s="4">
        <v>0.41666666666666669</v>
      </c>
      <c r="C43" s="45">
        <v>0.58333333333333337</v>
      </c>
      <c r="D43" s="90" t="s">
        <v>100</v>
      </c>
      <c r="E43" s="83">
        <v>4.7291236319111883E-2</v>
      </c>
      <c r="H43" s="24"/>
      <c r="I43" t="s">
        <v>52</v>
      </c>
      <c r="J43" s="25">
        <v>116696.21052631579</v>
      </c>
    </row>
    <row r="44" spans="1:10">
      <c r="A44" s="44" t="s">
        <v>73</v>
      </c>
      <c r="B44" s="4">
        <v>0.6875</v>
      </c>
      <c r="C44" s="45">
        <v>0.36363636363636365</v>
      </c>
      <c r="D44" s="90" t="s">
        <v>101</v>
      </c>
      <c r="E44" s="83">
        <v>5.0456453643112624E-2</v>
      </c>
      <c r="H44" s="24"/>
      <c r="I44" t="s">
        <v>51</v>
      </c>
      <c r="J44" s="25">
        <v>82961.181818181823</v>
      </c>
    </row>
    <row r="45" spans="1:10" ht="15" thickBot="1">
      <c r="A45" s="44" t="s">
        <v>62</v>
      </c>
      <c r="B45" s="4">
        <v>0.5</v>
      </c>
      <c r="C45" s="45">
        <v>0.30769230769230771</v>
      </c>
      <c r="D45" s="90" t="s">
        <v>102</v>
      </c>
      <c r="E45" s="83">
        <v>7.3358809856279711E-2</v>
      </c>
      <c r="H45" s="26" t="s">
        <v>77</v>
      </c>
      <c r="I45" s="27"/>
      <c r="J45" s="29">
        <v>197537.77892561984</v>
      </c>
    </row>
    <row r="46" spans="1:10">
      <c r="A46" s="44" t="s">
        <v>29</v>
      </c>
      <c r="B46" s="4">
        <v>0.5625</v>
      </c>
      <c r="C46" s="45">
        <v>0.44444444444444442</v>
      </c>
      <c r="D46" s="90" t="s">
        <v>103</v>
      </c>
      <c r="E46" s="83">
        <v>5.2526535749490746E-2</v>
      </c>
    </row>
    <row r="47" spans="1:10" ht="15" thickBot="1">
      <c r="A47" s="44" t="s">
        <v>66</v>
      </c>
      <c r="B47" s="4">
        <v>0.82722513089005234</v>
      </c>
      <c r="C47" s="45">
        <v>0.2831858407079646</v>
      </c>
      <c r="D47" s="91" t="s">
        <v>170</v>
      </c>
      <c r="E47" s="83">
        <v>0.12825986785559432</v>
      </c>
    </row>
    <row r="48" spans="1:10" ht="15" thickBot="1">
      <c r="A48" s="46" t="s">
        <v>77</v>
      </c>
      <c r="B48" s="93">
        <v>0.64199561403508776</v>
      </c>
      <c r="C48" s="48">
        <v>0.29766949152542371</v>
      </c>
      <c r="D48" s="92" t="s">
        <v>77</v>
      </c>
      <c r="E48" s="84">
        <v>1</v>
      </c>
    </row>
  </sheetData>
  <mergeCells count="6">
    <mergeCell ref="D14:E14"/>
    <mergeCell ref="D25:E25"/>
    <mergeCell ref="A2:C2"/>
    <mergeCell ref="A1:J1"/>
    <mergeCell ref="D2:G2"/>
    <mergeCell ref="H2:J2"/>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FB607-6D73-4727-AA45-456AB2B4B135}">
  <sheetPr codeName="Sheet6"/>
  <dimension ref="A1:F69"/>
  <sheetViews>
    <sheetView workbookViewId="0">
      <selection sqref="A1:F1"/>
    </sheetView>
  </sheetViews>
  <sheetFormatPr defaultRowHeight="14.4"/>
  <cols>
    <col min="1" max="1" width="13.6640625" bestFit="1" customWidth="1"/>
    <col min="2" max="2" width="20.33203125" bestFit="1" customWidth="1"/>
    <col min="3" max="3" width="20.33203125" customWidth="1"/>
    <col min="4" max="4" width="23" bestFit="1" customWidth="1"/>
    <col min="5" max="5" width="23.5546875" bestFit="1" customWidth="1"/>
    <col min="6" max="6" width="27.6640625" bestFit="1" customWidth="1"/>
    <col min="7" max="7" width="27.6640625" customWidth="1"/>
  </cols>
  <sheetData>
    <row r="1" spans="1:6" ht="30.6" customHeight="1" thickBot="1">
      <c r="A1" s="147" t="s">
        <v>222</v>
      </c>
      <c r="B1" s="148"/>
      <c r="C1" s="148"/>
      <c r="D1" s="148"/>
      <c r="E1" s="148"/>
      <c r="F1" s="149"/>
    </row>
    <row r="2" spans="1:6" ht="15" thickBot="1">
      <c r="A2" s="36" t="s">
        <v>76</v>
      </c>
      <c r="B2" s="41" t="s">
        <v>21</v>
      </c>
      <c r="C2" s="42" t="s">
        <v>171</v>
      </c>
      <c r="D2" s="42" t="s">
        <v>13</v>
      </c>
      <c r="E2" s="42" t="s">
        <v>15</v>
      </c>
      <c r="F2" s="43" t="s">
        <v>22</v>
      </c>
    </row>
    <row r="3" spans="1:6" ht="15" thickBot="1">
      <c r="A3" s="50" t="s">
        <v>64</v>
      </c>
      <c r="B3" s="34"/>
      <c r="C3" s="32"/>
      <c r="D3" s="35"/>
      <c r="E3" s="32"/>
      <c r="F3" s="49"/>
    </row>
    <row r="4" spans="1:6">
      <c r="A4" s="51" t="s">
        <v>69</v>
      </c>
      <c r="B4" s="24">
        <v>1547902</v>
      </c>
      <c r="C4" s="7">
        <v>959059.87</v>
      </c>
      <c r="D4" s="6"/>
      <c r="E4" s="14">
        <v>7</v>
      </c>
      <c r="F4" s="45">
        <v>2.8540988898748648E-2</v>
      </c>
    </row>
    <row r="5" spans="1:6">
      <c r="A5" s="52" t="s">
        <v>74</v>
      </c>
      <c r="B5" s="24">
        <v>13656223</v>
      </c>
      <c r="C5" s="7">
        <v>7061653.3200000003</v>
      </c>
      <c r="D5" s="6">
        <v>0.2857142857142857</v>
      </c>
      <c r="E5" s="14">
        <v>4</v>
      </c>
      <c r="F5" s="45">
        <v>0.21015014319484721</v>
      </c>
    </row>
    <row r="6" spans="1:6">
      <c r="A6" s="52" t="s">
        <v>65</v>
      </c>
      <c r="B6" s="24">
        <v>2510000</v>
      </c>
      <c r="C6" s="7">
        <v>386738.25</v>
      </c>
      <c r="D6" s="6"/>
      <c r="E6" s="14">
        <v>3</v>
      </c>
      <c r="F6" s="45">
        <v>1.1509075132057688E-2</v>
      </c>
    </row>
    <row r="7" spans="1:6">
      <c r="A7" s="52" t="s">
        <v>71</v>
      </c>
      <c r="B7" s="24">
        <v>5500000</v>
      </c>
      <c r="C7" s="7">
        <v>300132.44</v>
      </c>
      <c r="D7" s="6"/>
      <c r="E7" s="14"/>
      <c r="F7" s="45">
        <v>8.9317433730120993E-3</v>
      </c>
    </row>
    <row r="8" spans="1:6">
      <c r="A8" s="52" t="s">
        <v>72</v>
      </c>
      <c r="B8" s="24">
        <v>2250000</v>
      </c>
      <c r="C8" s="7">
        <v>1140987.3</v>
      </c>
      <c r="D8" s="6">
        <v>0.18181818181818182</v>
      </c>
      <c r="E8" s="14">
        <v>4</v>
      </c>
      <c r="F8" s="45">
        <v>3.3955029171341716E-2</v>
      </c>
    </row>
    <row r="9" spans="1:6">
      <c r="A9" s="52" t="s">
        <v>164</v>
      </c>
      <c r="B9" s="24">
        <v>2813707</v>
      </c>
      <c r="C9" s="7">
        <v>130049.5</v>
      </c>
      <c r="D9" s="6"/>
      <c r="E9" s="14"/>
      <c r="F9" s="45">
        <v>3.8701873072718726E-3</v>
      </c>
    </row>
    <row r="10" spans="1:6">
      <c r="A10" s="52" t="s">
        <v>144</v>
      </c>
      <c r="B10" s="24">
        <v>2850000</v>
      </c>
      <c r="C10" s="7">
        <v>66285.429999999993</v>
      </c>
      <c r="D10" s="6"/>
      <c r="E10" s="14">
        <v>3</v>
      </c>
      <c r="F10" s="45">
        <v>1.9726106585804498E-3</v>
      </c>
    </row>
    <row r="11" spans="1:6">
      <c r="A11" s="52" t="s">
        <v>67</v>
      </c>
      <c r="B11" s="24">
        <v>347547</v>
      </c>
      <c r="C11" s="7">
        <v>5125375.55</v>
      </c>
      <c r="D11" s="6">
        <v>0.15384615384615385</v>
      </c>
      <c r="E11" s="14">
        <v>2</v>
      </c>
      <c r="F11" s="45">
        <v>0.15252779440606531</v>
      </c>
    </row>
    <row r="12" spans="1:6">
      <c r="A12" s="52" t="s">
        <v>146</v>
      </c>
      <c r="B12" s="24">
        <v>2400000</v>
      </c>
      <c r="C12" s="7">
        <v>1555164.91</v>
      </c>
      <c r="D12" s="6"/>
      <c r="E12" s="14">
        <v>2</v>
      </c>
      <c r="F12" s="45">
        <v>4.6280681551229372E-2</v>
      </c>
    </row>
    <row r="13" spans="1:6">
      <c r="A13" s="52" t="s">
        <v>127</v>
      </c>
      <c r="B13" s="24">
        <v>3500000</v>
      </c>
      <c r="C13" s="7">
        <v>910695.86</v>
      </c>
      <c r="D13" s="6">
        <v>0.21428571428571427</v>
      </c>
      <c r="E13" s="14">
        <v>4</v>
      </c>
      <c r="F13" s="45">
        <v>2.7101707873979079E-2</v>
      </c>
    </row>
    <row r="14" spans="1:6">
      <c r="A14" s="52" t="s">
        <v>73</v>
      </c>
      <c r="B14" s="24">
        <v>6062888</v>
      </c>
      <c r="C14" s="7">
        <v>1604380.24</v>
      </c>
      <c r="D14" s="6"/>
      <c r="E14" s="14"/>
      <c r="F14" s="45">
        <v>4.7745297297458279E-2</v>
      </c>
    </row>
    <row r="15" spans="1:6" ht="15" thickBot="1">
      <c r="A15" s="53" t="s">
        <v>66</v>
      </c>
      <c r="B15" s="24">
        <v>14538092</v>
      </c>
      <c r="C15" s="7">
        <v>14362372.92</v>
      </c>
      <c r="D15" s="6">
        <v>0.27272727272727271</v>
      </c>
      <c r="E15" s="14">
        <v>5</v>
      </c>
      <c r="F15" s="45">
        <v>0.42741474113540817</v>
      </c>
    </row>
    <row r="16" spans="1:6" ht="15" thickBot="1">
      <c r="A16" s="50" t="s">
        <v>38</v>
      </c>
      <c r="B16" s="24"/>
      <c r="D16" s="6"/>
      <c r="F16" s="45"/>
    </row>
    <row r="17" spans="1:6">
      <c r="A17" s="51" t="s">
        <v>40</v>
      </c>
      <c r="B17" s="24">
        <v>2051009</v>
      </c>
      <c r="C17" s="7">
        <v>4759820.12</v>
      </c>
      <c r="D17" s="6">
        <v>0.18181818181818182</v>
      </c>
      <c r="E17" s="14">
        <v>8</v>
      </c>
      <c r="F17" s="45">
        <v>0.19843065974273966</v>
      </c>
    </row>
    <row r="18" spans="1:6">
      <c r="A18" s="52" t="s">
        <v>42</v>
      </c>
      <c r="B18" s="24">
        <v>3251799</v>
      </c>
      <c r="C18" s="7">
        <v>3464499.51</v>
      </c>
      <c r="D18" s="6">
        <v>0.5</v>
      </c>
      <c r="E18" s="14">
        <v>7</v>
      </c>
      <c r="F18" s="45">
        <v>0.14443044193184726</v>
      </c>
    </row>
    <row r="19" spans="1:6">
      <c r="A19" s="52" t="s">
        <v>43</v>
      </c>
      <c r="B19" s="24">
        <v>2033991</v>
      </c>
      <c r="C19" s="7">
        <v>2922171.76</v>
      </c>
      <c r="D19" s="6">
        <v>0.6</v>
      </c>
      <c r="E19" s="14">
        <v>5</v>
      </c>
      <c r="F19" s="45">
        <v>0.12182150913266079</v>
      </c>
    </row>
    <row r="20" spans="1:6">
      <c r="A20" s="52" t="s">
        <v>39</v>
      </c>
      <c r="B20" s="24">
        <v>3120682</v>
      </c>
      <c r="C20" s="7">
        <v>4444271.38</v>
      </c>
      <c r="D20" s="6">
        <v>0.22222222222222221</v>
      </c>
      <c r="E20" s="14">
        <v>8</v>
      </c>
      <c r="F20" s="45">
        <v>0.18527584651858145</v>
      </c>
    </row>
    <row r="21" spans="1:6">
      <c r="A21" s="52" t="s">
        <v>41</v>
      </c>
      <c r="B21" s="24">
        <v>3176238</v>
      </c>
      <c r="C21" s="7">
        <v>3816185.46</v>
      </c>
      <c r="D21" s="6">
        <v>0.125</v>
      </c>
      <c r="E21" s="14">
        <v>7</v>
      </c>
      <c r="F21" s="45">
        <v>0.15909176805791778</v>
      </c>
    </row>
    <row r="22" spans="1:6" ht="15" thickBot="1">
      <c r="A22" s="53" t="s">
        <v>44</v>
      </c>
      <c r="B22" s="24">
        <v>1433383</v>
      </c>
      <c r="C22" s="7">
        <v>4580373.72</v>
      </c>
      <c r="D22" s="6">
        <v>0.125</v>
      </c>
      <c r="E22" s="14">
        <v>4</v>
      </c>
      <c r="F22" s="45">
        <v>0.19094977461625307</v>
      </c>
    </row>
    <row r="23" spans="1:6" ht="15" thickBot="1">
      <c r="A23" s="50" t="s">
        <v>45</v>
      </c>
      <c r="B23" s="24"/>
      <c r="D23" s="6"/>
      <c r="F23" s="45"/>
    </row>
    <row r="24" spans="1:6">
      <c r="A24" s="51" t="s">
        <v>49</v>
      </c>
      <c r="B24" s="24">
        <v>2092599</v>
      </c>
      <c r="C24" s="7">
        <v>2989095.53</v>
      </c>
      <c r="D24" s="6"/>
      <c r="E24" s="14">
        <v>7</v>
      </c>
      <c r="F24" s="45">
        <v>0.15255706024731688</v>
      </c>
    </row>
    <row r="25" spans="1:6">
      <c r="A25" s="52" t="s">
        <v>46</v>
      </c>
      <c r="B25" s="24">
        <v>1755943</v>
      </c>
      <c r="C25" s="7">
        <v>4926137.07</v>
      </c>
      <c r="D25" s="6">
        <v>0.1</v>
      </c>
      <c r="E25" s="14">
        <v>5</v>
      </c>
      <c r="F25" s="45">
        <v>0.25141952882801677</v>
      </c>
    </row>
    <row r="26" spans="1:6">
      <c r="A26" s="52" t="s">
        <v>47</v>
      </c>
      <c r="B26" s="24">
        <v>2640563</v>
      </c>
      <c r="C26" s="7">
        <v>5871469.5099999998</v>
      </c>
      <c r="D26" s="6">
        <v>0.125</v>
      </c>
      <c r="E26" s="14">
        <v>5</v>
      </c>
      <c r="F26" s="45">
        <v>0.2996672802148127</v>
      </c>
    </row>
    <row r="27" spans="1:6">
      <c r="A27" s="52" t="s">
        <v>48</v>
      </c>
      <c r="B27" s="24">
        <v>2501731</v>
      </c>
      <c r="C27" s="7">
        <v>3381514.28</v>
      </c>
      <c r="D27" s="6">
        <v>0.30769230769230771</v>
      </c>
      <c r="E27" s="14">
        <v>11</v>
      </c>
      <c r="F27" s="45">
        <v>0.17258527623609352</v>
      </c>
    </row>
    <row r="28" spans="1:6" ht="15" thickBot="1">
      <c r="A28" s="53" t="s">
        <v>62</v>
      </c>
      <c r="B28" s="24">
        <v>2233872</v>
      </c>
      <c r="C28" s="7">
        <v>2425078.9</v>
      </c>
      <c r="D28" s="6">
        <v>0.125</v>
      </c>
      <c r="E28" s="14">
        <v>6</v>
      </c>
      <c r="F28" s="45">
        <v>0.12377085447376014</v>
      </c>
    </row>
    <row r="29" spans="1:6" ht="15" thickBot="1">
      <c r="A29" s="50" t="s">
        <v>32</v>
      </c>
      <c r="B29" s="24"/>
      <c r="D29" s="6"/>
      <c r="F29" s="45"/>
    </row>
    <row r="30" spans="1:6">
      <c r="A30" s="51" t="s">
        <v>61</v>
      </c>
      <c r="B30" s="24">
        <v>1538706</v>
      </c>
      <c r="C30" s="7">
        <v>4398377.4400000004</v>
      </c>
      <c r="D30" s="6">
        <v>0.16666666666666666</v>
      </c>
      <c r="E30" s="14">
        <v>7</v>
      </c>
      <c r="F30" s="45">
        <v>0.17719446044829873</v>
      </c>
    </row>
    <row r="31" spans="1:6">
      <c r="A31" s="52" t="s">
        <v>34</v>
      </c>
      <c r="B31" s="24">
        <v>2865915</v>
      </c>
      <c r="C31" s="7">
        <v>3423639.79</v>
      </c>
      <c r="D31" s="6">
        <v>0.27272727272727271</v>
      </c>
      <c r="E31" s="14">
        <v>8</v>
      </c>
      <c r="F31" s="45">
        <v>0.1379258632606975</v>
      </c>
    </row>
    <row r="32" spans="1:6">
      <c r="A32" s="52" t="s">
        <v>36</v>
      </c>
      <c r="B32" s="24">
        <v>3143218</v>
      </c>
      <c r="C32" s="7">
        <v>4162934.9</v>
      </c>
      <c r="D32" s="6">
        <v>0.125</v>
      </c>
      <c r="E32" s="14">
        <v>7</v>
      </c>
      <c r="F32" s="45">
        <v>0.16770934590072206</v>
      </c>
    </row>
    <row r="33" spans="1:6">
      <c r="A33" s="52" t="s">
        <v>37</v>
      </c>
      <c r="B33" s="24">
        <v>2112086</v>
      </c>
      <c r="C33" s="7">
        <v>3790696.94</v>
      </c>
      <c r="D33" s="6">
        <v>0.4</v>
      </c>
      <c r="E33" s="14">
        <v>6</v>
      </c>
      <c r="F33" s="45">
        <v>0.15271324668451303</v>
      </c>
    </row>
    <row r="34" spans="1:6">
      <c r="A34" s="52" t="s">
        <v>33</v>
      </c>
      <c r="B34" s="24">
        <v>1441549</v>
      </c>
      <c r="C34" s="7">
        <v>3593239.93</v>
      </c>
      <c r="D34" s="6">
        <v>0.25</v>
      </c>
      <c r="E34" s="14">
        <v>5</v>
      </c>
      <c r="F34" s="45">
        <v>0.14475842952159937</v>
      </c>
    </row>
    <row r="35" spans="1:6" ht="15" thickBot="1">
      <c r="A35" s="53" t="s">
        <v>35</v>
      </c>
      <c r="B35" s="24">
        <v>3074559</v>
      </c>
      <c r="C35" s="7">
        <v>5453430.0999999996</v>
      </c>
      <c r="D35" s="6">
        <v>0.2857142857142857</v>
      </c>
      <c r="E35" s="14">
        <v>5</v>
      </c>
      <c r="F35" s="45">
        <v>0.21969865418416926</v>
      </c>
    </row>
    <row r="36" spans="1:6" ht="15" thickBot="1">
      <c r="A36" s="50" t="s">
        <v>55</v>
      </c>
      <c r="B36" s="24"/>
      <c r="D36" s="6"/>
      <c r="F36" s="45"/>
    </row>
    <row r="37" spans="1:6">
      <c r="A37" s="51" t="s">
        <v>60</v>
      </c>
      <c r="B37" s="24">
        <v>1396842</v>
      </c>
      <c r="C37" s="7">
        <v>2940536.82</v>
      </c>
      <c r="D37" s="6"/>
      <c r="E37" s="14">
        <v>4</v>
      </c>
      <c r="F37" s="45">
        <v>0.21033751619922833</v>
      </c>
    </row>
    <row r="38" spans="1:6">
      <c r="A38" s="52" t="s">
        <v>56</v>
      </c>
      <c r="B38" s="24">
        <v>1416887</v>
      </c>
      <c r="C38" s="7">
        <v>3361357.85</v>
      </c>
      <c r="D38" s="6">
        <v>0.2</v>
      </c>
      <c r="E38" s="14">
        <v>9</v>
      </c>
      <c r="F38" s="45">
        <v>0.24043897577374268</v>
      </c>
    </row>
    <row r="39" spans="1:6">
      <c r="A39" s="52" t="s">
        <v>57</v>
      </c>
      <c r="B39" s="24">
        <v>2562998</v>
      </c>
      <c r="C39" s="7">
        <v>2252865.61</v>
      </c>
      <c r="D39" s="6">
        <v>0.33333333333333331</v>
      </c>
      <c r="E39" s="14">
        <v>2</v>
      </c>
      <c r="F39" s="45">
        <v>0.16114817999050235</v>
      </c>
    </row>
    <row r="40" spans="1:6">
      <c r="A40" s="52" t="s">
        <v>59</v>
      </c>
      <c r="B40" s="24">
        <v>1626462</v>
      </c>
      <c r="C40" s="7">
        <v>2676179.35</v>
      </c>
      <c r="D40" s="6"/>
      <c r="E40" s="14">
        <v>3</v>
      </c>
      <c r="F40" s="45">
        <v>0.19142794388905676</v>
      </c>
    </row>
    <row r="41" spans="1:6" ht="15" thickBot="1">
      <c r="A41" s="53" t="s">
        <v>58</v>
      </c>
      <c r="B41" s="24">
        <v>2834211</v>
      </c>
      <c r="C41" s="7">
        <v>2749147.58</v>
      </c>
      <c r="D41" s="6">
        <v>0.22222222222222221</v>
      </c>
      <c r="E41" s="14">
        <v>3</v>
      </c>
      <c r="F41" s="45">
        <v>0.19664738414746985</v>
      </c>
    </row>
    <row r="42" spans="1:6" ht="15" thickBot="1">
      <c r="A42" s="50" t="s">
        <v>24</v>
      </c>
      <c r="B42" s="24"/>
      <c r="D42" s="6"/>
      <c r="F42" s="45"/>
    </row>
    <row r="43" spans="1:6">
      <c r="A43" s="51" t="s">
        <v>27</v>
      </c>
      <c r="B43" s="24">
        <v>2063069</v>
      </c>
      <c r="C43" s="7">
        <v>3838079.23</v>
      </c>
      <c r="D43" s="6">
        <v>0.25</v>
      </c>
      <c r="E43" s="14">
        <v>7</v>
      </c>
      <c r="F43" s="45">
        <v>0.15004290769144571</v>
      </c>
    </row>
    <row r="44" spans="1:6">
      <c r="A44" s="52" t="s">
        <v>31</v>
      </c>
      <c r="B44" s="24">
        <v>2503551</v>
      </c>
      <c r="C44" s="7">
        <v>4630968.3200000003</v>
      </c>
      <c r="D44" s="6">
        <v>0.16666666666666666</v>
      </c>
      <c r="E44" s="14">
        <v>9</v>
      </c>
      <c r="F44" s="45">
        <v>0.18103950192809581</v>
      </c>
    </row>
    <row r="45" spans="1:6">
      <c r="A45" s="52" t="s">
        <v>25</v>
      </c>
      <c r="B45" s="24">
        <v>1646982</v>
      </c>
      <c r="C45" s="7">
        <v>2732147.92</v>
      </c>
      <c r="D45" s="6">
        <v>0.42857142857142855</v>
      </c>
      <c r="E45" s="14">
        <v>10</v>
      </c>
      <c r="F45" s="45">
        <v>0.10680848247104462</v>
      </c>
    </row>
    <row r="46" spans="1:6">
      <c r="A46" s="52" t="s">
        <v>28</v>
      </c>
      <c r="B46" s="24">
        <v>2528953</v>
      </c>
      <c r="C46" s="7">
        <v>5328460.76</v>
      </c>
      <c r="D46" s="6">
        <v>0.25</v>
      </c>
      <c r="E46" s="14">
        <v>8</v>
      </c>
      <c r="F46" s="45">
        <v>0.20830673314426879</v>
      </c>
    </row>
    <row r="47" spans="1:6">
      <c r="A47" s="52" t="s">
        <v>30</v>
      </c>
      <c r="B47" s="24">
        <v>1471989</v>
      </c>
      <c r="C47" s="7">
        <v>4622631.7</v>
      </c>
      <c r="D47" s="6">
        <v>0.125</v>
      </c>
      <c r="E47" s="14">
        <v>5</v>
      </c>
      <c r="F47" s="45">
        <v>0.18071359653892574</v>
      </c>
    </row>
    <row r="48" spans="1:6" ht="15" thickBot="1">
      <c r="A48" s="53" t="s">
        <v>29</v>
      </c>
      <c r="B48" s="24">
        <v>3305330</v>
      </c>
      <c r="C48" s="7">
        <v>4427589.78</v>
      </c>
      <c r="D48" s="6">
        <v>0.27272727272727271</v>
      </c>
      <c r="E48" s="14">
        <v>8</v>
      </c>
      <c r="F48" s="45">
        <v>0.17308877822621929</v>
      </c>
    </row>
    <row r="49" spans="1:6" ht="15" thickBot="1">
      <c r="A49" s="50" t="s">
        <v>50</v>
      </c>
      <c r="B49" s="24"/>
      <c r="D49" s="6"/>
      <c r="F49" s="45"/>
    </row>
    <row r="50" spans="1:6">
      <c r="A50" s="51" t="s">
        <v>53</v>
      </c>
      <c r="B50" s="24">
        <v>2986642</v>
      </c>
      <c r="C50" s="7">
        <v>3765057.66</v>
      </c>
      <c r="D50" s="6">
        <v>0.25</v>
      </c>
      <c r="E50" s="14">
        <v>3</v>
      </c>
      <c r="F50" s="45">
        <v>0.23549682298165753</v>
      </c>
    </row>
    <row r="51" spans="1:6">
      <c r="A51" s="52" t="s">
        <v>63</v>
      </c>
      <c r="B51" s="24">
        <v>2366494</v>
      </c>
      <c r="C51" s="7">
        <v>3240210.52</v>
      </c>
      <c r="D51" s="6">
        <v>0.125</v>
      </c>
      <c r="E51" s="14">
        <v>8</v>
      </c>
      <c r="F51" s="45">
        <v>0.20266868456185727</v>
      </c>
    </row>
    <row r="52" spans="1:6">
      <c r="A52" s="52" t="s">
        <v>54</v>
      </c>
      <c r="B52" s="24">
        <v>1879350</v>
      </c>
      <c r="C52" s="7">
        <v>2750995.65</v>
      </c>
      <c r="D52" s="6">
        <v>0.22222222222222221</v>
      </c>
      <c r="E52" s="14">
        <v>4</v>
      </c>
      <c r="F52" s="45">
        <v>0.17206927333255231</v>
      </c>
    </row>
    <row r="53" spans="1:6">
      <c r="A53" s="52" t="s">
        <v>52</v>
      </c>
      <c r="B53" s="24">
        <v>1572458</v>
      </c>
      <c r="C53" s="7">
        <v>2926396.01</v>
      </c>
      <c r="D53" s="6">
        <v>0.2</v>
      </c>
      <c r="E53" s="14">
        <v>7</v>
      </c>
      <c r="F53" s="45">
        <v>0.18304021488510189</v>
      </c>
    </row>
    <row r="54" spans="1:6" ht="15" thickBot="1">
      <c r="A54" s="53" t="s">
        <v>51</v>
      </c>
      <c r="B54" s="24">
        <v>3404695</v>
      </c>
      <c r="C54" s="7">
        <v>3305061.83</v>
      </c>
      <c r="D54" s="6">
        <v>0.22222222222222221</v>
      </c>
      <c r="E54" s="14">
        <v>7</v>
      </c>
      <c r="F54" s="45">
        <v>0.206725004238831</v>
      </c>
    </row>
    <row r="55" spans="1:6" ht="15" thickBot="1">
      <c r="A55" s="50" t="s">
        <v>77</v>
      </c>
      <c r="B55" s="26">
        <v>2850000</v>
      </c>
      <c r="C55" s="47">
        <v>157553518.52000001</v>
      </c>
      <c r="D55" s="28">
        <v>0.22641509433962265</v>
      </c>
      <c r="E55" s="27">
        <v>5.7619047619047619</v>
      </c>
      <c r="F55" s="48">
        <v>1</v>
      </c>
    </row>
    <row r="57" spans="1:6">
      <c r="A57" s="146" t="s">
        <v>218</v>
      </c>
      <c r="B57" s="146"/>
    </row>
    <row r="58" spans="1:6">
      <c r="A58" s="2" t="s">
        <v>76</v>
      </c>
      <c r="B58" t="s">
        <v>171</v>
      </c>
    </row>
    <row r="59" spans="1:6">
      <c r="A59" s="3" t="s">
        <v>74</v>
      </c>
      <c r="B59" s="7">
        <v>7061653.3200000003</v>
      </c>
    </row>
    <row r="60" spans="1:6">
      <c r="A60" s="3" t="s">
        <v>40</v>
      </c>
      <c r="B60" s="7">
        <v>4759820.12</v>
      </c>
    </row>
    <row r="61" spans="1:6">
      <c r="A61" s="3" t="s">
        <v>46</v>
      </c>
      <c r="B61" s="7">
        <v>4926137.07</v>
      </c>
    </row>
    <row r="62" spans="1:6">
      <c r="A62" s="3" t="s">
        <v>67</v>
      </c>
      <c r="B62" s="7">
        <v>5125375.55</v>
      </c>
    </row>
    <row r="63" spans="1:6">
      <c r="A63" s="3" t="s">
        <v>47</v>
      </c>
      <c r="B63" s="7">
        <v>5871469.5099999998</v>
      </c>
    </row>
    <row r="64" spans="1:6">
      <c r="A64" s="3" t="s">
        <v>31</v>
      </c>
      <c r="B64" s="7">
        <v>4630968.3200000003</v>
      </c>
    </row>
    <row r="65" spans="1:2">
      <c r="A65" s="3" t="s">
        <v>28</v>
      </c>
      <c r="B65" s="7">
        <v>5328460.76</v>
      </c>
    </row>
    <row r="66" spans="1:2">
      <c r="A66" s="3" t="s">
        <v>30</v>
      </c>
      <c r="B66" s="7">
        <v>4622631.7</v>
      </c>
    </row>
    <row r="67" spans="1:2">
      <c r="A67" s="3" t="s">
        <v>35</v>
      </c>
      <c r="B67" s="7">
        <v>5453430.0999999996</v>
      </c>
    </row>
    <row r="68" spans="1:2">
      <c r="A68" s="3" t="s">
        <v>66</v>
      </c>
      <c r="B68" s="7">
        <v>14362372.92</v>
      </c>
    </row>
    <row r="69" spans="1:2">
      <c r="A69" s="3" t="s">
        <v>77</v>
      </c>
      <c r="B69" s="7">
        <v>62142319.369999997</v>
      </c>
    </row>
  </sheetData>
  <mergeCells count="2">
    <mergeCell ref="A57:B57"/>
    <mergeCell ref="A1:F1"/>
  </mergeCells>
  <conditionalFormatting pivot="1" sqref="C4:C15 C17:C22 C24:C28 C30:C35 C37:C41 C43:C48 C50:C54">
    <cfRule type="dataBar" priority="5">
      <dataBar>
        <cfvo type="min"/>
        <cfvo type="max"/>
        <color rgb="FF63C384"/>
      </dataBar>
      <extLst>
        <ext xmlns:x14="http://schemas.microsoft.com/office/spreadsheetml/2009/9/main" uri="{B025F937-C7B1-47D3-B67F-A62EFF666E3E}">
          <x14:id>{0AB5AB7D-9189-4800-9D3C-EDD443AC7CEF}</x14:id>
        </ext>
      </extLst>
    </cfRule>
  </conditionalFormatting>
  <conditionalFormatting pivot="1" sqref="D4:D15 D17:D22 D24:D28 D30:D35 D37:D41 D43:D48 D50:D54">
    <cfRule type="colorScale" priority="4">
      <colorScale>
        <cfvo type="min"/>
        <cfvo type="percentile" val="50"/>
        <cfvo type="max"/>
        <color rgb="FFF8696B"/>
        <color rgb="FFFFEB84"/>
        <color rgb="FF63BE7B"/>
      </colorScale>
    </cfRule>
  </conditionalFormatting>
  <conditionalFormatting pivot="1" sqref="F4:F15 F17:F22 F24:F28 F30:F35 F37:F41 F43:F48 F50:F54">
    <cfRule type="colorScale" priority="3">
      <colorScale>
        <cfvo type="min"/>
        <cfvo type="max"/>
        <color theme="8" tint="-0.249977111117893"/>
        <color theme="0"/>
      </colorScale>
    </cfRule>
  </conditionalFormatting>
  <conditionalFormatting pivot="1" sqref="F4:F15 F17:F22 F24:F28 F30:F35 F37:F41 F43:F48 F50:F54">
    <cfRule type="colorScale" priority="2">
      <colorScale>
        <cfvo type="min"/>
        <cfvo type="percentile" val="50"/>
        <cfvo type="max"/>
        <color rgb="FFF8696B"/>
        <color rgb="FFFCFCFF"/>
        <color rgb="FF5A8AC6"/>
      </colorScale>
    </cfRule>
  </conditionalFormatting>
  <conditionalFormatting pivot="1" sqref="E4:E15 E17:E22 E24:E28 E30:E35 E37:E41 E43:E48 E50:E54">
    <cfRule type="iconSet" priority="1">
      <iconSet iconSet="3Arrows">
        <cfvo type="percent" val="0"/>
        <cfvo type="percent" val="5"/>
        <cfvo type="percent" val="8"/>
      </iconSet>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dataBar" id="{0AB5AB7D-9189-4800-9D3C-EDD443AC7CEF}">
            <x14:dataBar minLength="0" maxLength="100" border="1" negativeBarBorderColorSameAsPositive="0">
              <x14:cfvo type="autoMin"/>
              <x14:cfvo type="autoMax"/>
              <x14:borderColor rgb="FF63C384"/>
              <x14:negativeFillColor rgb="FFFF0000"/>
              <x14:negativeBorderColor rgb="FFFF0000"/>
              <x14:axisColor rgb="FF000000"/>
            </x14:dataBar>
          </x14:cfRule>
          <xm:sqref>C4:C15 C17:C22 C24:C28 C30:C35 C37:C41 C43:C48 C50:C54</xm:sqref>
        </x14:conditionalFormatting>
      </x14:conditionalFormattings>
    </ex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44818-661F-411C-AF15-72D77153DE17}">
  <sheetPr codeName="Sheet7"/>
  <dimension ref="A1:BB20"/>
  <sheetViews>
    <sheetView showGridLines="0" zoomScale="70" zoomScaleNormal="70" workbookViewId="0">
      <selection sqref="A1:U1"/>
    </sheetView>
  </sheetViews>
  <sheetFormatPr defaultRowHeight="14.4"/>
  <cols>
    <col min="7" max="7" width="8.88671875" customWidth="1"/>
    <col min="24" max="24" width="9.5546875" customWidth="1"/>
    <col min="27" max="27" width="12" customWidth="1"/>
  </cols>
  <sheetData>
    <row r="1" spans="1:54" ht="34.799999999999997" customHeight="1">
      <c r="A1" s="158" t="s">
        <v>189</v>
      </c>
      <c r="B1" s="158"/>
      <c r="C1" s="158"/>
      <c r="D1" s="158"/>
      <c r="E1" s="158"/>
      <c r="F1" s="158"/>
      <c r="G1" s="158"/>
      <c r="H1" s="158"/>
      <c r="I1" s="158"/>
      <c r="J1" s="158"/>
      <c r="K1" s="158"/>
      <c r="L1" s="158"/>
      <c r="M1" s="158"/>
      <c r="N1" s="158"/>
      <c r="O1" s="158"/>
      <c r="P1" s="158"/>
      <c r="Q1" s="158"/>
      <c r="R1" s="158"/>
      <c r="S1" s="158"/>
      <c r="T1" s="158"/>
      <c r="U1" s="158"/>
      <c r="V1" s="13"/>
      <c r="W1" s="13"/>
      <c r="X1" s="13"/>
      <c r="AZ1" t="s">
        <v>179</v>
      </c>
      <c r="BA1">
        <f>GETPIVOTDATA("[Measures].[Placed_revenue]",'Performance KPIs'!$A$2)</f>
        <v>182286364.15000001</v>
      </c>
    </row>
    <row r="2" spans="1:54" ht="19.8" customHeight="1">
      <c r="D2" s="151" t="s">
        <v>179</v>
      </c>
      <c r="E2" s="151"/>
      <c r="F2" s="151"/>
      <c r="G2" s="151" t="s">
        <v>174</v>
      </c>
      <c r="H2" s="151"/>
      <c r="I2" s="151"/>
      <c r="J2" s="151" t="s">
        <v>175</v>
      </c>
      <c r="K2" s="151"/>
      <c r="L2" s="151"/>
      <c r="M2" s="151" t="s">
        <v>176</v>
      </c>
      <c r="N2" s="151"/>
      <c r="O2" s="151"/>
      <c r="P2" s="151" t="s">
        <v>177</v>
      </c>
      <c r="Q2" s="151"/>
      <c r="R2" s="151"/>
      <c r="S2" s="151" t="s">
        <v>178</v>
      </c>
      <c r="T2" s="151"/>
      <c r="U2" s="151"/>
      <c r="AZ2" t="s">
        <v>175</v>
      </c>
      <c r="BA2" t="e">
        <f>BA1/#REF!</f>
        <v>#REF!</v>
      </c>
    </row>
    <row r="3" spans="1:54" ht="37.950000000000003" customHeight="1">
      <c r="D3" s="159">
        <f>GETPIVOTDATA("[Measures].[Placed_revenue]",'Performance KPIs'!$A$2)/10000000</f>
        <v>18.228636415</v>
      </c>
      <c r="E3" s="159"/>
      <c r="F3" s="159"/>
      <c r="G3" s="159">
        <f>GETPIVOTDATA("[Measures].[Total_Branch_Budget]",'Performance KPIs'!$A$2)/10000000</f>
        <v>15.237453500000001</v>
      </c>
      <c r="H3" s="159"/>
      <c r="I3" s="159"/>
      <c r="J3" s="153">
        <f>GETPIVOTDATA("[Measures].[Overall_Achievement_%]",'Performance KPIs'!$A$2)</f>
        <v>1.1963046459830049</v>
      </c>
      <c r="K3" s="153"/>
      <c r="L3" s="153"/>
      <c r="M3" s="152">
        <f>GETPIVOTDATA("[Measures].[Closed_Won_Count]",'Pipeline KPIs'!$A$2)</f>
        <v>72</v>
      </c>
      <c r="N3" s="152"/>
      <c r="O3" s="152"/>
      <c r="P3" s="153">
        <f>GETPIVOTDATA("[Measures].[Conversion_Ratio]",'Pipeline KPIs'!$A$2)</f>
        <v>0.22641509433962265</v>
      </c>
      <c r="Q3" s="153"/>
      <c r="R3" s="153"/>
      <c r="S3" s="152">
        <f>GETPIVOTDATA("[Measures].[Count of meeting_date]",'Activity KPIs'!$A$14)</f>
        <v>289</v>
      </c>
      <c r="T3" s="152"/>
      <c r="U3" s="152"/>
      <c r="AZ3" t="s">
        <v>177</v>
      </c>
      <c r="BA3" s="4">
        <f>GETPIVOTDATA("[Measures].[Conversion_Ratio]",'Pipeline KPIs'!$A$2)</f>
        <v>0.22641509433962265</v>
      </c>
    </row>
    <row r="4" spans="1:54" ht="4.05" customHeight="1">
      <c r="A4" s="155"/>
      <c r="B4" s="155"/>
      <c r="C4" s="155"/>
      <c r="D4" s="155"/>
      <c r="E4" s="155"/>
      <c r="F4" s="155"/>
      <c r="G4" s="155"/>
      <c r="H4" s="155"/>
      <c r="I4" s="155"/>
      <c r="J4" s="155"/>
      <c r="K4" s="155"/>
      <c r="L4" s="155"/>
      <c r="M4" s="155"/>
      <c r="N4" s="155"/>
      <c r="O4" s="155"/>
      <c r="P4" s="155"/>
      <c r="Q4" s="155"/>
      <c r="R4" s="155"/>
      <c r="S4" s="19"/>
      <c r="T4" s="19"/>
      <c r="U4" s="19"/>
      <c r="V4" s="19"/>
      <c r="W4" s="19"/>
      <c r="X4" s="19"/>
      <c r="AZ4" t="s">
        <v>178</v>
      </c>
      <c r="BA4">
        <f>GETPIVOTDATA("[Measures].[Count of meeting_date]",'Activity KPIs'!$A$14)</f>
        <v>289</v>
      </c>
      <c r="BB4" s="8"/>
    </row>
    <row r="5" spans="1:54">
      <c r="AZ5" s="146"/>
      <c r="BA5" s="146"/>
      <c r="BB5" s="146"/>
    </row>
    <row r="8" spans="1:54" ht="15.6">
      <c r="A8" s="154"/>
      <c r="B8" s="154"/>
      <c r="C8" s="154"/>
      <c r="D8" s="8"/>
      <c r="E8" s="154"/>
      <c r="F8" s="154"/>
      <c r="G8" s="154"/>
      <c r="H8" s="8"/>
      <c r="I8" s="154"/>
      <c r="J8" s="154"/>
      <c r="K8" s="154"/>
      <c r="L8" s="8"/>
      <c r="M8" s="154"/>
      <c r="N8" s="154"/>
      <c r="O8" s="154"/>
      <c r="P8" s="8"/>
      <c r="Q8" s="154"/>
      <c r="R8" s="154"/>
      <c r="S8" s="154"/>
      <c r="T8" s="8"/>
      <c r="U8" s="154"/>
      <c r="V8" s="154"/>
      <c r="W8" s="154"/>
    </row>
    <row r="9" spans="1:54">
      <c r="A9" s="160"/>
      <c r="B9" s="160"/>
      <c r="C9" s="160"/>
      <c r="E9" s="160"/>
      <c r="F9" s="160"/>
      <c r="G9" s="160"/>
      <c r="I9" s="146"/>
      <c r="J9" s="146"/>
      <c r="K9" s="146"/>
      <c r="M9" s="146"/>
      <c r="N9" s="146"/>
      <c r="O9" s="146"/>
      <c r="Q9" s="161"/>
      <c r="R9" s="161"/>
      <c r="S9" s="161"/>
      <c r="U9" s="146"/>
      <c r="V9" s="146"/>
      <c r="W9" s="146"/>
    </row>
    <row r="13" spans="1:54" ht="15.6">
      <c r="V13" s="156" t="s">
        <v>191</v>
      </c>
      <c r="W13" s="156"/>
      <c r="X13" s="156"/>
    </row>
    <row r="14" spans="1:54" ht="18">
      <c r="V14" s="157">
        <f>GETPIVOTDATA("[Measures].[New_Achievement_%]",'Additional KPIs'!$A$2)</f>
        <v>0.75742593017987292</v>
      </c>
      <c r="W14" s="157"/>
      <c r="X14" s="157"/>
    </row>
    <row r="15" spans="1:54" ht="15.6">
      <c r="V15" s="156" t="s">
        <v>192</v>
      </c>
      <c r="W15" s="156"/>
      <c r="X15" s="156"/>
    </row>
    <row r="16" spans="1:54" ht="18">
      <c r="V16" s="157">
        <f>GETPIVOTDATA("[Measures].[Cross_Sell_Achievement_%]",'Additional KPIs'!$A$2)</f>
        <v>1.1100917664290382</v>
      </c>
      <c r="W16" s="157"/>
      <c r="X16" s="157"/>
    </row>
    <row r="17" spans="22:24" ht="15.6">
      <c r="V17" s="156" t="s">
        <v>193</v>
      </c>
      <c r="W17" s="156"/>
      <c r="X17" s="156"/>
    </row>
    <row r="18" spans="22:24" ht="18">
      <c r="V18" s="157">
        <f>GETPIVOTDATA("[Measures].[Renewal_Achievement_%]",'Additional KPIs'!$A$2)</f>
        <v>1.6376139549028104</v>
      </c>
      <c r="W18" s="157"/>
      <c r="X18" s="157"/>
    </row>
    <row r="19" spans="22:24" ht="15.6">
      <c r="V19" s="156" t="s">
        <v>194</v>
      </c>
      <c r="W19" s="156"/>
      <c r="X19" s="156"/>
    </row>
    <row r="20" spans="22:24" ht="18">
      <c r="V20" s="150">
        <f>GETPIVOTDATA("[Measures].[Invoice_Achievement_%]",'Additional KPIs'!$A$2)</f>
        <v>0.62745579502506765</v>
      </c>
      <c r="W20" s="150"/>
      <c r="X20" s="150"/>
    </row>
  </sheetData>
  <mergeCells count="35">
    <mergeCell ref="AZ5:BB5"/>
    <mergeCell ref="A9:C9"/>
    <mergeCell ref="E9:G9"/>
    <mergeCell ref="I9:K9"/>
    <mergeCell ref="M9:O9"/>
    <mergeCell ref="Q9:S9"/>
    <mergeCell ref="U9:W9"/>
    <mergeCell ref="A8:C8"/>
    <mergeCell ref="E8:G8"/>
    <mergeCell ref="I8:K8"/>
    <mergeCell ref="M8:O8"/>
    <mergeCell ref="Q8:S8"/>
    <mergeCell ref="A1:U1"/>
    <mergeCell ref="D2:F2"/>
    <mergeCell ref="D3:F3"/>
    <mergeCell ref="G2:I2"/>
    <mergeCell ref="J2:L2"/>
    <mergeCell ref="G3:I3"/>
    <mergeCell ref="J3:L3"/>
    <mergeCell ref="V20:X20"/>
    <mergeCell ref="M2:O2"/>
    <mergeCell ref="M3:O3"/>
    <mergeCell ref="P2:R2"/>
    <mergeCell ref="P3:R3"/>
    <mergeCell ref="S2:U2"/>
    <mergeCell ref="S3:U3"/>
    <mergeCell ref="U8:W8"/>
    <mergeCell ref="A4:R4"/>
    <mergeCell ref="V13:X13"/>
    <mergeCell ref="V15:X15"/>
    <mergeCell ref="V17:X17"/>
    <mergeCell ref="V19:X19"/>
    <mergeCell ref="V14:X14"/>
    <mergeCell ref="V16:X16"/>
    <mergeCell ref="V18:X18"/>
  </mergeCells>
  <conditionalFormatting sqref="V13:X20">
    <cfRule type="iconSet" priority="1">
      <iconSet iconSet="3Arrows">
        <cfvo type="percent" val="0"/>
        <cfvo type="percent" val="75"/>
        <cfvo type="percent" val="100"/>
      </iconSet>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8106A-C134-45A9-B481-F65852592AB8}">
  <sheetPr codeName="Sheet8"/>
  <dimension ref="A1:Z57"/>
  <sheetViews>
    <sheetView topLeftCell="C20" workbookViewId="0">
      <selection activeCell="I42" sqref="I42"/>
    </sheetView>
  </sheetViews>
  <sheetFormatPr defaultRowHeight="14.4"/>
  <cols>
    <col min="1" max="1" width="12.5546875" bestFit="1" customWidth="1"/>
    <col min="2" max="2" width="19.5546875" bestFit="1" customWidth="1"/>
    <col min="3" max="3" width="24.21875" bestFit="1" customWidth="1"/>
    <col min="4" max="4" width="23" bestFit="1" customWidth="1"/>
    <col min="5" max="5" width="10.77734375" bestFit="1" customWidth="1"/>
    <col min="6" max="6" width="19.44140625" bestFit="1" customWidth="1"/>
    <col min="7" max="7" width="11.5546875" bestFit="1" customWidth="1"/>
    <col min="8" max="8" width="12.5546875" bestFit="1" customWidth="1"/>
    <col min="9" max="9" width="14.44140625" bestFit="1" customWidth="1"/>
    <col min="11" max="11" width="14.88671875" bestFit="1" customWidth="1"/>
    <col min="12" max="12" width="14.44140625" bestFit="1" customWidth="1"/>
    <col min="18" max="18" width="22.44140625" bestFit="1" customWidth="1"/>
    <col min="19" max="19" width="7.5546875" customWidth="1"/>
    <col min="20" max="20" width="10.6640625" bestFit="1" customWidth="1"/>
    <col min="21" max="21" width="14.5546875" bestFit="1" customWidth="1"/>
    <col min="22" max="22" width="16.6640625" bestFit="1" customWidth="1"/>
    <col min="23" max="23" width="24.109375" bestFit="1" customWidth="1"/>
    <col min="25" max="25" width="27.77734375" customWidth="1"/>
  </cols>
  <sheetData>
    <row r="1" spans="1:25" ht="15" thickBot="1">
      <c r="L1" s="9"/>
    </row>
    <row r="2" spans="1:25" ht="28.8">
      <c r="A2" s="2" t="s">
        <v>76</v>
      </c>
      <c r="B2" t="s">
        <v>0</v>
      </c>
      <c r="C2" t="s">
        <v>1</v>
      </c>
      <c r="D2" t="s">
        <v>2</v>
      </c>
      <c r="E2" t="s">
        <v>4</v>
      </c>
      <c r="G2" s="54" t="s">
        <v>159</v>
      </c>
      <c r="H2" s="55" t="s">
        <v>181</v>
      </c>
      <c r="I2" s="55" t="s">
        <v>182</v>
      </c>
      <c r="J2" s="55" t="s">
        <v>183</v>
      </c>
      <c r="K2" s="33" t="s">
        <v>190</v>
      </c>
      <c r="L2" s="12"/>
      <c r="M2" s="54" t="s">
        <v>159</v>
      </c>
      <c r="N2" s="55" t="s">
        <v>184</v>
      </c>
      <c r="O2" s="62" t="s">
        <v>180</v>
      </c>
      <c r="Q2" s="34" t="s">
        <v>159</v>
      </c>
      <c r="R2" s="33" t="s">
        <v>186</v>
      </c>
      <c r="T2" s="34" t="s">
        <v>159</v>
      </c>
      <c r="U2" s="33" t="s">
        <v>185</v>
      </c>
      <c r="V2" s="7"/>
      <c r="W2" s="6"/>
      <c r="Y2" s="6"/>
    </row>
    <row r="3" spans="1:25" ht="21.6" customHeight="1">
      <c r="A3" s="3" t="s">
        <v>64</v>
      </c>
      <c r="B3" s="4">
        <v>0.16523175413928637</v>
      </c>
      <c r="C3" s="6">
        <v>0.56919803581169781</v>
      </c>
      <c r="D3" s="6">
        <v>1.1975505525161805</v>
      </c>
      <c r="E3" s="6">
        <v>0.2115121786105954</v>
      </c>
      <c r="G3" s="56" t="str">
        <f>'Performance KPIs'!A3</f>
        <v>Ahmedabad</v>
      </c>
      <c r="H3" s="57">
        <f>GETPIVOTDATA("[Measures].[New_Achievement_%]",'Performance KPIs'!$A$2,"[dim_branch].[Branch_Name]","[dim_branch].[Branch_Name].&amp;[Ahmedabad]")</f>
        <v>0.16523175413928637</v>
      </c>
      <c r="I3" s="57">
        <f>GETPIVOTDATA("[Measures].[Cross_Sell_Achievement_%]",'Performance KPIs'!$A$2,"[dim_branch].[Branch_Name]","[dim_branch].[Branch_Name].&amp;[Ahmedabad]")</f>
        <v>0.56919803581169781</v>
      </c>
      <c r="J3" s="57">
        <f>GETPIVOTDATA("[Measures].[Renewal_Achievement_%]",'Performance KPIs'!$A$2,"[dim_branch].[Branch_Name]","[dim_branch].[Branch_Name].&amp;[Ahmedabad]")</f>
        <v>1.1975505525161805</v>
      </c>
      <c r="K3" s="58">
        <v>1</v>
      </c>
      <c r="L3" s="12"/>
      <c r="M3" s="56" t="str">
        <f>'Performance KPIs'!A3</f>
        <v>Ahmedabad</v>
      </c>
      <c r="N3">
        <f>GETPIVOTDATA("[Measures].[Placed_revenue]",'Performance KPIs'!$A$2,"[dim_branch].[Branch_Name]","[dim_branch].[Branch_Name].&amp;[Ahmedabad]")/10000000</f>
        <v>3.4117426590000002</v>
      </c>
      <c r="O3" s="25">
        <f>GETPIVOTDATA("[Measures].[Total_Branch_Budget]",'Performance KPIs'!$A$2,"[dim_branch].[Branch_Name]","[dim_branch].[Branch_Name].&amp;[Ahmedabad]")/10000000</f>
        <v>5.7976359000000004</v>
      </c>
      <c r="Q3" s="24" t="str">
        <f>'Pipeline KPIs'!A3</f>
        <v>Ahmedabad</v>
      </c>
      <c r="R3" s="63">
        <f>GETPIVOTDATA("[Measures].[Pipeline_Coverage_Ratio]",'Pipeline KPIs'!$A$2,"[dim_branch].[Branch_Name]","[dim_branch].[Branch_Name].&amp;[Ahmedabad]")</f>
        <v>0.28829873364815828</v>
      </c>
      <c r="T3" s="24" t="str">
        <f>'Pipeline KPIs'!A3</f>
        <v>Ahmedabad</v>
      </c>
      <c r="U3" s="63">
        <f>GETPIVOTDATA("[Measures].[Branch_Conversion_Ratio]",'Pipeline KPIs'!$A$2,"[dim_branch].[Branch_Name]","[dim_branch].[Branch_Name].&amp;[Ahmedabad]")</f>
        <v>0.22222222222222221</v>
      </c>
      <c r="X3" s="14"/>
      <c r="Y3" s="16"/>
    </row>
    <row r="4" spans="1:25" ht="16.8" customHeight="1">
      <c r="A4" s="3" t="s">
        <v>38</v>
      </c>
      <c r="B4" s="4">
        <v>1.0847932789004013</v>
      </c>
      <c r="C4" s="6">
        <v>2.0498338732279775</v>
      </c>
      <c r="D4" s="6">
        <v>1.7134368871653043</v>
      </c>
      <c r="E4" s="6">
        <v>0.71586248906311611</v>
      </c>
      <c r="G4" s="56" t="str">
        <f>'Performance KPIs'!A4</f>
        <v>Bangalore</v>
      </c>
      <c r="H4" s="57">
        <f>GETPIVOTDATA("[Measures].[New_Achievement_%]",'Performance KPIs'!$A$2,"[dim_branch].[Branch_Name]","[dim_branch].[Branch_Name].&amp;[Bangalore]")</f>
        <v>1.0847932789004013</v>
      </c>
      <c r="I4" s="57">
        <f>GETPIVOTDATA("[Measures].[Cross_Sell_Achievement_%]",'Performance KPIs'!$A$2,"[dim_branch].[Branch_Name]","[dim_branch].[Branch_Name].&amp;[Bangalore]")</f>
        <v>2.0498338732279775</v>
      </c>
      <c r="J4" s="57">
        <f>GETPIVOTDATA("[Measures].[Renewal_Achievement_%]",'Performance KPIs'!$A$2,"[dim_branch].[Branch_Name]","[dim_branch].[Branch_Name].&amp;[Bangalore]")</f>
        <v>1.7134368871653043</v>
      </c>
      <c r="K4" s="58">
        <v>1</v>
      </c>
      <c r="L4" s="12"/>
      <c r="M4" s="56" t="str">
        <f>'Performance KPIs'!A4</f>
        <v>Bangalore</v>
      </c>
      <c r="N4">
        <f>GETPIVOTDATA("[Measures].[Placed_revenue]",'Performance KPIs'!$A$2,"[dim_branch].[Branch_Name]","[dim_branch].[Branch_Name].&amp;[Bangalore]")/10000000</f>
        <v>2.8382706009999996</v>
      </c>
      <c r="O4" s="25">
        <f>GETPIVOTDATA("[Measures].[Total_Branch_Budget]",'Performance KPIs'!$A$2,"[dim_branch].[Branch_Name]","[dim_branch].[Branch_Name].&amp;[Bangalore]")/10000000</f>
        <v>1.8291316</v>
      </c>
      <c r="Q4" s="24" t="str">
        <f>'Pipeline KPIs'!A4</f>
        <v>Bangalore</v>
      </c>
      <c r="R4" s="63">
        <f>GETPIVOTDATA("[Measures].[Pipeline_Coverage_Ratio]",'Pipeline KPIs'!$A$2,"[dim_branch].[Branch_Name]","[dim_branch].[Branch_Name].&amp;[Bangalore]")</f>
        <v>-1.0729120556504983</v>
      </c>
      <c r="T4" s="24" t="str">
        <f>'Pipeline KPIs'!A4</f>
        <v>Bangalore</v>
      </c>
      <c r="U4" s="63">
        <f>GETPIVOTDATA("[Measures].[Branch_Conversion_Ratio]",'Pipeline KPIs'!$A$2,"[dim_branch].[Branch_Name]","[dim_branch].[Branch_Name].&amp;[Bangalore]")</f>
        <v>0.24444444444444444</v>
      </c>
      <c r="V4" s="20"/>
      <c r="Y4" s="6"/>
    </row>
    <row r="5" spans="1:25">
      <c r="A5" s="3" t="s">
        <v>45</v>
      </c>
      <c r="B5" s="4">
        <v>1.7011827913051267</v>
      </c>
      <c r="C5" s="6">
        <v>1.5957025091050419</v>
      </c>
      <c r="D5" s="6">
        <v>1.6355905383510627</v>
      </c>
      <c r="E5" s="6">
        <v>0.81162641617195341</v>
      </c>
      <c r="G5" s="56" t="str">
        <f>'Performance KPIs'!A5</f>
        <v>Chennai</v>
      </c>
      <c r="H5" s="57">
        <f>GETPIVOTDATA("[Measures].[New_Achievement_%]",'Performance KPIs'!$A$2,"[dim_branch].[Branch_Name]","[dim_branch].[Branch_Name].&amp;[Chennai]")</f>
        <v>1.7011827913051267</v>
      </c>
      <c r="I5" s="57">
        <f>GETPIVOTDATA("[Measures].[Cross_Sell_Achievement_%]",'Performance KPIs'!$A$2,"[dim_branch].[Branch_Name]","[dim_branch].[Branch_Name].&amp;[Chennai]")</f>
        <v>1.5957025091050419</v>
      </c>
      <c r="J5" s="57">
        <f>GETPIVOTDATA("[Measures].[Renewal_Achievement_%]",'Performance KPIs'!$A$2,"[dim_branch].[Branch_Name]","[dim_branch].[Branch_Name].&amp;[Chennai]")</f>
        <v>1.6355905383510627</v>
      </c>
      <c r="K5" s="58">
        <v>1</v>
      </c>
      <c r="L5" s="12"/>
      <c r="M5" s="56" t="str">
        <f>'Performance KPIs'!A5</f>
        <v>Chennai</v>
      </c>
      <c r="N5">
        <f>GETPIVOTDATA("[Measures].[Placed_revenue]",'Performance KPIs'!$A$2,"[dim_branch].[Branch_Name]","[dim_branch].[Branch_Name].&amp;[Chennai]")/10000000</f>
        <v>2.3608136750000002</v>
      </c>
      <c r="O5" s="25">
        <f>GETPIVOTDATA("[Measures].[Total_Branch_Budget]",'Performance KPIs'!$A$2,"[dim_branch].[Branch_Name]","[dim_branch].[Branch_Name].&amp;[Chennai]")/10000000</f>
        <v>1.4346863000000001</v>
      </c>
      <c r="Q5" s="24" t="str">
        <f>'Pipeline KPIs'!A5</f>
        <v>Chennai</v>
      </c>
      <c r="R5" s="63">
        <f>GETPIVOTDATA("[Measures].[Pipeline_Coverage_Ratio]",'Pipeline KPIs'!$A$2,"[dim_branch].[Branch_Name]","[dim_branch].[Branch_Name].&amp;[Chennai]")</f>
        <v>-1.4673841165746775</v>
      </c>
      <c r="T5" s="24" t="str">
        <f>'Pipeline KPIs'!A5</f>
        <v>Chennai</v>
      </c>
      <c r="U5" s="63">
        <f>GETPIVOTDATA("[Measures].[Branch_Conversion_Ratio]",'Pipeline KPIs'!$A$2,"[dim_branch].[Branch_Name]","[dim_branch].[Branch_Name].&amp;[Chennai]")</f>
        <v>0.17499999999999999</v>
      </c>
      <c r="V5" s="20"/>
      <c r="Y5" s="6"/>
    </row>
    <row r="6" spans="1:25">
      <c r="A6" s="3" t="s">
        <v>32</v>
      </c>
      <c r="B6" s="4">
        <v>0.94084169813259633</v>
      </c>
      <c r="C6" s="6">
        <v>1.7754126435374316</v>
      </c>
      <c r="D6" s="6">
        <v>2.2054298051559051</v>
      </c>
      <c r="E6" s="6">
        <v>1.0335984289638014</v>
      </c>
      <c r="G6" s="56" t="str">
        <f>'Performance KPIs'!A6</f>
        <v>Delhi</v>
      </c>
      <c r="H6" s="57">
        <f>GETPIVOTDATA("[Measures].[New_Achievement_%]",'Performance KPIs'!$A$2,"[dim_branch].[Branch_Name]","[dim_branch].[Branch_Name].&amp;[Bangalore]")</f>
        <v>1.0847932789004013</v>
      </c>
      <c r="I6" s="57">
        <f>GETPIVOTDATA("[Measures].[Cross_Sell_Achievement_%]",'Performance KPIs'!$A$2,"[dim_branch].[Branch_Name]","[dim_branch].[Branch_Name].&amp;[Delhi]")</f>
        <v>1.7754126435374316</v>
      </c>
      <c r="J6" s="57">
        <f>GETPIVOTDATA("[Measures].[Renewal_Achievement_%]",'Performance KPIs'!$A$2,"[dim_branch].[Branch_Name]","[dim_branch].[Branch_Name].&amp;[Delhi]")</f>
        <v>2.2054298051559051</v>
      </c>
      <c r="K6" s="58">
        <v>1</v>
      </c>
      <c r="L6" s="12"/>
      <c r="M6" s="56" t="str">
        <f>'Performance KPIs'!A6</f>
        <v>Delhi</v>
      </c>
      <c r="N6">
        <f>GETPIVOTDATA("[Measures].[Placed_revenue]",'Performance KPIs'!$A$2,"[dim_branch].[Branch_Name]","[dim_branch].[Branch_Name].&amp;[Delhi]")/10000000</f>
        <v>2.9195426000000002</v>
      </c>
      <c r="O6" s="25">
        <f>GETPIVOTDATA("[Measures].[Total_Branch_Budget]",'Performance KPIs'!$A$2,"[dim_branch].[Branch_Name]","[dim_branch].[Branch_Name].&amp;[Delhi]")/10000000</f>
        <v>1.7535433</v>
      </c>
      <c r="Q6" s="24" t="str">
        <f>'Pipeline KPIs'!A6</f>
        <v>Delhi</v>
      </c>
      <c r="R6" s="63">
        <f>GETPIVOTDATA("[Measures].[Pipeline_Coverage_Ratio]",'Pipeline KPIs'!$A$2,"[dim_branch].[Branch_Name]","[dim_branch].[Branch_Name].&amp;[Delhi]")</f>
        <v>-1.3916542660017035</v>
      </c>
      <c r="T6" s="24" t="str">
        <f>'Pipeline KPIs'!A6</f>
        <v>Delhi</v>
      </c>
      <c r="U6" s="63">
        <f>GETPIVOTDATA("[Measures].[Branch_Conversion_Ratio]",'Pipeline KPIs'!$A$2,"[dim_branch].[Branch_Name]","[dim_branch].[Branch_Name].&amp;[Delhi]")</f>
        <v>0.26</v>
      </c>
      <c r="V6" s="20"/>
      <c r="Y6" s="6"/>
    </row>
    <row r="7" spans="1:25" ht="16.2" customHeight="1">
      <c r="A7" s="3" t="s">
        <v>55</v>
      </c>
      <c r="B7" s="4">
        <v>1.0350138104255018</v>
      </c>
      <c r="C7" s="6">
        <v>1.5218196409239086</v>
      </c>
      <c r="D7" s="6">
        <v>1.582927809118936</v>
      </c>
      <c r="E7" s="6">
        <v>0.76820656817693656</v>
      </c>
      <c r="G7" s="56" t="str">
        <f>'Performance KPIs'!A7</f>
        <v>Hyderabad</v>
      </c>
      <c r="H7" s="57">
        <f>GETPIVOTDATA("[Measures].[New_Achievement_%]",'Performance KPIs'!$A$2,"[dim_branch].[Branch_Name]","[dim_branch].[Branch_Name].&amp;[Hyderabad]")</f>
        <v>1.0350138104255018</v>
      </c>
      <c r="I7" s="57">
        <f>GETPIVOTDATA("[Measures].[Cross_Sell_Achievement_%]",'Performance KPIs'!$A$2,"[dim_branch].[Branch_Name]","[dim_branch].[Branch_Name].&amp;[Hyderabad]")</f>
        <v>1.5218196409239086</v>
      </c>
      <c r="J7" s="57">
        <f>GETPIVOTDATA("[Measures].[Renewal_Achievement_%]",'Performance KPIs'!$A$2,"[dim_branch].[Branch_Name]","[dim_branch].[Branch_Name].&amp;[Hyderabad]")</f>
        <v>1.582927809118936</v>
      </c>
      <c r="K7" s="58">
        <v>1</v>
      </c>
      <c r="L7" s="12"/>
      <c r="M7" s="56" t="str">
        <f>'Performance KPIs'!A7</f>
        <v>Hyderabad</v>
      </c>
      <c r="N7">
        <f>GETPIVOTDATA("[Measures].[Placed_revenue]",'Performance KPIs'!$A$2,"[dim_branch].[Branch_Name]","[dim_branch].[Branch_Name].&amp;[Hyderabad]")/10000000</f>
        <v>1.7650379730000001</v>
      </c>
      <c r="O7" s="25">
        <f>GETPIVOTDATA("[Measures].[Total_Branch_Budget]",'Performance KPIs'!$A$2,"[dim_branch].[Branch_Name]","[dim_branch].[Branch_Name].&amp;[Hyderabad]")/10000000</f>
        <v>1.275666</v>
      </c>
      <c r="Q7" s="24" t="str">
        <f>'Pipeline KPIs'!A7</f>
        <v>Hyderabad</v>
      </c>
      <c r="R7" s="63">
        <f>GETPIVOTDATA("[Measures].[Pipeline_Coverage_Ratio]",'Pipeline KPIs'!$A$2,"[dim_branch].[Branch_Name]","[dim_branch].[Branch_Name].&amp;[Hyderabad]")</f>
        <v>-1.7238005986092708</v>
      </c>
      <c r="T7" s="24" t="str">
        <f>'Pipeline KPIs'!A7</f>
        <v>Hyderabad</v>
      </c>
      <c r="U7" s="63">
        <f>GETPIVOTDATA("[Measures].[Branch_Conversion_Ratio]",'Pipeline KPIs'!$A$2,"[dim_branch].[Branch_Name]","[dim_branch].[Branch_Name].&amp;[Hyderabad]")</f>
        <v>0.16666666666666666</v>
      </c>
      <c r="V7" s="20"/>
      <c r="Y7" s="6"/>
    </row>
    <row r="8" spans="1:25">
      <c r="A8" s="3" t="s">
        <v>24</v>
      </c>
      <c r="B8" s="4">
        <v>1.4185795682675215</v>
      </c>
      <c r="C8" s="6">
        <v>1.7011528610667437</v>
      </c>
      <c r="D8" s="6">
        <v>2.233038762241415</v>
      </c>
      <c r="E8" s="6">
        <v>1.2612960891342353</v>
      </c>
      <c r="G8" s="56" t="str">
        <f>'Performance KPIs'!A8</f>
        <v>Mumbai</v>
      </c>
      <c r="H8" s="57">
        <f>GETPIVOTDATA("[Measures].[New_Achievement_%]",'Performance KPIs'!$A$2,"[dim_branch].[Branch_Name]","[dim_branch].[Branch_Name].&amp;[Mumbai]")</f>
        <v>1.4185795682675215</v>
      </c>
      <c r="I8" s="57">
        <f>GETPIVOTDATA("[Measures].[Cross_Sell_Achievement_%]",'Performance KPIs'!$A$2,"[dim_branch].[Branch_Name]","[dim_branch].[Branch_Name].&amp;[Mumbai]")</f>
        <v>1.7011528610667437</v>
      </c>
      <c r="J8" s="57">
        <f>GETPIVOTDATA("[Measures].[Renewal_Achievement_%]",'Performance KPIs'!$A$2,"[dim_branch].[Branch_Name]","[dim_branch].[Branch_Name].&amp;[Mumbai]")</f>
        <v>2.233038762241415</v>
      </c>
      <c r="K8" s="58">
        <v>1</v>
      </c>
      <c r="L8" s="12"/>
      <c r="M8" s="56" t="str">
        <f>'Performance KPIs'!A8</f>
        <v>Mumbai</v>
      </c>
      <c r="N8">
        <f>GETPIVOTDATA("[Measures].[Placed_revenue]",'Performance KPIs'!$A$2,"[dim_branch].[Branch_Name]","[dim_branch].[Branch_Name].&amp;[Mumbai]")/10000000</f>
        <v>2.9418106960000001</v>
      </c>
      <c r="O8" s="25">
        <f>GETPIVOTDATA("[Measures].[Total_Branch_Budget]",'Performance KPIs'!$A$2,"[dim_branch].[Branch_Name]","[dim_branch].[Branch_Name].&amp;[Mumbai]")/10000000</f>
        <v>1.6010009999999999</v>
      </c>
      <c r="Q8" s="24" t="str">
        <f>'Pipeline KPIs'!A8</f>
        <v>Mumbai</v>
      </c>
      <c r="R8" s="63">
        <f>GETPIVOTDATA("[Measures].[Pipeline_Coverage_Ratio]",'Pipeline KPIs'!$A$2,"[dim_branch].[Branch_Name]","[dim_branch].[Branch_Name].&amp;[Mumbai]")</f>
        <v>-1.070371361634306</v>
      </c>
      <c r="T8" s="24" t="str">
        <f>'Pipeline KPIs'!A8</f>
        <v>Mumbai</v>
      </c>
      <c r="U8" s="63">
        <f>GETPIVOTDATA("[Measures].[Branch_Conversion_Ratio]",'Pipeline KPIs'!$A$2,"[dim_branch].[Branch_Name]","[dim_branch].[Branch_Name].&amp;[Mumbai]")</f>
        <v>0.27272727272727271</v>
      </c>
      <c r="V8" s="20"/>
      <c r="Y8" s="6"/>
    </row>
    <row r="9" spans="1:25" ht="15" thickBot="1">
      <c r="A9" s="3" t="s">
        <v>50</v>
      </c>
      <c r="B9" s="4">
        <v>0.94684809440605122</v>
      </c>
      <c r="C9" s="6">
        <v>1.7271525106147652</v>
      </c>
      <c r="D9" s="6">
        <v>1.3560454766999399</v>
      </c>
      <c r="E9" s="6">
        <v>0.67858597037862989</v>
      </c>
      <c r="G9" s="59" t="str">
        <f>'Performance KPIs'!A9</f>
        <v>Pune</v>
      </c>
      <c r="H9" s="60">
        <f>GETPIVOTDATA("[Measures].[New_Achievement_%]",'Performance KPIs'!$A$2,"[dim_branch].[Branch_Name]","[dim_branch].[Branch_Name].&amp;[Pune]")</f>
        <v>0.94684809440605122</v>
      </c>
      <c r="I9" s="60">
        <f>GETPIVOTDATA("[Measures].[Cross_Sell_Achievement_%]",'Performance KPIs'!$A$2,"[dim_branch].[Branch_Name]","[dim_branch].[Branch_Name].&amp;[Pune]")</f>
        <v>1.7271525106147652</v>
      </c>
      <c r="J9" s="60">
        <f>GETPIVOTDATA("[Measures].[Renewal_Achievement_%]",'Performance KPIs'!$A$2,"[dim_branch].[Branch_Name]","[dim_branch].[Branch_Name].&amp;[Pune]")</f>
        <v>1.3560454766999399</v>
      </c>
      <c r="K9" s="61">
        <v>1</v>
      </c>
      <c r="M9" s="59" t="str">
        <f>'Performance KPIs'!A9</f>
        <v>Pune</v>
      </c>
      <c r="N9" s="27">
        <f>GETPIVOTDATA("[Measures].[Placed_revenue]",'Performance KPIs'!$A$2,"[dim_branch].[Branch_Name]","[dim_branch].[Branch_Name].&amp;[Pune]")/10000000</f>
        <v>1.991418211</v>
      </c>
      <c r="O9" s="29">
        <f>GETPIVOTDATA("[Measures].[Total_Branch_Budget]",'Performance KPIs'!$A$2,"[dim_branch].[Branch_Name]","[dim_branch].[Branch_Name].&amp;[Pune]")/10000000</f>
        <v>1.5457894000000001</v>
      </c>
      <c r="Q9" s="26" t="str">
        <f>'Pipeline KPIs'!A9</f>
        <v>Pune</v>
      </c>
      <c r="R9" s="64">
        <f>GETPIVOTDATA("[Measures].[Pipeline_Coverage_Ratio]",'Pipeline KPIs'!$A$2,"[dim_branch].[Branch_Name]","[dim_branch].[Branch_Name].&amp;[Pune]")</f>
        <v>-2.5024845173217494</v>
      </c>
      <c r="T9" s="26" t="str">
        <f>'Pipeline KPIs'!A9</f>
        <v>Pune</v>
      </c>
      <c r="U9" s="64">
        <f>GETPIVOTDATA("[Measures].[Branch_Conversion_Ratio]",'Pipeline KPIs'!$A$2,"[dim_branch].[Branch_Name]","[dim_branch].[Branch_Name].&amp;[Pune]")</f>
        <v>0.2</v>
      </c>
      <c r="V9" s="15"/>
      <c r="W9" s="16"/>
      <c r="X9" s="14"/>
      <c r="Y9" s="16"/>
    </row>
    <row r="10" spans="1:25">
      <c r="A10" s="3" t="s">
        <v>77</v>
      </c>
      <c r="B10" s="4">
        <v>0.75742593017987292</v>
      </c>
      <c r="C10" s="6">
        <v>1.1100917664290382</v>
      </c>
      <c r="D10" s="6">
        <v>1.6376139549028104</v>
      </c>
      <c r="E10" s="6">
        <v>0.62745579502506765</v>
      </c>
      <c r="V10" s="7"/>
      <c r="W10" s="6"/>
      <c r="Y10" s="6"/>
    </row>
    <row r="11" spans="1:25">
      <c r="F11" s="18"/>
      <c r="V11" s="7"/>
      <c r="W11" s="6"/>
      <c r="Y11" s="6"/>
    </row>
    <row r="12" spans="1:25" ht="15" thickBot="1">
      <c r="V12" s="7"/>
      <c r="W12" s="6"/>
      <c r="Y12" s="6"/>
    </row>
    <row r="13" spans="1:25" ht="15" thickBot="1">
      <c r="E13" s="34" t="s">
        <v>23</v>
      </c>
      <c r="F13" s="33"/>
      <c r="H13" s="34" t="s">
        <v>198</v>
      </c>
      <c r="I13" s="33"/>
      <c r="K13" s="34" t="s">
        <v>199</v>
      </c>
      <c r="L13" s="33"/>
      <c r="S13" s="17"/>
      <c r="T13" s="17"/>
      <c r="U13" s="14"/>
      <c r="V13" s="15"/>
      <c r="W13" s="16"/>
      <c r="X13" s="14"/>
      <c r="Y13" s="16"/>
    </row>
    <row r="14" spans="1:25">
      <c r="A14" s="34" t="s">
        <v>195</v>
      </c>
      <c r="B14" s="32" t="s">
        <v>196</v>
      </c>
      <c r="C14" s="33" t="s">
        <v>197</v>
      </c>
      <c r="E14" s="30" t="s">
        <v>76</v>
      </c>
      <c r="F14" s="25" t="s">
        <v>160</v>
      </c>
      <c r="H14" s="30" t="s">
        <v>76</v>
      </c>
      <c r="I14" s="25" t="s">
        <v>160</v>
      </c>
      <c r="K14" s="30" t="s">
        <v>76</v>
      </c>
      <c r="L14" s="25" t="s">
        <v>160</v>
      </c>
      <c r="S14" s="17"/>
      <c r="T14" s="17"/>
      <c r="U14" s="14"/>
      <c r="V14" s="15"/>
      <c r="W14" s="16"/>
      <c r="X14" s="14"/>
      <c r="Y14" s="16"/>
    </row>
    <row r="15" spans="1:25" ht="15" thickBot="1">
      <c r="A15" s="26">
        <v>52896409</v>
      </c>
      <c r="B15" s="27">
        <v>39212597</v>
      </c>
      <c r="C15" s="29">
        <v>60265529</v>
      </c>
      <c r="E15" s="44" t="s">
        <v>70</v>
      </c>
      <c r="F15" s="25">
        <v>36413762.939999998</v>
      </c>
      <c r="H15" s="44" t="s">
        <v>70</v>
      </c>
      <c r="I15" s="25">
        <v>19135532</v>
      </c>
      <c r="K15" s="44" t="s">
        <v>70</v>
      </c>
      <c r="L15" s="25">
        <v>7115818.1299999999</v>
      </c>
      <c r="V15" s="7"/>
      <c r="W15" s="6"/>
      <c r="Y15" s="6"/>
    </row>
    <row r="16" spans="1:25">
      <c r="E16" s="44" t="s">
        <v>68</v>
      </c>
      <c r="F16" s="25">
        <v>33810800.57</v>
      </c>
      <c r="H16" s="44" t="s">
        <v>68</v>
      </c>
      <c r="I16" s="25">
        <v>23482131</v>
      </c>
      <c r="K16" s="44" t="s">
        <v>68</v>
      </c>
      <c r="L16" s="25">
        <v>6254311.2199999997</v>
      </c>
      <c r="V16" s="7"/>
      <c r="W16" s="6"/>
      <c r="Y16" s="6"/>
    </row>
    <row r="17" spans="1:25" ht="15" thickBot="1">
      <c r="E17" s="44" t="s">
        <v>26</v>
      </c>
      <c r="F17" s="25">
        <v>87328955.010000005</v>
      </c>
      <c r="H17" s="44" t="s">
        <v>26</v>
      </c>
      <c r="I17" s="25">
        <v>52990622</v>
      </c>
      <c r="K17" s="44" t="s">
        <v>26</v>
      </c>
      <c r="L17" s="25">
        <v>11362716.279999999</v>
      </c>
      <c r="V17" s="7"/>
      <c r="W17" s="6"/>
      <c r="Y17" s="6"/>
    </row>
    <row r="18" spans="1:25" ht="15" thickBot="1">
      <c r="A18" s="31" t="s">
        <v>76</v>
      </c>
      <c r="B18" s="32" t="s">
        <v>215</v>
      </c>
      <c r="C18" s="33" t="s">
        <v>160</v>
      </c>
      <c r="E18" s="46" t="s">
        <v>77</v>
      </c>
      <c r="F18" s="29">
        <v>157553518.52000001</v>
      </c>
      <c r="H18" s="46" t="s">
        <v>77</v>
      </c>
      <c r="I18" s="29">
        <v>95608285</v>
      </c>
      <c r="K18" s="46" t="s">
        <v>77</v>
      </c>
      <c r="L18" s="29">
        <v>24732845.629999999</v>
      </c>
      <c r="V18" s="7"/>
      <c r="W18" s="6"/>
      <c r="Y18" s="6"/>
    </row>
    <row r="19" spans="1:25">
      <c r="A19" s="44" t="s">
        <v>207</v>
      </c>
      <c r="B19">
        <v>22530707.520000003</v>
      </c>
      <c r="C19" s="25">
        <v>372751</v>
      </c>
      <c r="V19" s="7"/>
      <c r="W19" s="6"/>
      <c r="Y19" s="6"/>
    </row>
    <row r="20" spans="1:25">
      <c r="A20" s="44" t="s">
        <v>206</v>
      </c>
      <c r="B20">
        <v>11883942.620000001</v>
      </c>
      <c r="C20" s="25"/>
      <c r="V20" s="7"/>
      <c r="W20" s="6"/>
      <c r="Y20" s="6"/>
    </row>
    <row r="21" spans="1:25" ht="15" thickBot="1">
      <c r="A21" s="44" t="s">
        <v>210</v>
      </c>
      <c r="B21">
        <v>18281595.189999998</v>
      </c>
      <c r="C21" s="25">
        <v>7729023</v>
      </c>
      <c r="S21" s="17"/>
      <c r="T21" s="17"/>
      <c r="U21" s="14"/>
      <c r="V21" s="15"/>
      <c r="W21" s="16"/>
      <c r="X21" s="14"/>
      <c r="Y21" s="16"/>
    </row>
    <row r="22" spans="1:25">
      <c r="A22" s="44" t="s">
        <v>203</v>
      </c>
      <c r="B22">
        <v>15804649.880000001</v>
      </c>
      <c r="C22" s="25">
        <v>10029460</v>
      </c>
      <c r="E22" s="54" t="s">
        <v>200</v>
      </c>
      <c r="F22" s="55" t="s">
        <v>202</v>
      </c>
      <c r="G22" s="55" t="s">
        <v>201</v>
      </c>
      <c r="H22" s="65" t="s">
        <v>198</v>
      </c>
      <c r="K22" s="71" t="s">
        <v>64</v>
      </c>
      <c r="L22" s="33">
        <f>AVERAGEIF('Client Policy KPIs'!H3:H44,K22,'Client Policy KPIs'!J3:J44)</f>
        <v>101234.6</v>
      </c>
      <c r="S22" s="17"/>
      <c r="T22" s="17"/>
      <c r="U22" s="14"/>
      <c r="V22" s="15"/>
      <c r="W22" s="16"/>
      <c r="X22" s="14"/>
      <c r="Y22" s="16"/>
    </row>
    <row r="23" spans="1:25">
      <c r="A23" s="44" t="s">
        <v>211</v>
      </c>
      <c r="B23">
        <v>14719188.949999999</v>
      </c>
      <c r="C23" s="25">
        <v>8177255</v>
      </c>
      <c r="E23" s="56" t="s">
        <v>70</v>
      </c>
      <c r="F23" s="10">
        <f>GETPIVOTDATA("[Measures].[Sum of Budget_CrossSell]",$A$14)</f>
        <v>39212597</v>
      </c>
      <c r="G23" s="10">
        <f>GETPIVOTDATA("[Measures].[Sum of Amount 2]",$E$14,"[brokerage].[income_class]","[brokerage].[income_class].&amp;[Cross Sell]")+GETPIVOTDATA("[Measures].[Sum of Amount 3]",$K$14,"[fees].[income_class]","[fees].[income_class].&amp;[Cross Sell]")</f>
        <v>43529581.07</v>
      </c>
      <c r="H23" s="66">
        <f>GETPIVOTDATA("[Measures].[Sum of Amount]",$H$14,"[invoice].[income_class]","[invoice].[income_class].&amp;[Cross Sell]")</f>
        <v>19135532</v>
      </c>
      <c r="K23" s="44" t="s">
        <v>38</v>
      </c>
      <c r="L23" s="25">
        <f>AVERAGEIF('Client Policy KPIs'!H4:H45,K23,'Client Policy KPIs'!J4:J45)</f>
        <v>107143.46666666666</v>
      </c>
      <c r="V23" s="7"/>
      <c r="W23" s="6"/>
      <c r="Y23" s="6"/>
    </row>
    <row r="24" spans="1:25">
      <c r="A24" s="44" t="s">
        <v>209</v>
      </c>
      <c r="B24">
        <v>12644890.260000002</v>
      </c>
      <c r="C24" s="25">
        <v>7422189</v>
      </c>
      <c r="E24" s="56" t="s">
        <v>68</v>
      </c>
      <c r="F24" s="10">
        <f>GETPIVOTDATA("[Measures].[Sum of Budget_New]",$A$14)</f>
        <v>52896409</v>
      </c>
      <c r="G24" s="10">
        <f>GETPIVOTDATA("[Measures].[Sum of Amount 2]",$E$14,"[brokerage].[income_class]","[brokerage].[income_class].&amp;[New]")+GETPIVOTDATA("[Measures].[Sum of Amount 3]",$K$14,"[fees].[income_class]","[fees].[income_class].&amp;[New]")</f>
        <v>40065111.789999999</v>
      </c>
      <c r="H24" s="66">
        <f>GETPIVOTDATA("[Measures].[Sum of Amount]",$H$14,"[invoice].[income_class]","[invoice].[income_class].&amp;[New]")</f>
        <v>23482131</v>
      </c>
      <c r="K24" s="44" t="s">
        <v>45</v>
      </c>
      <c r="L24" s="25">
        <f>AVERAGEIF('Client Policy KPIs'!H5:H46,K24,'Client Policy KPIs'!J5:J46)</f>
        <v>92409.333333333328</v>
      </c>
      <c r="V24" s="7"/>
      <c r="W24" s="6"/>
      <c r="Y24" s="6"/>
    </row>
    <row r="25" spans="1:25" ht="15" thickBot="1">
      <c r="A25" s="44" t="s">
        <v>208</v>
      </c>
      <c r="B25">
        <v>16549087.540000001</v>
      </c>
      <c r="C25" s="25">
        <v>9978000</v>
      </c>
      <c r="E25" s="59" t="s">
        <v>26</v>
      </c>
      <c r="F25" s="67">
        <f>GETPIVOTDATA("[Measures].[Sum of Budget_Renewal]",$A$14)</f>
        <v>60265529</v>
      </c>
      <c r="G25" s="67">
        <f>GETPIVOTDATA("[Measures].[Sum of Amount 2]",$E$14,"[brokerage].[income_class]","[brokerage].[income_class].&amp;[Renewal]")+GETPIVOTDATA("[Measures].[Sum of Amount 3]",$K$14,"[fees].[income_class]","[fees].[income_class].&amp;[Renewal]")</f>
        <v>98691671.290000007</v>
      </c>
      <c r="H25" s="68">
        <f>GETPIVOTDATA("[Measures].[Sum of Amount]",$H$14,"[invoice].[income_class]","[invoice].[income_class].&amp;[Renewal]")</f>
        <v>52990622</v>
      </c>
      <c r="K25" s="44" t="s">
        <v>32</v>
      </c>
      <c r="L25" s="25">
        <f>AVERAGEIF('Client Policy KPIs'!H6:H47,K25,'Client Policy KPIs'!J6:J47)</f>
        <v>156491.36363636365</v>
      </c>
      <c r="V25" s="7"/>
      <c r="W25" s="6"/>
      <c r="Y25" s="6"/>
    </row>
    <row r="26" spans="1:25">
      <c r="A26" s="44" t="s">
        <v>204</v>
      </c>
      <c r="B26">
        <v>17322474.050000001</v>
      </c>
      <c r="C26" s="25">
        <v>8013095</v>
      </c>
      <c r="K26" s="44" t="s">
        <v>55</v>
      </c>
      <c r="L26" s="25">
        <f>AVERAGEIF('Client Policy KPIs'!H7:H48,K26,'Client Policy KPIs'!J7:J48)</f>
        <v>115334.93333333333</v>
      </c>
      <c r="V26" s="7"/>
      <c r="W26" s="6"/>
      <c r="Y26" s="6"/>
    </row>
    <row r="27" spans="1:25" ht="15" thickBot="1">
      <c r="A27" s="44" t="s">
        <v>214</v>
      </c>
      <c r="B27">
        <v>14090519.98</v>
      </c>
      <c r="C27" s="25">
        <v>8768768</v>
      </c>
      <c r="E27" s="10"/>
      <c r="H27" s="10"/>
      <c r="K27" s="44" t="s">
        <v>24</v>
      </c>
      <c r="L27" s="25">
        <f>AVERAGEIF('Client Policy KPIs'!H8:H49,K27,'Client Policy KPIs'!J8:J49)</f>
        <v>135564.85185185185</v>
      </c>
      <c r="V27" s="7"/>
      <c r="W27" s="6"/>
      <c r="Y27" s="6"/>
    </row>
    <row r="28" spans="1:25" ht="16.2" thickBot="1">
      <c r="A28" s="44" t="s">
        <v>213</v>
      </c>
      <c r="B28">
        <v>13895541.859999999</v>
      </c>
      <c r="C28" s="25">
        <v>12025284</v>
      </c>
      <c r="E28" s="162" t="s">
        <v>158</v>
      </c>
      <c r="F28" s="163"/>
      <c r="G28" s="163"/>
      <c r="H28" s="164"/>
      <c r="K28" s="46" t="s">
        <v>50</v>
      </c>
      <c r="L28" s="29">
        <f>AVERAGEIF('Client Policy KPIs'!H9:H50,K28,'Client Policy KPIs'!J9:J50)</f>
        <v>122147.85714285714</v>
      </c>
      <c r="V28" s="7"/>
      <c r="W28" s="6"/>
      <c r="Y28" s="6"/>
    </row>
    <row r="29" spans="1:25">
      <c r="A29" s="44" t="s">
        <v>212</v>
      </c>
      <c r="B29">
        <v>11592088.26</v>
      </c>
      <c r="C29" s="25">
        <v>10047672</v>
      </c>
      <c r="E29" s="69" t="s">
        <v>159</v>
      </c>
      <c r="F29" s="1" t="s">
        <v>70</v>
      </c>
      <c r="G29" s="1" t="s">
        <v>68</v>
      </c>
      <c r="H29" s="70" t="s">
        <v>26</v>
      </c>
      <c r="V29" s="7"/>
      <c r="W29" s="6"/>
      <c r="Y29" s="6"/>
    </row>
    <row r="30" spans="1:25">
      <c r="A30" s="44" t="s">
        <v>205</v>
      </c>
      <c r="B30">
        <v>12971678.040000001</v>
      </c>
      <c r="C30" s="25">
        <v>13044788</v>
      </c>
      <c r="E30" s="24" t="str">
        <f>'Invoice KPIs'!G14</f>
        <v>Ahmedabad</v>
      </c>
      <c r="F30">
        <f>GETPIVOTDATA("[Measures].[Count of invoice_number]",'Invoice KPIs'!$G$12,"[invoice].[income_class]","[invoice].[income_class].&amp;[Cross Sell]","[invoice].[branch_name]","[invoice].[branch_name].&amp;[Ahmedabad]")</f>
        <v>74</v>
      </c>
      <c r="G30">
        <f>GETPIVOTDATA("[Measures].[Count of invoice_number]",'Invoice KPIs'!$G$12,"[invoice].[income_class]","[invoice].[income_class].&amp;[New]","[invoice].[branch_name]","[invoice].[branch_name].&amp;[Ahmedabad]")</f>
        <v>28</v>
      </c>
      <c r="H30" s="25">
        <f>GETPIVOTDATA("[Measures].[Count of invoice_number]",'Invoice KPIs'!$G$12,"[invoice].[income_class]","[invoice].[income_class].&amp;[Renewal]","[invoice].[branch_name]","[invoice].[branch_name].&amp;[Ahmedabad]")</f>
        <v>102</v>
      </c>
      <c r="S30" s="17"/>
      <c r="T30" s="17"/>
      <c r="U30" s="14"/>
      <c r="V30" s="15"/>
      <c r="W30" s="16"/>
      <c r="X30" s="14"/>
      <c r="Y30" s="16"/>
    </row>
    <row r="31" spans="1:25" ht="15" thickBot="1">
      <c r="A31" s="46" t="s">
        <v>77</v>
      </c>
      <c r="B31" s="27">
        <v>182286364.15000001</v>
      </c>
      <c r="C31" s="29">
        <v>95608285</v>
      </c>
      <c r="E31" s="24" t="str">
        <f>'Invoice KPIs'!G15</f>
        <v>Bangalore</v>
      </c>
      <c r="F31">
        <f>GETPIVOTDATA("[Measures].[Count of invoice_number]",'Invoice KPIs'!$G$12,"[invoice].[income_class]","[invoice].[income_class].&amp;[Cross Sell]","[invoice].[branch_name]","[invoice].[branch_name].&amp;[Bangalore]")</f>
        <v>30</v>
      </c>
      <c r="G31">
        <f>GETPIVOTDATA("[Measures].[Count of invoice_number]",'Invoice KPIs'!$G$12,"[invoice].[income_class]","[invoice].[income_class].&amp;[New]","[invoice].[branch_name]","[invoice].[branch_name].&amp;[Bangalore]")</f>
        <v>31</v>
      </c>
      <c r="H31" s="25">
        <f>GETPIVOTDATA("[Measures].[Count of invoice_number]",'Invoice KPIs'!$G$12,"[invoice].[income_class]","[invoice].[income_class].&amp;[Renewal]","[invoice].[branch_name]","[invoice].[branch_name].&amp;[Bangalore]")</f>
        <v>79</v>
      </c>
      <c r="V31" s="7"/>
      <c r="W31" s="6"/>
      <c r="Y31" s="6"/>
    </row>
    <row r="32" spans="1:25">
      <c r="E32" s="24" t="str">
        <f>'Invoice KPIs'!G16</f>
        <v>Chennai</v>
      </c>
      <c r="F32">
        <f>GETPIVOTDATA("[Measures].[Count of invoice_number]",'Invoice KPIs'!$G$12,"[invoice].[income_class]","[invoice].[income_class].&amp;[Cross Sell]","[invoice].[branch_name]","[invoice].[branch_name].&amp;[Chennai]")</f>
        <v>20</v>
      </c>
      <c r="G32">
        <f>GETPIVOTDATA("[Measures].[Count of invoice_number]",'Invoice KPIs'!$G$12,"[invoice].[income_class]","[invoice].[income_class].&amp;[New]","[invoice].[branch_name]","[invoice].[branch_name].&amp;[Chennai]")</f>
        <v>29</v>
      </c>
      <c r="H32" s="25">
        <f>GETPIVOTDATA("[Measures].[Count of invoice_number]",'Invoice KPIs'!$G$12,"[invoice].[income_class]","[invoice].[income_class].&amp;[Renewal]","[invoice].[branch_name]","[invoice].[branch_name].&amp;[Chennai]")</f>
        <v>71</v>
      </c>
      <c r="V32" s="7"/>
      <c r="W32" s="6"/>
      <c r="Y32" s="6"/>
    </row>
    <row r="33" spans="1:25" ht="15" thickBot="1">
      <c r="E33" s="24" t="str">
        <f>'Invoice KPIs'!G17</f>
        <v>Delhi</v>
      </c>
      <c r="F33">
        <f>GETPIVOTDATA("[Measures].[Count of invoice_number]",'Invoice KPIs'!$G$12,"[invoice].[income_class]","[invoice].[income_class].&amp;[Cross Sell]","[invoice].[branch_name]","[invoice].[branch_name].&amp;[Delhi]")</f>
        <v>46</v>
      </c>
      <c r="G33">
        <f>GETPIVOTDATA("[Measures].[Count of invoice_number]",'Invoice KPIs'!$G$12,"[invoice].[income_class]","[invoice].[income_class].&amp;[New]","[invoice].[branch_name]","[invoice].[branch_name].&amp;[Delhi]")</f>
        <v>37</v>
      </c>
      <c r="H33" s="25">
        <f>GETPIVOTDATA("[Measures].[Count of invoice_number]",'Invoice KPIs'!$G$12,"[invoice].[income_class]","[invoice].[income_class].&amp;[Renewal]","[invoice].[branch_name]","[invoice].[branch_name].&amp;[Delhi]")</f>
        <v>77</v>
      </c>
      <c r="V33" s="7"/>
      <c r="W33" s="6"/>
      <c r="Y33" s="6"/>
    </row>
    <row r="34" spans="1:25">
      <c r="A34" s="71" t="s">
        <v>216</v>
      </c>
      <c r="B34" s="72" t="s">
        <v>215</v>
      </c>
      <c r="C34" s="73" t="s">
        <v>217</v>
      </c>
      <c r="E34" s="24" t="str">
        <f>'Invoice KPIs'!G18</f>
        <v>Hyderabad</v>
      </c>
      <c r="F34">
        <f>GETPIVOTDATA("[Measures].[Count of invoice_number]",'Invoice KPIs'!$G$12,"[invoice].[income_class]","[invoice].[income_class].&amp;[Cross Sell]","[invoice].[branch_name]","[invoice].[branch_name].&amp;[Hyderabad]")</f>
        <v>12</v>
      </c>
      <c r="G34">
        <f>GETPIVOTDATA("[Measures].[Count of invoice_number]",'Invoice KPIs'!$G$12,"[invoice].[income_class]","[invoice].[income_class].&amp;[New]","[invoice].[branch_name]","[invoice].[branch_name].&amp;[Hyderabad]")</f>
        <v>22</v>
      </c>
      <c r="H34" s="25">
        <f>GETPIVOTDATA("[Measures].[Count of invoice_number]",'Invoice KPIs'!$G$12,"[invoice].[income_class]","[invoice].[income_class].&amp;[Renewal]","[invoice].[branch_name]","[invoice].[branch_name].&amp;[Hyderabad]")</f>
        <v>46</v>
      </c>
      <c r="V34" s="7"/>
      <c r="W34" s="6"/>
      <c r="Y34" s="6"/>
    </row>
    <row r="35" spans="1:25">
      <c r="A35" s="24" t="str" cm="1">
        <f t="array" ref="A35:A46">A19:A30</f>
        <v>January</v>
      </c>
      <c r="B35" cm="1">
        <f t="array" ref="B35:B46">B19:B30</f>
        <v>22530707.520000003</v>
      </c>
      <c r="C35" s="25" cm="1">
        <f t="array" ref="C35:C46">C19:C30</f>
        <v>372751</v>
      </c>
      <c r="E35" s="24" t="str">
        <f>'Invoice KPIs'!G19</f>
        <v>Mumbai</v>
      </c>
      <c r="F35">
        <f>GETPIVOTDATA("[Measures].[Count of invoice_number]",'Invoice KPIs'!$G$12,"[invoice].[income_class]","[invoice].[income_class].&amp;[Cross Sell]","[invoice].[branch_name]","[invoice].[branch_name].&amp;[Mumbai]")</f>
        <v>29</v>
      </c>
      <c r="G35">
        <f>GETPIVOTDATA("[Measures].[Count of invoice_number]",'Invoice KPIs'!$G$12,"[invoice].[income_class]","[invoice].[income_class].&amp;[New]","[invoice].[branch_name]","[invoice].[branch_name].&amp;[Mumbai]")</f>
        <v>55</v>
      </c>
      <c r="H35" s="25">
        <f>GETPIVOTDATA("[Measures].[Count of invoice_number]",'Invoice KPIs'!$G$12,"[invoice].[income_class]","[invoice].[income_class].&amp;[Renewal]","[invoice].[branch_name]","[invoice].[branch_name].&amp;[Mumbai]")</f>
        <v>96</v>
      </c>
      <c r="V35" s="7"/>
      <c r="W35" s="6"/>
      <c r="Y35" s="6"/>
    </row>
    <row r="36" spans="1:25" ht="15" thickBot="1">
      <c r="A36" s="24" t="str">
        <v>February</v>
      </c>
      <c r="B36">
        <v>11883942.620000001</v>
      </c>
      <c r="C36" s="25">
        <v>0</v>
      </c>
      <c r="E36" s="26" t="str">
        <f>'Invoice KPIs'!G20</f>
        <v>Pune</v>
      </c>
      <c r="F36" s="27">
        <f>GETPIVOTDATA("[Measures].[Count of invoice_number]",'Invoice KPIs'!$G$12,"[invoice].[income_class]","[invoice].[income_class].&amp;[Cross Sell]","[invoice].[branch_name]","[invoice].[branch_name].&amp;[Pune]")</f>
        <v>20</v>
      </c>
      <c r="G36" s="27">
        <f>GETPIVOTDATA("[Measures].[Count of invoice_number]",'Invoice KPIs'!$G$12,"[invoice].[income_class]","[invoice].[income_class].&amp;[New]","[invoice].[branch_name]","[invoice].[branch_name].&amp;[Pune]")</f>
        <v>31</v>
      </c>
      <c r="H36" s="29">
        <f>GETPIVOTDATA("[Measures].[Count of invoice_number]",'Invoice KPIs'!$G$12,"[invoice].[income_class]","[invoice].[income_class].&amp;[Renewal]","[invoice].[branch_name]","[invoice].[branch_name].&amp;[Pune]")</f>
        <v>49</v>
      </c>
      <c r="V36" s="7"/>
      <c r="W36" s="6"/>
      <c r="Y36" s="6"/>
    </row>
    <row r="37" spans="1:25" ht="15" thickBot="1">
      <c r="A37" s="24" t="str">
        <v>March</v>
      </c>
      <c r="B37">
        <v>18281595.189999998</v>
      </c>
      <c r="C37" s="25">
        <v>7729023</v>
      </c>
      <c r="S37" s="17"/>
      <c r="T37" s="17"/>
      <c r="U37" s="14"/>
      <c r="V37" s="15"/>
      <c r="W37" s="16"/>
      <c r="X37" s="14"/>
      <c r="Y37" s="16"/>
    </row>
    <row r="38" spans="1:25" ht="15" thickBot="1">
      <c r="A38" s="24" t="str">
        <v>April</v>
      </c>
      <c r="B38">
        <v>15804649.880000001</v>
      </c>
      <c r="C38" s="25">
        <v>10029460</v>
      </c>
      <c r="E38" s="36" t="s">
        <v>159</v>
      </c>
      <c r="F38" s="40" t="s">
        <v>18</v>
      </c>
      <c r="V38" s="7"/>
      <c r="W38" s="6"/>
      <c r="Y38" s="6"/>
    </row>
    <row r="39" spans="1:25">
      <c r="A39" s="24" t="str">
        <v>May</v>
      </c>
      <c r="B39">
        <v>14719188.949999999</v>
      </c>
      <c r="C39" s="25">
        <v>8177255</v>
      </c>
      <c r="E39" s="77" t="s">
        <v>64</v>
      </c>
      <c r="F39" s="37">
        <v>60111.303921568629</v>
      </c>
      <c r="H39" t="str">
        <f>'Pipeline KPIs'!A13</f>
        <v>Opportunity stage</v>
      </c>
      <c r="I39" t="str">
        <f>'Pipeline KPIs'!B13</f>
        <v>Count</v>
      </c>
      <c r="S39" s="17"/>
      <c r="T39" s="17"/>
      <c r="U39" s="14"/>
      <c r="V39" s="15"/>
      <c r="W39" s="16"/>
      <c r="X39" s="14"/>
      <c r="Y39" s="16"/>
    </row>
    <row r="40" spans="1:25">
      <c r="A40" s="24" t="str">
        <v>June</v>
      </c>
      <c r="B40">
        <v>12644890.260000002</v>
      </c>
      <c r="C40" s="25">
        <v>7422189</v>
      </c>
      <c r="E40" s="78" t="s">
        <v>38</v>
      </c>
      <c r="F40" s="38">
        <v>93529.05</v>
      </c>
      <c r="H40" t="str">
        <f>'Pipeline KPIs'!A17</f>
        <v>Qualify Opportunity</v>
      </c>
      <c r="I40">
        <f>GETPIVOTDATA("[Measures].[Count of opportunity_id]",'Pipeline KPIs'!$A$13,"[Opportunity].[stage]","[Opportunity].[stage].&amp;[Qualify Opportunity]")</f>
        <v>124</v>
      </c>
      <c r="S40" s="17"/>
      <c r="T40" s="17"/>
      <c r="U40" s="14"/>
      <c r="V40" s="15"/>
      <c r="W40" s="16"/>
      <c r="X40" s="14"/>
      <c r="Y40" s="16"/>
    </row>
    <row r="41" spans="1:25">
      <c r="A41" s="24" t="str">
        <v>July</v>
      </c>
      <c r="B41">
        <v>16549087.540000001</v>
      </c>
      <c r="C41" s="25">
        <v>9978000</v>
      </c>
      <c r="E41" s="78" t="s">
        <v>45</v>
      </c>
      <c r="F41" s="38">
        <v>97035.774999999994</v>
      </c>
      <c r="H41" t="str">
        <f>'Pipeline KPIs'!A18</f>
        <v>Won</v>
      </c>
      <c r="I41">
        <f>GETPIVOTDATA("[Measures].[Count of opportunity_id]",'Pipeline KPIs'!$A$13,"[Opportunity].[stage]","[Opportunity].[stage].&amp;[Won]")</f>
        <v>72</v>
      </c>
      <c r="V41" s="7"/>
      <c r="W41" s="6"/>
      <c r="Y41" s="6"/>
    </row>
    <row r="42" spans="1:25">
      <c r="A42" s="24" t="str">
        <v>August</v>
      </c>
      <c r="B42">
        <v>17322474.050000001</v>
      </c>
      <c r="C42" s="25">
        <v>8013095</v>
      </c>
      <c r="E42" s="78" t="s">
        <v>32</v>
      </c>
      <c r="F42" s="38">
        <v>113278.72500000001</v>
      </c>
      <c r="H42" t="str">
        <f>'Pipeline KPIs'!A16</f>
        <v>Propose Solution</v>
      </c>
      <c r="I42">
        <f>GETPIVOTDATA("[Measures].[Count of opportunity_id]",'Pipeline KPIs'!$A$13,"[Opportunity].[stage]","[Opportunity].[stage].&amp;[Propose Solution]")</f>
        <v>51</v>
      </c>
      <c r="V42" s="7"/>
      <c r="W42" s="6"/>
      <c r="Y42" s="6"/>
    </row>
    <row r="43" spans="1:25">
      <c r="A43" s="24" t="str">
        <v>September</v>
      </c>
      <c r="B43">
        <v>14090519.98</v>
      </c>
      <c r="C43" s="25">
        <v>8768768</v>
      </c>
      <c r="E43" s="78" t="s">
        <v>55</v>
      </c>
      <c r="F43" s="38">
        <v>122496.875</v>
      </c>
      <c r="H43" t="str">
        <f>'Pipeline KPIs'!A15</f>
        <v>Negotiate</v>
      </c>
      <c r="I43">
        <f>GETPIVOTDATA("[Measures].[Count of opportunity_id]",'Pipeline KPIs'!$A$13,"[Opportunity].[stage]","[Opportunity].[stage].&amp;[Negotiate]")</f>
        <v>46</v>
      </c>
      <c r="V43" s="7"/>
      <c r="W43" s="6"/>
      <c r="Y43" s="6"/>
    </row>
    <row r="44" spans="1:25">
      <c r="A44" s="24" t="str">
        <v>October</v>
      </c>
      <c r="B44">
        <v>13895541.859999999</v>
      </c>
      <c r="C44" s="25">
        <v>12025284</v>
      </c>
      <c r="E44" s="78" t="s">
        <v>24</v>
      </c>
      <c r="F44" s="38">
        <v>112185.35</v>
      </c>
      <c r="H44" t="str">
        <f>'Pipeline KPIs'!A14</f>
        <v>Lost</v>
      </c>
      <c r="I44">
        <f>GETPIVOTDATA("[Measures].[Count of opportunity_id]",'Pipeline KPIs'!$A$13,"[Opportunity].[stage]","[Opportunity].[stage].&amp;[Lost]")</f>
        <v>25</v>
      </c>
      <c r="V44" s="7"/>
      <c r="W44" s="6"/>
      <c r="Y44" s="6"/>
    </row>
    <row r="45" spans="1:25" ht="15" thickBot="1">
      <c r="A45" s="24" t="str">
        <v>November</v>
      </c>
      <c r="B45">
        <v>11592088.26</v>
      </c>
      <c r="C45" s="25">
        <v>10047672</v>
      </c>
      <c r="E45" s="79" t="s">
        <v>50</v>
      </c>
      <c r="F45" s="38">
        <v>104895.1</v>
      </c>
      <c r="V45" s="7"/>
      <c r="W45" s="6"/>
      <c r="Y45" s="6"/>
    </row>
    <row r="46" spans="1:25" ht="15" thickBot="1">
      <c r="A46" s="26" t="str">
        <v>December</v>
      </c>
      <c r="B46" s="27">
        <v>12971678.040000001</v>
      </c>
      <c r="C46" s="29">
        <v>13044788</v>
      </c>
      <c r="E46" s="50" t="s">
        <v>77</v>
      </c>
      <c r="F46" s="39">
        <v>97162.891260162607</v>
      </c>
      <c r="V46" s="7"/>
      <c r="W46" s="6"/>
      <c r="Y46" s="6"/>
    </row>
    <row r="47" spans="1:25">
      <c r="V47" s="7"/>
      <c r="W47" s="6"/>
      <c r="Y47" s="6"/>
    </row>
    <row r="50" spans="21:26">
      <c r="U50" s="6"/>
      <c r="W50" s="6"/>
      <c r="X50" s="6"/>
      <c r="Y50" s="6"/>
      <c r="Z50" s="6"/>
    </row>
    <row r="51" spans="21:26">
      <c r="W51" s="6"/>
      <c r="X51" s="6"/>
      <c r="Y51" s="6"/>
      <c r="Z51" s="6"/>
    </row>
    <row r="52" spans="21:26">
      <c r="W52" s="6"/>
      <c r="X52" s="6"/>
      <c r="Y52" s="6"/>
      <c r="Z52" s="6"/>
    </row>
    <row r="53" spans="21:26">
      <c r="W53" s="6"/>
      <c r="X53" s="6"/>
      <c r="Y53" s="6"/>
      <c r="Z53" s="6"/>
    </row>
    <row r="54" spans="21:26">
      <c r="W54" s="6"/>
      <c r="X54" s="6"/>
      <c r="Y54" s="6"/>
      <c r="Z54" s="6"/>
    </row>
    <row r="55" spans="21:26">
      <c r="W55" s="6"/>
      <c r="X55" s="6"/>
      <c r="Y55" s="6"/>
      <c r="Z55" s="6"/>
    </row>
    <row r="56" spans="21:26">
      <c r="W56" s="6"/>
      <c r="X56" s="6"/>
      <c r="Y56" s="6"/>
      <c r="Z56" s="6"/>
    </row>
    <row r="57" spans="21:26">
      <c r="W57" s="6"/>
      <c r="X57" s="6"/>
      <c r="Y57" s="6"/>
      <c r="Z57" s="6"/>
    </row>
  </sheetData>
  <autoFilter ref="H39:I44" xr:uid="{3B28106A-C134-45A9-B481-F65852592AB8}">
    <sortState xmlns:xlrd2="http://schemas.microsoft.com/office/spreadsheetml/2017/richdata2" ref="H40:I44">
      <sortCondition descending="1" ref="I39:I44"/>
    </sortState>
  </autoFilter>
  <mergeCells count="1">
    <mergeCell ref="E28:H2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Props1.xml><?xml version="1.0" encoding="utf-8"?>
<ds:datastoreItem xmlns:ds="http://schemas.openxmlformats.org/officeDocument/2006/customXml" ds:itemID="{B0ED2357-0F3E-4827-A285-0006D8EF48B7}">
  <ds:schemaRefs/>
</ds:datastoreItem>
</file>

<file path=customXml/itemProps2.xml><?xml version="1.0" encoding="utf-8"?>
<ds:datastoreItem xmlns:ds="http://schemas.openxmlformats.org/officeDocument/2006/customXml" ds:itemID="{BE77E1ED-C09A-4FD8-9365-1ABA91EE1922}">
  <ds:schemaRefs/>
</ds:datastoreItem>
</file>

<file path=customXml/itemProps3.xml><?xml version="1.0" encoding="utf-8"?>
<ds:datastoreItem xmlns:ds="http://schemas.openxmlformats.org/officeDocument/2006/customXml" ds:itemID="{7647FAFF-153E-401B-9B4C-4912BEB7A923}">
  <ds:schemaRefs/>
</ds:datastoreItem>
</file>

<file path=customXml/itemProps4.xml><?xml version="1.0" encoding="utf-8"?>
<ds:datastoreItem xmlns:ds="http://schemas.openxmlformats.org/officeDocument/2006/customXml" ds:itemID="{6988226C-AB82-4256-A6C3-1C671E50AB73}">
  <ds:schemaRefs/>
</ds:datastoreItem>
</file>

<file path=customXml/itemProps5.xml><?xml version="1.0" encoding="utf-8"?>
<ds:datastoreItem xmlns:ds="http://schemas.openxmlformats.org/officeDocument/2006/customXml" ds:itemID="{ED20955B-84EE-4195-B1CF-EA1659F5F4F9}">
  <ds:schemaRefs/>
</ds:datastoreItem>
</file>

<file path=customXml/itemProps6.xml><?xml version="1.0" encoding="utf-8"?>
<ds:datastoreItem xmlns:ds="http://schemas.openxmlformats.org/officeDocument/2006/customXml" ds:itemID="{27385296-9CD9-49AB-B740-8FDE850F2C72}">
  <ds:schemaRefs/>
</ds:datastoreItem>
</file>

<file path=customXml/itemProps7.xml><?xml version="1.0" encoding="utf-8"?>
<ds:datastoreItem xmlns:ds="http://schemas.openxmlformats.org/officeDocument/2006/customXml" ds:itemID="{20AE0454-3207-420B-88B6-D74A16A62C90}">
  <ds:schemaRefs/>
</ds:datastoreItem>
</file>

<file path=customXml/itemProps8.xml><?xml version="1.0" encoding="utf-8"?>
<ds:datastoreItem xmlns:ds="http://schemas.openxmlformats.org/officeDocument/2006/customXml" ds:itemID="{F8D35E4B-C755-44E1-AB5B-68C7602A444A}">
  <ds:schemaRefs/>
</ds:datastoreItem>
</file>

<file path=customXml/itemProps9.xml><?xml version="1.0" encoding="utf-8"?>
<ds:datastoreItem xmlns:ds="http://schemas.openxmlformats.org/officeDocument/2006/customXml" ds:itemID="{BE1382AD-D37B-4BE8-9F1B-EA9E6ED9FD53}">
  <ds:schemaRefs/>
</ds:datastoreItem>
</file>

<file path=customXml/itemProps10.xml><?xml version="1.0" encoding="utf-8"?>
<ds:datastoreItem xmlns:ds="http://schemas.openxmlformats.org/officeDocument/2006/customXml" ds:itemID="{8A371D7C-F2F3-4B91-BE94-447D1603535A}">
  <ds:schemaRefs/>
</ds:datastoreItem>
</file>

<file path=customXml/itemProps11.xml><?xml version="1.0" encoding="utf-8"?>
<ds:datastoreItem xmlns:ds="http://schemas.openxmlformats.org/officeDocument/2006/customXml" ds:itemID="{B8459431-E150-48D2-AD00-26A4FA1EF4DB}">
  <ds:schemaRefs/>
</ds:datastoreItem>
</file>

<file path=customXml/itemProps12.xml><?xml version="1.0" encoding="utf-8"?>
<ds:datastoreItem xmlns:ds="http://schemas.openxmlformats.org/officeDocument/2006/customXml" ds:itemID="{4C071212-0976-4FA8-A40B-CBE5E139E49E}">
  <ds:schemaRefs/>
</ds:datastoreItem>
</file>

<file path=customXml/itemProps13.xml><?xml version="1.0" encoding="utf-8"?>
<ds:datastoreItem xmlns:ds="http://schemas.openxmlformats.org/officeDocument/2006/customXml" ds:itemID="{37BB0638-17D4-4660-A2D1-908EC1193C2D}">
  <ds:schemaRefs/>
</ds:datastoreItem>
</file>

<file path=customXml/itemProps14.xml><?xml version="1.0" encoding="utf-8"?>
<ds:datastoreItem xmlns:ds="http://schemas.openxmlformats.org/officeDocument/2006/customXml" ds:itemID="{523D69FA-BBFA-464E-B5FD-84BDB8DD8290}">
  <ds:schemaRefs/>
</ds:datastoreItem>
</file>

<file path=customXml/itemProps15.xml><?xml version="1.0" encoding="utf-8"?>
<ds:datastoreItem xmlns:ds="http://schemas.openxmlformats.org/officeDocument/2006/customXml" ds:itemID="{01DAF241-BCD8-4A9C-845B-ACB61FE14DA7}">
  <ds:schemaRefs/>
</ds:datastoreItem>
</file>

<file path=customXml/itemProps16.xml><?xml version="1.0" encoding="utf-8"?>
<ds:datastoreItem xmlns:ds="http://schemas.openxmlformats.org/officeDocument/2006/customXml" ds:itemID="{7CE2F607-80BF-4E06-9B22-0083C1BEBC10}">
  <ds:schemaRefs/>
</ds:datastoreItem>
</file>

<file path=customXml/itemProps17.xml><?xml version="1.0" encoding="utf-8"?>
<ds:datastoreItem xmlns:ds="http://schemas.openxmlformats.org/officeDocument/2006/customXml" ds:itemID="{C5C4B416-B748-4804-BD90-EB469FF0DE2E}">
  <ds:schemaRefs/>
</ds:datastoreItem>
</file>

<file path=customXml/itemProps18.xml><?xml version="1.0" encoding="utf-8"?>
<ds:datastoreItem xmlns:ds="http://schemas.openxmlformats.org/officeDocument/2006/customXml" ds:itemID="{302C07C8-762B-476A-8B1F-9A9DDF6C2116}">
  <ds:schemaRefs/>
</ds:datastoreItem>
</file>

<file path=customXml/itemProps19.xml><?xml version="1.0" encoding="utf-8"?>
<ds:datastoreItem xmlns:ds="http://schemas.openxmlformats.org/officeDocument/2006/customXml" ds:itemID="{27FC52FB-921C-4B70-B9C7-27DBB9261A89}">
  <ds:schemaRefs/>
</ds:datastoreItem>
</file>

<file path=customXml/itemProps20.xml><?xml version="1.0" encoding="utf-8"?>
<ds:datastoreItem xmlns:ds="http://schemas.openxmlformats.org/officeDocument/2006/customXml" ds:itemID="{D83E86CB-CD9D-43A1-A7C8-D93B65D21D5E}">
  <ds:schemaRefs/>
</ds:datastoreItem>
</file>

<file path=customXml/itemProps21.xml><?xml version="1.0" encoding="utf-8"?>
<ds:datastoreItem xmlns:ds="http://schemas.openxmlformats.org/officeDocument/2006/customXml" ds:itemID="{A715D262-A0C6-49B3-B5CE-4622C936903C}">
  <ds:schemaRefs/>
</ds:datastoreItem>
</file>

<file path=customXml/itemProps22.xml><?xml version="1.0" encoding="utf-8"?>
<ds:datastoreItem xmlns:ds="http://schemas.openxmlformats.org/officeDocument/2006/customXml" ds:itemID="{C5A26FEF-C84E-4067-9789-D69288A7B38D}">
  <ds:schemaRefs/>
</ds:datastoreItem>
</file>

<file path=customXml/itemProps23.xml><?xml version="1.0" encoding="utf-8"?>
<ds:datastoreItem xmlns:ds="http://schemas.openxmlformats.org/officeDocument/2006/customXml" ds:itemID="{5AE9DAC8-26E5-46AB-8334-3B882B3064AD}">
  <ds:schemaRefs/>
</ds:datastoreItem>
</file>

<file path=customXml/itemProps24.xml><?xml version="1.0" encoding="utf-8"?>
<ds:datastoreItem xmlns:ds="http://schemas.openxmlformats.org/officeDocument/2006/customXml" ds:itemID="{CDA30BBE-7103-4D37-AF5E-741AF5AC1115}">
  <ds:schemaRefs/>
</ds:datastoreItem>
</file>

<file path=customXml/itemProps25.xml><?xml version="1.0" encoding="utf-8"?>
<ds:datastoreItem xmlns:ds="http://schemas.openxmlformats.org/officeDocument/2006/customXml" ds:itemID="{04F25166-6C21-4CB8-B512-DDAF39F64ED8}">
  <ds:schemaRefs/>
</ds:datastoreItem>
</file>

<file path=customXml/itemProps26.xml><?xml version="1.0" encoding="utf-8"?>
<ds:datastoreItem xmlns:ds="http://schemas.openxmlformats.org/officeDocument/2006/customXml" ds:itemID="{33AF0759-830E-42F1-892F-9D5C7F2AAF51}">
  <ds:schemaRefs/>
</ds:datastoreItem>
</file>

<file path=customXml/itemProps27.xml><?xml version="1.0" encoding="utf-8"?>
<ds:datastoreItem xmlns:ds="http://schemas.openxmlformats.org/officeDocument/2006/customXml" ds:itemID="{1D7E1B61-D7B6-4D8C-B632-FEC066130B92}">
  <ds:schemaRefs/>
</ds:datastoreItem>
</file>

<file path=customXml/itemProps28.xml><?xml version="1.0" encoding="utf-8"?>
<ds:datastoreItem xmlns:ds="http://schemas.openxmlformats.org/officeDocument/2006/customXml" ds:itemID="{1EADB02C-7400-4EAE-BBEE-391674557CEA}">
  <ds:schemaRefs/>
</ds:datastoreItem>
</file>

<file path=customXml/itemProps29.xml><?xml version="1.0" encoding="utf-8"?>
<ds:datastoreItem xmlns:ds="http://schemas.openxmlformats.org/officeDocument/2006/customXml" ds:itemID="{C452C000-B1B4-4A19-8E15-A41563F04729}">
  <ds:schemaRefs/>
</ds:datastoreItem>
</file>

<file path=customXml/itemProps30.xml><?xml version="1.0" encoding="utf-8"?>
<ds:datastoreItem xmlns:ds="http://schemas.openxmlformats.org/officeDocument/2006/customXml" ds:itemID="{967F7C49-CCFA-4CA3-838E-D7AC1FCE99FA}">
  <ds:schemaRefs/>
</ds:datastoreItem>
</file>

<file path=customXml/itemProps31.xml><?xml version="1.0" encoding="utf-8"?>
<ds:datastoreItem xmlns:ds="http://schemas.openxmlformats.org/officeDocument/2006/customXml" ds:itemID="{A0D68E6F-430F-498A-B373-9166B390CA8B}">
  <ds:schemaRefs/>
</ds:datastoreItem>
</file>

<file path=customXml/itemProps32.xml><?xml version="1.0" encoding="utf-8"?>
<ds:datastoreItem xmlns:ds="http://schemas.openxmlformats.org/officeDocument/2006/customXml" ds:itemID="{4E85F45F-74DD-4460-9714-1C0364560E0A}">
  <ds:schemaRefs/>
</ds:datastoreItem>
</file>

<file path=customXml/itemProps33.xml><?xml version="1.0" encoding="utf-8"?>
<ds:datastoreItem xmlns:ds="http://schemas.openxmlformats.org/officeDocument/2006/customXml" ds:itemID="{8073F6D0-98A2-4B9C-ABF9-B11ADE43D5E4}">
  <ds:schemaRefs/>
</ds:datastoreItem>
</file>

<file path=customXml/itemProps34.xml><?xml version="1.0" encoding="utf-8"?>
<ds:datastoreItem xmlns:ds="http://schemas.openxmlformats.org/officeDocument/2006/customXml" ds:itemID="{9973B673-2715-49B5-82C9-E7A4D0D1623A}">
  <ds:schemaRefs/>
</ds:datastoreItem>
</file>

<file path=customXml/itemProps35.xml><?xml version="1.0" encoding="utf-8"?>
<ds:datastoreItem xmlns:ds="http://schemas.openxmlformats.org/officeDocument/2006/customXml" ds:itemID="{165CBF33-FF74-4526-871B-5BD884E6D4B4}">
  <ds:schemaRefs>
    <ds:schemaRef ds:uri="http://schemas.microsoft.com/DataMashup"/>
  </ds:schemaRefs>
</ds:datastoreItem>
</file>

<file path=customXml/itemProps36.xml><?xml version="1.0" encoding="utf-8"?>
<ds:datastoreItem xmlns:ds="http://schemas.openxmlformats.org/officeDocument/2006/customXml" ds:itemID="{27F9FD1E-A1D7-4227-BD47-32B89ECB5D4A}">
  <ds:schemaRefs/>
</ds:datastoreItem>
</file>

<file path=customXml/itemProps37.xml><?xml version="1.0" encoding="utf-8"?>
<ds:datastoreItem xmlns:ds="http://schemas.openxmlformats.org/officeDocument/2006/customXml" ds:itemID="{F32039C8-591D-434D-84DE-7C6B1B58211D}">
  <ds:schemaRefs/>
</ds:datastoreItem>
</file>

<file path=customXml/itemProps38.xml><?xml version="1.0" encoding="utf-8"?>
<ds:datastoreItem xmlns:ds="http://schemas.openxmlformats.org/officeDocument/2006/customXml" ds:itemID="{1773F22F-E54A-4212-B794-88C8EE3899C3}">
  <ds:schemaRefs/>
</ds:datastoreItem>
</file>

<file path=customXml/itemProps39.xml><?xml version="1.0" encoding="utf-8"?>
<ds:datastoreItem xmlns:ds="http://schemas.openxmlformats.org/officeDocument/2006/customXml" ds:itemID="{2D9A597A-BB8B-4BE0-8679-2B972D8DB862}">
  <ds:schemaRefs/>
</ds:datastoreItem>
</file>

<file path=customXml/itemProps40.xml><?xml version="1.0" encoding="utf-8"?>
<ds:datastoreItem xmlns:ds="http://schemas.openxmlformats.org/officeDocument/2006/customXml" ds:itemID="{7E9041D3-2757-454C-90C3-EACF285E07C3}">
  <ds:schemaRefs/>
</ds:datastoreItem>
</file>

<file path=customXml/itemProps41.xml><?xml version="1.0" encoding="utf-8"?>
<ds:datastoreItem xmlns:ds="http://schemas.openxmlformats.org/officeDocument/2006/customXml" ds:itemID="{0403921A-9BCD-4E8E-9F8D-DE2C75DBF19B}">
  <ds:schemaRefs/>
</ds:datastoreItem>
</file>

<file path=customXml/itemProps42.xml><?xml version="1.0" encoding="utf-8"?>
<ds:datastoreItem xmlns:ds="http://schemas.openxmlformats.org/officeDocument/2006/customXml" ds:itemID="{98EA4C0E-32DE-4FE2-87B1-5413B2C8D338}">
  <ds:schemaRefs/>
</ds:datastoreItem>
</file>

<file path=customXml/itemProps43.xml><?xml version="1.0" encoding="utf-8"?>
<ds:datastoreItem xmlns:ds="http://schemas.openxmlformats.org/officeDocument/2006/customXml" ds:itemID="{2CD9AA24-7172-4854-8DED-9F6CA6FED187}">
  <ds:schemaRefs/>
</ds:datastoreItem>
</file>

<file path=customXml/itemProps44.xml><?xml version="1.0" encoding="utf-8"?>
<ds:datastoreItem xmlns:ds="http://schemas.openxmlformats.org/officeDocument/2006/customXml" ds:itemID="{50B6B257-6097-4A6D-9590-12F9E4CD7F37}">
  <ds:schemaRefs/>
</ds:datastoreItem>
</file>

<file path=customXml/itemProps45.xml><?xml version="1.0" encoding="utf-8"?>
<ds:datastoreItem xmlns:ds="http://schemas.openxmlformats.org/officeDocument/2006/customXml" ds:itemID="{474D5A3E-D41D-466B-906B-CB84543EA038}">
  <ds:schemaRefs/>
</ds:datastoreItem>
</file>

<file path=customXml/itemProps46.xml><?xml version="1.0" encoding="utf-8"?>
<ds:datastoreItem xmlns:ds="http://schemas.openxmlformats.org/officeDocument/2006/customXml" ds:itemID="{5D1888A3-E480-4ABC-BCC9-7B124A793BE2}">
  <ds:schemaRefs/>
</ds:datastoreItem>
</file>

<file path=customXml/itemProps47.xml><?xml version="1.0" encoding="utf-8"?>
<ds:datastoreItem xmlns:ds="http://schemas.openxmlformats.org/officeDocument/2006/customXml" ds:itemID="{1DCCD6CF-EC6E-47C1-B0EF-BFA8F33CDA36}">
  <ds:schemaRefs/>
</ds:datastoreItem>
</file>

<file path=customXml/itemProps48.xml><?xml version="1.0" encoding="utf-8"?>
<ds:datastoreItem xmlns:ds="http://schemas.openxmlformats.org/officeDocument/2006/customXml" ds:itemID="{70B0F273-46FD-4379-876C-22EB4677F696}">
  <ds:schemaRefs/>
</ds:datastoreItem>
</file>

<file path=customXml/itemProps49.xml><?xml version="1.0" encoding="utf-8"?>
<ds:datastoreItem xmlns:ds="http://schemas.openxmlformats.org/officeDocument/2006/customXml" ds:itemID="{5D33A8A7-2DC8-418B-9963-A50DE5CF950A}">
  <ds:schemaRefs/>
</ds:datastoreItem>
</file>

<file path=customXml/itemProps50.xml><?xml version="1.0" encoding="utf-8"?>
<ds:datastoreItem xmlns:ds="http://schemas.openxmlformats.org/officeDocument/2006/customXml" ds:itemID="{6E5838E2-C31C-4E8C-BE8B-87E492434600}">
  <ds:schemaRefs/>
</ds:datastoreItem>
</file>

<file path=customXml/itemProps51.xml><?xml version="1.0" encoding="utf-8"?>
<ds:datastoreItem xmlns:ds="http://schemas.openxmlformats.org/officeDocument/2006/customXml" ds:itemID="{E431E45E-0672-4035-8095-2463E31369FE}">
  <ds:schemaRefs/>
</ds:datastoreItem>
</file>

<file path=customXml/itemProps52.xml><?xml version="1.0" encoding="utf-8"?>
<ds:datastoreItem xmlns:ds="http://schemas.openxmlformats.org/officeDocument/2006/customXml" ds:itemID="{E3A64267-0EEC-45A6-AA15-0AC58B1E859A}">
  <ds:schemaRefs/>
</ds:datastoreItem>
</file>

<file path=customXml/itemProps53.xml><?xml version="1.0" encoding="utf-8"?>
<ds:datastoreItem xmlns:ds="http://schemas.openxmlformats.org/officeDocument/2006/customXml" ds:itemID="{8D183AE8-7451-4A0A-BC60-5E3247536229}">
  <ds:schemaRefs/>
</ds:datastoreItem>
</file>

<file path=customXml/itemProps54.xml><?xml version="1.0" encoding="utf-8"?>
<ds:datastoreItem xmlns:ds="http://schemas.openxmlformats.org/officeDocument/2006/customXml" ds:itemID="{689838F8-26B3-47E2-816D-C8F82301BCEF}">
  <ds:schemaRefs/>
</ds:datastoreItem>
</file>

<file path=customXml/itemProps55.xml><?xml version="1.0" encoding="utf-8"?>
<ds:datastoreItem xmlns:ds="http://schemas.openxmlformats.org/officeDocument/2006/customXml" ds:itemID="{52B5D472-BCE0-4045-867C-7E263F9CC4F6}">
  <ds:schemaRefs/>
</ds:datastoreItem>
</file>

<file path=customXml/itemProps56.xml><?xml version="1.0" encoding="utf-8"?>
<ds:datastoreItem xmlns:ds="http://schemas.openxmlformats.org/officeDocument/2006/customXml" ds:itemID="{57660FED-C027-40A5-A2F0-FB9EAE7016A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 Cover</vt:lpstr>
      <vt:lpstr>Performance KPIs</vt:lpstr>
      <vt:lpstr>Pipeline KPIs</vt:lpstr>
      <vt:lpstr>Activity KPIs</vt:lpstr>
      <vt:lpstr>Invoice KPIs</vt:lpstr>
      <vt:lpstr>Client Policy KPIs</vt:lpstr>
      <vt:lpstr>Branch KPIs</vt:lpstr>
      <vt:lpstr>Dashboard</vt:lpstr>
      <vt:lpstr>Additional KPIs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vinayak m</dc:creator>
  <cp:lastModifiedBy>vinayak m</cp:lastModifiedBy>
  <dcterms:created xsi:type="dcterms:W3CDTF">2026-05-27T06:41:52Z</dcterms:created>
  <dcterms:modified xsi:type="dcterms:W3CDTF">2026-06-12T09:00:11Z</dcterms:modified>
</cp:coreProperties>
</file>