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XAMPP\htdocs\limawaktulogistic\"/>
    </mc:Choice>
  </mc:AlternateContent>
  <bookViews>
    <workbookView xWindow="0" yWindow="0" windowWidth="20490" windowHeight="7155" tabRatio="793" activeTab="4"/>
  </bookViews>
  <sheets>
    <sheet name="Report" sheetId="1" r:id="rId1"/>
    <sheet name="Kendaraan" sheetId="4" r:id="rId2"/>
    <sheet name="Delivery_Man" sheetId="2" r:id="rId3"/>
    <sheet name="Dealer_Exp" sheetId="3" r:id="rId4"/>
    <sheet name="Product_Pricelist" sheetId="5" r:id="rId5"/>
    <sheet name="Product_Catalog" sheetId="7" r:id="rId6"/>
    <sheet name="Class_Pricelist" sheetId="9" r:id="rId7"/>
    <sheet name="Min_Pricelist" sheetId="10" r:id="rId8"/>
    <sheet name="Date_List" sheetId="8" r:id="rId9"/>
  </sheets>
  <definedNames>
    <definedName name="Dealer" localSheetId="6">Tbl_Dealer_Exp[Dealer]</definedName>
    <definedName name="Dealer">Tbl_Dealer_Exp[Dealer]</definedName>
    <definedName name="June">Date_List!$A$2:$A$31</definedName>
    <definedName name="Nama" localSheetId="6">Tbl_Driver[Name]</definedName>
    <definedName name="Nama">Tbl_Driver[Name]</definedName>
    <definedName name="No.Polisi" localSheetId="6">Tbl_Kendaraan[No.Polisi]</definedName>
    <definedName name="No.Polisi">Tbl_Kendaraan[No.Polisi]</definedName>
    <definedName name="Prod_Name_Catalog" localSheetId="6">Tbl_Prod_Catalog[Product_Name]</definedName>
    <definedName name="Prod_Name_Catalog">Tbl_Prod_Catalog[Product_Name]</definedName>
  </definedNames>
  <calcPr calcId="152511"/>
</workbook>
</file>

<file path=xl/calcChain.xml><?xml version="1.0" encoding="utf-8"?>
<calcChain xmlns="http://schemas.openxmlformats.org/spreadsheetml/2006/main">
  <c r="I3" i="5" l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" i="10"/>
  <c r="AE3" i="9" l="1"/>
  <c r="P5" i="1"/>
  <c r="B3" i="5" l="1"/>
  <c r="K2" i="1"/>
  <c r="AE54" i="5" l="1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Q11" i="1"/>
  <c r="Q10" i="1"/>
  <c r="Q9" i="1"/>
  <c r="Q8" i="1"/>
  <c r="Q7" i="1"/>
  <c r="Q6" i="1"/>
  <c r="Q5" i="1"/>
  <c r="Q4" i="1"/>
  <c r="Q3" i="1"/>
  <c r="Q2" i="1"/>
  <c r="P11" i="1"/>
  <c r="P10" i="1"/>
  <c r="P9" i="1"/>
  <c r="P8" i="1"/>
  <c r="P7" i="1"/>
  <c r="P6" i="1"/>
  <c r="P4" i="1"/>
  <c r="P3" i="1"/>
  <c r="P2" i="1"/>
  <c r="L11" i="1" l="1"/>
  <c r="L10" i="1"/>
  <c r="L9" i="1"/>
  <c r="L8" i="1"/>
  <c r="L7" i="1"/>
  <c r="L6" i="1"/>
  <c r="L5" i="1"/>
  <c r="L4" i="1"/>
  <c r="L3" i="1"/>
  <c r="L2" i="1"/>
  <c r="K11" i="1"/>
  <c r="K10" i="1"/>
  <c r="K9" i="1"/>
  <c r="K8" i="1"/>
  <c r="K7" i="1"/>
  <c r="K6" i="1"/>
  <c r="K5" i="1"/>
  <c r="K4" i="1"/>
  <c r="K3" i="1"/>
  <c r="N11" i="1"/>
  <c r="R11" i="1" s="1"/>
  <c r="S11" i="1" s="1"/>
  <c r="N10" i="1"/>
  <c r="N9" i="1"/>
  <c r="N8" i="1"/>
  <c r="N7" i="1"/>
  <c r="N6" i="1"/>
  <c r="N5" i="1"/>
  <c r="N4" i="1"/>
  <c r="N2" i="1"/>
  <c r="AF136" i="5"/>
  <c r="AF135" i="5"/>
  <c r="AF134" i="5"/>
  <c r="AF133" i="5"/>
  <c r="AF132" i="5"/>
  <c r="AF131" i="5"/>
  <c r="AF130" i="5"/>
  <c r="AF129" i="5"/>
  <c r="AF128" i="5"/>
  <c r="AF127" i="5"/>
  <c r="AF126" i="5"/>
  <c r="AF125" i="5"/>
  <c r="AF124" i="5"/>
  <c r="AF123" i="5"/>
  <c r="AF122" i="5"/>
  <c r="AF121" i="5"/>
  <c r="AF120" i="5"/>
  <c r="AF119" i="5"/>
  <c r="AF118" i="5"/>
  <c r="AF117" i="5"/>
  <c r="AF116" i="5"/>
  <c r="AF115" i="5"/>
  <c r="AF114" i="5"/>
  <c r="AF113" i="5"/>
  <c r="AF112" i="5"/>
  <c r="AF111" i="5"/>
  <c r="AF110" i="5"/>
  <c r="AF109" i="5"/>
  <c r="AF108" i="5"/>
  <c r="AF107" i="5"/>
  <c r="AF106" i="5"/>
  <c r="AF105" i="5"/>
  <c r="AF104" i="5"/>
  <c r="AF103" i="5"/>
  <c r="AF100" i="5"/>
  <c r="AF53" i="5"/>
  <c r="AF38" i="5"/>
  <c r="AE53" i="5"/>
  <c r="AE38" i="5"/>
  <c r="AD136" i="5"/>
  <c r="AD135" i="5"/>
  <c r="AD134" i="5"/>
  <c r="AD133" i="5"/>
  <c r="AD132" i="5"/>
  <c r="AD131" i="5"/>
  <c r="AD130" i="5"/>
  <c r="AD129" i="5"/>
  <c r="AD128" i="5"/>
  <c r="AD127" i="5"/>
  <c r="AD126" i="5"/>
  <c r="AD125" i="5"/>
  <c r="AD124" i="5"/>
  <c r="AD123" i="5"/>
  <c r="AD122" i="5"/>
  <c r="AD121" i="5"/>
  <c r="AD120" i="5"/>
  <c r="AD119" i="5"/>
  <c r="AD118" i="5"/>
  <c r="AD117" i="5"/>
  <c r="AD116" i="5"/>
  <c r="AD115" i="5"/>
  <c r="AD114" i="5"/>
  <c r="AD113" i="5"/>
  <c r="AD112" i="5"/>
  <c r="AD111" i="5"/>
  <c r="AD110" i="5"/>
  <c r="AD109" i="5"/>
  <c r="AD108" i="5"/>
  <c r="AD107" i="5"/>
  <c r="AD106" i="5"/>
  <c r="AD105" i="5"/>
  <c r="AD104" i="5"/>
  <c r="AD103" i="5"/>
  <c r="AD100" i="5"/>
  <c r="AD53" i="5"/>
  <c r="AD38" i="5"/>
  <c r="AC136" i="5"/>
  <c r="AC135" i="5"/>
  <c r="AC134" i="5"/>
  <c r="AC133" i="5"/>
  <c r="AC132" i="5"/>
  <c r="AC131" i="5"/>
  <c r="AC130" i="5"/>
  <c r="AC129" i="5"/>
  <c r="AC128" i="5"/>
  <c r="AC127" i="5"/>
  <c r="AC126" i="5"/>
  <c r="AC125" i="5"/>
  <c r="AC124" i="5"/>
  <c r="AC123" i="5"/>
  <c r="AC122" i="5"/>
  <c r="AC121" i="5"/>
  <c r="AC120" i="5"/>
  <c r="AC119" i="5"/>
  <c r="AC118" i="5"/>
  <c r="AC117" i="5"/>
  <c r="AC116" i="5"/>
  <c r="AC115" i="5"/>
  <c r="AC114" i="5"/>
  <c r="AC113" i="5"/>
  <c r="AC112" i="5"/>
  <c r="AC111" i="5"/>
  <c r="AC110" i="5"/>
  <c r="AC109" i="5"/>
  <c r="AC108" i="5"/>
  <c r="AC107" i="5"/>
  <c r="AC106" i="5"/>
  <c r="AC105" i="5"/>
  <c r="AC104" i="5"/>
  <c r="AC103" i="5"/>
  <c r="AC100" i="5"/>
  <c r="AC53" i="5"/>
  <c r="AC38" i="5"/>
  <c r="AB136" i="5"/>
  <c r="AB135" i="5"/>
  <c r="AB134" i="5"/>
  <c r="AB133" i="5"/>
  <c r="AB132" i="5"/>
  <c r="AB131" i="5"/>
  <c r="AB130" i="5"/>
  <c r="AB129" i="5"/>
  <c r="AB128" i="5"/>
  <c r="AB127" i="5"/>
  <c r="AB126" i="5"/>
  <c r="AB125" i="5"/>
  <c r="AB124" i="5"/>
  <c r="AB123" i="5"/>
  <c r="AB122" i="5"/>
  <c r="AB121" i="5"/>
  <c r="AB120" i="5"/>
  <c r="AB119" i="5"/>
  <c r="AB118" i="5"/>
  <c r="AB117" i="5"/>
  <c r="AB116" i="5"/>
  <c r="AB115" i="5"/>
  <c r="AB114" i="5"/>
  <c r="AB113" i="5"/>
  <c r="AB112" i="5"/>
  <c r="AB111" i="5"/>
  <c r="AB110" i="5"/>
  <c r="AB109" i="5"/>
  <c r="AB108" i="5"/>
  <c r="AB107" i="5"/>
  <c r="AB106" i="5"/>
  <c r="AB105" i="5"/>
  <c r="AB104" i="5"/>
  <c r="AB103" i="5"/>
  <c r="AB100" i="5"/>
  <c r="AB53" i="5"/>
  <c r="AB38" i="5"/>
  <c r="Z136" i="5"/>
  <c r="Z135" i="5"/>
  <c r="Z134" i="5"/>
  <c r="Z133" i="5"/>
  <c r="Z132" i="5"/>
  <c r="Z131" i="5"/>
  <c r="Z130" i="5"/>
  <c r="Z129" i="5"/>
  <c r="Z128" i="5"/>
  <c r="Z127" i="5"/>
  <c r="Z126" i="5"/>
  <c r="Z125" i="5"/>
  <c r="Z124" i="5"/>
  <c r="Z123" i="5"/>
  <c r="Z122" i="5"/>
  <c r="Z121" i="5"/>
  <c r="Z120" i="5"/>
  <c r="Z119" i="5"/>
  <c r="Z118" i="5"/>
  <c r="Z117" i="5"/>
  <c r="Z116" i="5"/>
  <c r="Z115" i="5"/>
  <c r="Z114" i="5"/>
  <c r="Z113" i="5"/>
  <c r="Z112" i="5"/>
  <c r="Z111" i="5"/>
  <c r="Z110" i="5"/>
  <c r="Z109" i="5"/>
  <c r="Z108" i="5"/>
  <c r="Z107" i="5"/>
  <c r="Z106" i="5"/>
  <c r="Z105" i="5"/>
  <c r="Z104" i="5"/>
  <c r="Z103" i="5"/>
  <c r="Z100" i="5"/>
  <c r="Z53" i="5"/>
  <c r="Z38" i="5"/>
  <c r="X136" i="5"/>
  <c r="X135" i="5"/>
  <c r="X134" i="5"/>
  <c r="X133" i="5"/>
  <c r="X132" i="5"/>
  <c r="X131" i="5"/>
  <c r="X130" i="5"/>
  <c r="X129" i="5"/>
  <c r="X128" i="5"/>
  <c r="X127" i="5"/>
  <c r="X126" i="5"/>
  <c r="X125" i="5"/>
  <c r="X124" i="5"/>
  <c r="X123" i="5"/>
  <c r="X122" i="5"/>
  <c r="X121" i="5"/>
  <c r="X120" i="5"/>
  <c r="X119" i="5"/>
  <c r="X118" i="5"/>
  <c r="X117" i="5"/>
  <c r="X116" i="5"/>
  <c r="X115" i="5"/>
  <c r="X114" i="5"/>
  <c r="X113" i="5"/>
  <c r="X112" i="5"/>
  <c r="X111" i="5"/>
  <c r="X110" i="5"/>
  <c r="X109" i="5"/>
  <c r="X108" i="5"/>
  <c r="X107" i="5"/>
  <c r="X106" i="5"/>
  <c r="X105" i="5"/>
  <c r="X104" i="5"/>
  <c r="X103" i="5"/>
  <c r="X100" i="5"/>
  <c r="X53" i="5"/>
  <c r="X38" i="5"/>
  <c r="W136" i="5"/>
  <c r="W135" i="5"/>
  <c r="W134" i="5"/>
  <c r="W133" i="5"/>
  <c r="W132" i="5"/>
  <c r="W131" i="5"/>
  <c r="W130" i="5"/>
  <c r="W129" i="5"/>
  <c r="W128" i="5"/>
  <c r="W127" i="5"/>
  <c r="W126" i="5"/>
  <c r="W125" i="5"/>
  <c r="W124" i="5"/>
  <c r="W123" i="5"/>
  <c r="W122" i="5"/>
  <c r="W121" i="5"/>
  <c r="W120" i="5"/>
  <c r="W119" i="5"/>
  <c r="W118" i="5"/>
  <c r="W117" i="5"/>
  <c r="W116" i="5"/>
  <c r="W115" i="5"/>
  <c r="W114" i="5"/>
  <c r="W113" i="5"/>
  <c r="W112" i="5"/>
  <c r="W111" i="5"/>
  <c r="W110" i="5"/>
  <c r="W109" i="5"/>
  <c r="W108" i="5"/>
  <c r="W107" i="5"/>
  <c r="W106" i="5"/>
  <c r="W105" i="5"/>
  <c r="W104" i="5"/>
  <c r="W103" i="5"/>
  <c r="W100" i="5"/>
  <c r="W53" i="5"/>
  <c r="W38" i="5"/>
  <c r="U136" i="5"/>
  <c r="U135" i="5"/>
  <c r="U134" i="5"/>
  <c r="U133" i="5"/>
  <c r="U132" i="5"/>
  <c r="U131" i="5"/>
  <c r="U130" i="5"/>
  <c r="U129" i="5"/>
  <c r="U128" i="5"/>
  <c r="U127" i="5"/>
  <c r="U126" i="5"/>
  <c r="U125" i="5"/>
  <c r="U124" i="5"/>
  <c r="U123" i="5"/>
  <c r="U122" i="5"/>
  <c r="U121" i="5"/>
  <c r="U120" i="5"/>
  <c r="U119" i="5"/>
  <c r="U118" i="5"/>
  <c r="U117" i="5"/>
  <c r="U116" i="5"/>
  <c r="U115" i="5"/>
  <c r="U114" i="5"/>
  <c r="U113" i="5"/>
  <c r="U112" i="5"/>
  <c r="U111" i="5"/>
  <c r="U110" i="5"/>
  <c r="U109" i="5"/>
  <c r="U108" i="5"/>
  <c r="U107" i="5"/>
  <c r="U106" i="5"/>
  <c r="U105" i="5"/>
  <c r="U104" i="5"/>
  <c r="U103" i="5"/>
  <c r="U100" i="5"/>
  <c r="U53" i="5"/>
  <c r="U38" i="5"/>
  <c r="T136" i="5"/>
  <c r="T135" i="5"/>
  <c r="T134" i="5"/>
  <c r="T133" i="5"/>
  <c r="T132" i="5"/>
  <c r="T131" i="5"/>
  <c r="T130" i="5"/>
  <c r="T129" i="5"/>
  <c r="T128" i="5"/>
  <c r="T127" i="5"/>
  <c r="T126" i="5"/>
  <c r="T125" i="5"/>
  <c r="T124" i="5"/>
  <c r="T123" i="5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0" i="5"/>
  <c r="T53" i="5"/>
  <c r="T38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0" i="5"/>
  <c r="S53" i="5"/>
  <c r="S38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R121" i="5"/>
  <c r="R120" i="5"/>
  <c r="R119" i="5"/>
  <c r="R118" i="5"/>
  <c r="R117" i="5"/>
  <c r="R116" i="5"/>
  <c r="R115" i="5"/>
  <c r="R114" i="5"/>
  <c r="R113" i="5"/>
  <c r="R112" i="5"/>
  <c r="R111" i="5"/>
  <c r="R110" i="5"/>
  <c r="R109" i="5"/>
  <c r="R108" i="5"/>
  <c r="R107" i="5"/>
  <c r="R106" i="5"/>
  <c r="R105" i="5"/>
  <c r="R104" i="5"/>
  <c r="R103" i="5"/>
  <c r="R100" i="5"/>
  <c r="R53" i="5"/>
  <c r="R38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0" i="5"/>
  <c r="Q53" i="5"/>
  <c r="Q38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0" i="5"/>
  <c r="P38" i="5"/>
  <c r="O136" i="5"/>
  <c r="O135" i="5"/>
  <c r="O134" i="5"/>
  <c r="O133" i="5"/>
  <c r="O132" i="5"/>
  <c r="O131" i="5"/>
  <c r="O130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03" i="5"/>
  <c r="O100" i="5"/>
  <c r="O38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0" i="5"/>
  <c r="N38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0" i="5"/>
  <c r="M38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0" i="5"/>
  <c r="L38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0" i="5"/>
  <c r="K38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0" i="5"/>
  <c r="J38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0" i="5"/>
  <c r="H53" i="5"/>
  <c r="H38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0" i="5"/>
  <c r="G53" i="5"/>
  <c r="G38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0" i="5"/>
  <c r="F53" i="5"/>
  <c r="F38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0" i="5"/>
  <c r="D53" i="5"/>
  <c r="D38" i="5"/>
  <c r="AE37" i="5"/>
  <c r="R9" i="1" l="1"/>
  <c r="S9" i="1" s="1"/>
  <c r="R6" i="1"/>
  <c r="S6" i="1" s="1"/>
  <c r="R10" i="1"/>
  <c r="S10" i="1" s="1"/>
  <c r="R5" i="1"/>
  <c r="S5" i="1" s="1"/>
  <c r="R8" i="1"/>
  <c r="S8" i="1" s="1"/>
  <c r="R4" i="1"/>
  <c r="S4" i="1" s="1"/>
  <c r="AA143" i="5"/>
  <c r="AA142" i="5"/>
  <c r="AA141" i="5"/>
  <c r="AA140" i="5"/>
  <c r="AA139" i="5"/>
  <c r="AA138" i="5"/>
  <c r="AA137" i="5"/>
  <c r="AA136" i="5"/>
  <c r="AA135" i="5"/>
  <c r="AA134" i="5"/>
  <c r="AA133" i="5"/>
  <c r="AA132" i="5"/>
  <c r="AA131" i="5"/>
  <c r="AA130" i="5"/>
  <c r="AA129" i="5"/>
  <c r="AA128" i="5"/>
  <c r="AA127" i="5"/>
  <c r="AA126" i="5"/>
  <c r="AA125" i="5"/>
  <c r="AA124" i="5"/>
  <c r="AA123" i="5"/>
  <c r="AA122" i="5"/>
  <c r="AA121" i="5"/>
  <c r="AA120" i="5"/>
  <c r="AA119" i="5"/>
  <c r="AA118" i="5"/>
  <c r="AA117" i="5"/>
  <c r="AA116" i="5"/>
  <c r="AA115" i="5"/>
  <c r="AA114" i="5"/>
  <c r="AA113" i="5"/>
  <c r="AA112" i="5"/>
  <c r="AA111" i="5"/>
  <c r="AA110" i="5"/>
  <c r="AA109" i="5"/>
  <c r="AA108" i="5"/>
  <c r="AA107" i="5"/>
  <c r="AA106" i="5"/>
  <c r="AA105" i="5"/>
  <c r="AA104" i="5"/>
  <c r="AA103" i="5"/>
  <c r="AA102" i="5"/>
  <c r="AA101" i="5"/>
  <c r="AA100" i="5"/>
  <c r="AA99" i="5"/>
  <c r="AA98" i="5"/>
  <c r="AA97" i="5"/>
  <c r="AA96" i="5"/>
  <c r="AA95" i="5"/>
  <c r="AA94" i="5"/>
  <c r="AA93" i="5"/>
  <c r="AA92" i="5"/>
  <c r="AA91" i="5"/>
  <c r="AA90" i="5"/>
  <c r="AA89" i="5"/>
  <c r="AA88" i="5"/>
  <c r="AA87" i="5"/>
  <c r="AA86" i="5"/>
  <c r="AA85" i="5"/>
  <c r="AA84" i="5"/>
  <c r="AA83" i="5"/>
  <c r="AA82" i="5"/>
  <c r="AA81" i="5"/>
  <c r="AA80" i="5"/>
  <c r="AA79" i="5"/>
  <c r="AA78" i="5"/>
  <c r="AA77" i="5"/>
  <c r="AA76" i="5"/>
  <c r="AA75" i="5"/>
  <c r="AA74" i="5"/>
  <c r="AA73" i="5"/>
  <c r="AA72" i="5"/>
  <c r="AA71" i="5"/>
  <c r="AA70" i="5"/>
  <c r="AA69" i="5"/>
  <c r="AA68" i="5"/>
  <c r="AA67" i="5"/>
  <c r="AA66" i="5"/>
  <c r="AA65" i="5"/>
  <c r="AA64" i="5"/>
  <c r="AA63" i="5"/>
  <c r="AA62" i="5"/>
  <c r="AA61" i="5"/>
  <c r="AA60" i="5"/>
  <c r="AA59" i="5"/>
  <c r="AA58" i="5"/>
  <c r="AA57" i="5"/>
  <c r="AA56" i="5"/>
  <c r="AA55" i="5"/>
  <c r="AA54" i="5"/>
  <c r="AA53" i="5"/>
  <c r="AA52" i="5"/>
  <c r="AA51" i="5"/>
  <c r="AA50" i="5"/>
  <c r="AA49" i="5"/>
  <c r="AA48" i="5"/>
  <c r="AA47" i="5"/>
  <c r="AA46" i="5"/>
  <c r="AA45" i="5"/>
  <c r="AA44" i="5"/>
  <c r="AA43" i="5"/>
  <c r="AA42" i="5"/>
  <c r="AA41" i="5"/>
  <c r="AA40" i="5"/>
  <c r="AA39" i="5"/>
  <c r="AA38" i="5"/>
  <c r="AA37" i="5"/>
  <c r="AA36" i="5"/>
  <c r="AA35" i="5"/>
  <c r="AA34" i="5"/>
  <c r="AA33" i="5"/>
  <c r="AA32" i="5"/>
  <c r="Y143" i="5"/>
  <c r="Y142" i="5"/>
  <c r="Y141" i="5"/>
  <c r="Y140" i="5"/>
  <c r="Y139" i="5"/>
  <c r="Y138" i="5"/>
  <c r="Y137" i="5"/>
  <c r="Y136" i="5"/>
  <c r="Y135" i="5"/>
  <c r="Y134" i="5"/>
  <c r="Y133" i="5"/>
  <c r="Y132" i="5"/>
  <c r="Y131" i="5"/>
  <c r="Y130" i="5"/>
  <c r="Y129" i="5"/>
  <c r="Y128" i="5"/>
  <c r="Y127" i="5"/>
  <c r="Y126" i="5"/>
  <c r="Y125" i="5"/>
  <c r="Y124" i="5"/>
  <c r="Y123" i="5"/>
  <c r="Y122" i="5"/>
  <c r="Y121" i="5"/>
  <c r="Y120" i="5"/>
  <c r="Y119" i="5"/>
  <c r="Y118" i="5"/>
  <c r="Y117" i="5"/>
  <c r="Y116" i="5"/>
  <c r="Y115" i="5"/>
  <c r="Y114" i="5"/>
  <c r="Y113" i="5"/>
  <c r="Y112" i="5"/>
  <c r="Y111" i="5"/>
  <c r="Y110" i="5"/>
  <c r="Y109" i="5"/>
  <c r="Y108" i="5"/>
  <c r="Y107" i="5"/>
  <c r="Y106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5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R2" i="1" s="1"/>
  <c r="V136" i="5"/>
  <c r="V137" i="5"/>
  <c r="V138" i="5"/>
  <c r="V139" i="5"/>
  <c r="V140" i="5"/>
  <c r="V141" i="5"/>
  <c r="V142" i="5"/>
  <c r="V143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R7" i="1" s="1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B137" i="5"/>
  <c r="B138" i="5"/>
  <c r="B139" i="5"/>
  <c r="B140" i="5"/>
  <c r="B141" i="5"/>
  <c r="B142" i="5"/>
  <c r="B143" i="5"/>
  <c r="AE134" i="5"/>
  <c r="AE135" i="5"/>
  <c r="AE136" i="5"/>
  <c r="AE137" i="5"/>
  <c r="AE138" i="5"/>
  <c r="AE139" i="5"/>
  <c r="AE140" i="5"/>
  <c r="AE141" i="5"/>
  <c r="AE142" i="5"/>
  <c r="AE143" i="5"/>
  <c r="B134" i="5"/>
  <c r="B135" i="5"/>
  <c r="B136" i="5"/>
  <c r="AE12" i="9"/>
  <c r="I40" i="7"/>
  <c r="I41" i="7"/>
  <c r="I42" i="7"/>
  <c r="B42" i="5" s="1"/>
  <c r="I43" i="7"/>
  <c r="I59" i="7"/>
  <c r="I60" i="7"/>
  <c r="I64" i="7"/>
  <c r="I66" i="7"/>
  <c r="I39" i="7"/>
  <c r="B39" i="5" s="1"/>
  <c r="I10" i="7"/>
  <c r="I11" i="7"/>
  <c r="B11" i="5" s="1"/>
  <c r="I12" i="7"/>
  <c r="I13" i="7"/>
  <c r="B13" i="5" s="1"/>
  <c r="I14" i="7"/>
  <c r="I15" i="7"/>
  <c r="B15" i="5" s="1"/>
  <c r="I16" i="7"/>
  <c r="B16" i="5" s="1"/>
  <c r="I17" i="7"/>
  <c r="B17" i="5" s="1"/>
  <c r="I18" i="7"/>
  <c r="I19" i="7"/>
  <c r="B19" i="5" s="1"/>
  <c r="I20" i="7"/>
  <c r="B20" i="5" s="1"/>
  <c r="I21" i="7"/>
  <c r="B21" i="5" s="1"/>
  <c r="I22" i="7"/>
  <c r="B22" i="5" s="1"/>
  <c r="I23" i="7"/>
  <c r="I24" i="7"/>
  <c r="B24" i="5" s="1"/>
  <c r="I25" i="7"/>
  <c r="B25" i="5" s="1"/>
  <c r="I26" i="7"/>
  <c r="B26" i="5" s="1"/>
  <c r="I27" i="7"/>
  <c r="B27" i="5" s="1"/>
  <c r="I28" i="7"/>
  <c r="B28" i="5" s="1"/>
  <c r="I29" i="7"/>
  <c r="B29" i="5" s="1"/>
  <c r="I30" i="7"/>
  <c r="B30" i="5" s="1"/>
  <c r="I31" i="7"/>
  <c r="B31" i="5" s="1"/>
  <c r="I32" i="7"/>
  <c r="I33" i="7"/>
  <c r="B33" i="5" s="1"/>
  <c r="I34" i="7"/>
  <c r="I35" i="7"/>
  <c r="B35" i="5" s="1"/>
  <c r="I36" i="7"/>
  <c r="I37" i="7"/>
  <c r="B37" i="5" s="1"/>
  <c r="I9" i="7"/>
  <c r="AE11" i="9"/>
  <c r="AE10" i="9"/>
  <c r="AE4" i="9"/>
  <c r="AE7" i="9"/>
  <c r="AE9" i="9"/>
  <c r="AE8" i="9"/>
  <c r="AE6" i="9"/>
  <c r="AE5" i="9"/>
  <c r="AE35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AE121" i="5"/>
  <c r="AE122" i="5"/>
  <c r="AE123" i="5"/>
  <c r="AE124" i="5"/>
  <c r="AE125" i="5"/>
  <c r="AE126" i="5"/>
  <c r="AE127" i="5"/>
  <c r="AE128" i="5"/>
  <c r="AE129" i="5"/>
  <c r="AE130" i="5"/>
  <c r="AE131" i="5"/>
  <c r="AE132" i="5"/>
  <c r="AE133" i="5"/>
  <c r="B119" i="5"/>
  <c r="B120" i="5"/>
  <c r="AE119" i="5"/>
  <c r="AE120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AE104" i="5"/>
  <c r="AE105" i="5"/>
  <c r="AE106" i="5"/>
  <c r="AE107" i="5"/>
  <c r="AE108" i="5"/>
  <c r="AE109" i="5"/>
  <c r="AE110" i="5"/>
  <c r="AE111" i="5"/>
  <c r="AE112" i="5"/>
  <c r="AE113" i="5"/>
  <c r="AE114" i="5"/>
  <c r="AE115" i="5"/>
  <c r="AE116" i="5"/>
  <c r="AE117" i="5"/>
  <c r="AE118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B38" i="5"/>
  <c r="B40" i="5"/>
  <c r="B41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6" i="5"/>
  <c r="AA31" i="5"/>
  <c r="Y31" i="5"/>
  <c r="V31" i="5"/>
  <c r="I31" i="5"/>
  <c r="E31" i="5"/>
  <c r="AA30" i="5"/>
  <c r="Y30" i="5"/>
  <c r="V30" i="5"/>
  <c r="I30" i="5"/>
  <c r="E30" i="5"/>
  <c r="AA29" i="5"/>
  <c r="Y29" i="5"/>
  <c r="V29" i="5"/>
  <c r="I29" i="5"/>
  <c r="E29" i="5"/>
  <c r="AA28" i="5"/>
  <c r="Y28" i="5"/>
  <c r="V28" i="5"/>
  <c r="I28" i="5"/>
  <c r="E28" i="5"/>
  <c r="AA27" i="5"/>
  <c r="Y27" i="5"/>
  <c r="V27" i="5"/>
  <c r="I27" i="5"/>
  <c r="E27" i="5"/>
  <c r="AA26" i="5"/>
  <c r="Y26" i="5"/>
  <c r="V26" i="5"/>
  <c r="I26" i="5"/>
  <c r="E26" i="5"/>
  <c r="AA25" i="5"/>
  <c r="Y25" i="5"/>
  <c r="V25" i="5"/>
  <c r="I25" i="5"/>
  <c r="E25" i="5"/>
  <c r="AA24" i="5"/>
  <c r="Y24" i="5"/>
  <c r="V24" i="5"/>
  <c r="I24" i="5"/>
  <c r="E24" i="5"/>
  <c r="AA23" i="5"/>
  <c r="Y23" i="5"/>
  <c r="V23" i="5"/>
  <c r="I23" i="5"/>
  <c r="E23" i="5"/>
  <c r="AA22" i="5"/>
  <c r="Y22" i="5"/>
  <c r="V22" i="5"/>
  <c r="I22" i="5"/>
  <c r="E22" i="5"/>
  <c r="AA21" i="5"/>
  <c r="Y21" i="5"/>
  <c r="V21" i="5"/>
  <c r="I21" i="5"/>
  <c r="E21" i="5"/>
  <c r="AA20" i="5"/>
  <c r="Y20" i="5"/>
  <c r="V20" i="5"/>
  <c r="I20" i="5"/>
  <c r="E20" i="5"/>
  <c r="AA19" i="5"/>
  <c r="Y19" i="5"/>
  <c r="V19" i="5"/>
  <c r="I19" i="5"/>
  <c r="E19" i="5"/>
  <c r="AA18" i="5"/>
  <c r="Y18" i="5"/>
  <c r="V18" i="5"/>
  <c r="I18" i="5"/>
  <c r="E18" i="5"/>
  <c r="AA17" i="5"/>
  <c r="Y17" i="5"/>
  <c r="V17" i="5"/>
  <c r="I17" i="5"/>
  <c r="E17" i="5"/>
  <c r="AA16" i="5"/>
  <c r="Y16" i="5"/>
  <c r="V16" i="5"/>
  <c r="I16" i="5"/>
  <c r="E16" i="5"/>
  <c r="AA15" i="5"/>
  <c r="Y15" i="5"/>
  <c r="V15" i="5"/>
  <c r="I15" i="5"/>
  <c r="E15" i="5"/>
  <c r="AA14" i="5"/>
  <c r="Y14" i="5"/>
  <c r="V14" i="5"/>
  <c r="I14" i="5"/>
  <c r="E14" i="5"/>
  <c r="AE13" i="5"/>
  <c r="AA13" i="5"/>
  <c r="Y13" i="5"/>
  <c r="V13" i="5"/>
  <c r="I13" i="5"/>
  <c r="E13" i="5"/>
  <c r="AE12" i="5"/>
  <c r="AA12" i="5"/>
  <c r="Y12" i="5"/>
  <c r="V12" i="5"/>
  <c r="I12" i="5"/>
  <c r="E12" i="5"/>
  <c r="AE11" i="5"/>
  <c r="AA11" i="5"/>
  <c r="Y11" i="5"/>
  <c r="V11" i="5"/>
  <c r="I11" i="5"/>
  <c r="E11" i="5"/>
  <c r="AE10" i="5"/>
  <c r="AA10" i="5"/>
  <c r="Y10" i="5"/>
  <c r="V10" i="5"/>
  <c r="I10" i="5"/>
  <c r="E10" i="5"/>
  <c r="B10" i="5"/>
  <c r="B12" i="5"/>
  <c r="B14" i="5"/>
  <c r="B23" i="5"/>
  <c r="B32" i="5"/>
  <c r="B34" i="5"/>
  <c r="B36" i="5"/>
  <c r="AA3" i="5"/>
  <c r="AA4" i="5"/>
  <c r="AA5" i="5"/>
  <c r="AA6" i="5"/>
  <c r="AA7" i="5"/>
  <c r="AA8" i="5"/>
  <c r="AA9" i="5"/>
  <c r="Y9" i="5"/>
  <c r="Y8" i="5"/>
  <c r="Y7" i="5"/>
  <c r="Y6" i="5"/>
  <c r="Y5" i="5"/>
  <c r="Y4" i="5"/>
  <c r="Y3" i="5"/>
  <c r="V9" i="5"/>
  <c r="V8" i="5"/>
  <c r="V7" i="5"/>
  <c r="V6" i="5"/>
  <c r="V5" i="5"/>
  <c r="V4" i="5"/>
  <c r="V3" i="5"/>
  <c r="I9" i="5"/>
  <c r="I8" i="5"/>
  <c r="I7" i="5"/>
  <c r="I6" i="5"/>
  <c r="I5" i="5"/>
  <c r="I4" i="5"/>
  <c r="E9" i="5"/>
  <c r="E8" i="5"/>
  <c r="E7" i="5"/>
  <c r="E6" i="5"/>
  <c r="E5" i="5"/>
  <c r="E4" i="5"/>
  <c r="E3" i="5"/>
  <c r="B9" i="5"/>
  <c r="D3" i="5"/>
  <c r="B4" i="5"/>
  <c r="D4" i="5" s="1"/>
  <c r="B5" i="5"/>
  <c r="D5" i="5" s="1"/>
  <c r="B6" i="5"/>
  <c r="D6" i="5" s="1"/>
  <c r="B7" i="5"/>
  <c r="D7" i="5" s="1"/>
  <c r="B8" i="5"/>
  <c r="D8" i="5" s="1"/>
  <c r="AE6" i="5"/>
  <c r="AE7" i="5"/>
  <c r="AE8" i="5"/>
  <c r="AE5" i="5"/>
  <c r="AE3" i="5"/>
  <c r="AE4" i="5"/>
  <c r="AE9" i="5"/>
  <c r="U2" i="1" l="1"/>
  <c r="B18" i="5"/>
  <c r="D18" i="5" s="1"/>
  <c r="N3" i="1"/>
  <c r="AF37" i="5"/>
  <c r="AD37" i="5"/>
  <c r="AB37" i="5"/>
  <c r="X37" i="5"/>
  <c r="U37" i="5"/>
  <c r="S37" i="5"/>
  <c r="Q37" i="5"/>
  <c r="O37" i="5"/>
  <c r="M37" i="5"/>
  <c r="K37" i="5"/>
  <c r="AC37" i="5"/>
  <c r="W37" i="5"/>
  <c r="R37" i="5"/>
  <c r="N37" i="5"/>
  <c r="H37" i="5"/>
  <c r="F37" i="5"/>
  <c r="D37" i="5"/>
  <c r="Z37" i="5"/>
  <c r="T37" i="5"/>
  <c r="P37" i="5"/>
  <c r="L37" i="5"/>
  <c r="J37" i="5"/>
  <c r="G37" i="5"/>
  <c r="AF30" i="5"/>
  <c r="AC30" i="5"/>
  <c r="Z30" i="5"/>
  <c r="W30" i="5"/>
  <c r="T30" i="5"/>
  <c r="R30" i="5"/>
  <c r="P30" i="5"/>
  <c r="N30" i="5"/>
  <c r="L30" i="5"/>
  <c r="AB30" i="5"/>
  <c r="U30" i="5"/>
  <c r="Q30" i="5"/>
  <c r="M30" i="5"/>
  <c r="J30" i="5"/>
  <c r="G30" i="5"/>
  <c r="AD30" i="5"/>
  <c r="X30" i="5"/>
  <c r="S30" i="5"/>
  <c r="O30" i="5"/>
  <c r="K30" i="5"/>
  <c r="H30" i="5"/>
  <c r="F30" i="5"/>
  <c r="D30" i="5"/>
  <c r="AF28" i="5"/>
  <c r="AC28" i="5"/>
  <c r="Z28" i="5"/>
  <c r="W28" i="5"/>
  <c r="T28" i="5"/>
  <c r="R28" i="5"/>
  <c r="P28" i="5"/>
  <c r="N28" i="5"/>
  <c r="L28" i="5"/>
  <c r="AD28" i="5"/>
  <c r="X28" i="5"/>
  <c r="S28" i="5"/>
  <c r="O28" i="5"/>
  <c r="K28" i="5"/>
  <c r="J28" i="5"/>
  <c r="G28" i="5"/>
  <c r="AB28" i="5"/>
  <c r="U28" i="5"/>
  <c r="Q28" i="5"/>
  <c r="M28" i="5"/>
  <c r="H28" i="5"/>
  <c r="F28" i="5"/>
  <c r="D28" i="5"/>
  <c r="AF26" i="5"/>
  <c r="AC26" i="5"/>
  <c r="Z26" i="5"/>
  <c r="W26" i="5"/>
  <c r="T26" i="5"/>
  <c r="R26" i="5"/>
  <c r="P26" i="5"/>
  <c r="N26" i="5"/>
  <c r="L26" i="5"/>
  <c r="AB26" i="5"/>
  <c r="U26" i="5"/>
  <c r="Q26" i="5"/>
  <c r="M26" i="5"/>
  <c r="J26" i="5"/>
  <c r="G26" i="5"/>
  <c r="AD26" i="5"/>
  <c r="X26" i="5"/>
  <c r="S26" i="5"/>
  <c r="O26" i="5"/>
  <c r="K26" i="5"/>
  <c r="H26" i="5"/>
  <c r="F26" i="5"/>
  <c r="D26" i="5"/>
  <c r="AF24" i="5"/>
  <c r="AC24" i="5"/>
  <c r="Z24" i="5"/>
  <c r="W24" i="5"/>
  <c r="T24" i="5"/>
  <c r="R24" i="5"/>
  <c r="P24" i="5"/>
  <c r="N24" i="5"/>
  <c r="L24" i="5"/>
  <c r="AD24" i="5"/>
  <c r="X24" i="5"/>
  <c r="S24" i="5"/>
  <c r="O24" i="5"/>
  <c r="K24" i="5"/>
  <c r="J24" i="5"/>
  <c r="G24" i="5"/>
  <c r="AB24" i="5"/>
  <c r="U24" i="5"/>
  <c r="Q24" i="5"/>
  <c r="M24" i="5"/>
  <c r="H24" i="5"/>
  <c r="F24" i="5"/>
  <c r="D24" i="5"/>
  <c r="AF22" i="5"/>
  <c r="AC22" i="5"/>
  <c r="Z22" i="5"/>
  <c r="W22" i="5"/>
  <c r="T22" i="5"/>
  <c r="R22" i="5"/>
  <c r="P22" i="5"/>
  <c r="N22" i="5"/>
  <c r="L22" i="5"/>
  <c r="AB22" i="5"/>
  <c r="U22" i="5"/>
  <c r="Q22" i="5"/>
  <c r="M22" i="5"/>
  <c r="J22" i="5"/>
  <c r="G22" i="5"/>
  <c r="AD22" i="5"/>
  <c r="X22" i="5"/>
  <c r="S22" i="5"/>
  <c r="O22" i="5"/>
  <c r="K22" i="5"/>
  <c r="H22" i="5"/>
  <c r="F22" i="5"/>
  <c r="D22" i="5"/>
  <c r="AF20" i="5"/>
  <c r="AC20" i="5"/>
  <c r="Z20" i="5"/>
  <c r="W20" i="5"/>
  <c r="T20" i="5"/>
  <c r="R20" i="5"/>
  <c r="P20" i="5"/>
  <c r="N20" i="5"/>
  <c r="L20" i="5"/>
  <c r="AD20" i="5"/>
  <c r="X20" i="5"/>
  <c r="S20" i="5"/>
  <c r="O20" i="5"/>
  <c r="K20" i="5"/>
  <c r="J20" i="5"/>
  <c r="G20" i="5"/>
  <c r="AB20" i="5"/>
  <c r="U20" i="5"/>
  <c r="Q20" i="5"/>
  <c r="M20" i="5"/>
  <c r="H20" i="5"/>
  <c r="F20" i="5"/>
  <c r="D20" i="5"/>
  <c r="AD9" i="5"/>
  <c r="AB9" i="5"/>
  <c r="X9" i="5"/>
  <c r="U9" i="5"/>
  <c r="S9" i="5"/>
  <c r="Q9" i="5"/>
  <c r="O9" i="5"/>
  <c r="M9" i="5"/>
  <c r="AC9" i="5"/>
  <c r="W9" i="5"/>
  <c r="R9" i="5"/>
  <c r="N9" i="5"/>
  <c r="K9" i="5"/>
  <c r="H9" i="5"/>
  <c r="F9" i="5"/>
  <c r="D9" i="5"/>
  <c r="S7" i="1" s="1"/>
  <c r="AF9" i="5"/>
  <c r="Z9" i="5"/>
  <c r="T9" i="5"/>
  <c r="P9" i="5"/>
  <c r="L9" i="5"/>
  <c r="J9" i="5"/>
  <c r="G9" i="5"/>
  <c r="AF36" i="5"/>
  <c r="AC36" i="5"/>
  <c r="Z36" i="5"/>
  <c r="W36" i="5"/>
  <c r="T36" i="5"/>
  <c r="R36" i="5"/>
  <c r="P36" i="5"/>
  <c r="N36" i="5"/>
  <c r="L36" i="5"/>
  <c r="AD36" i="5"/>
  <c r="X36" i="5"/>
  <c r="S36" i="5"/>
  <c r="O36" i="5"/>
  <c r="K36" i="5"/>
  <c r="J36" i="5"/>
  <c r="G36" i="5"/>
  <c r="AB36" i="5"/>
  <c r="U36" i="5"/>
  <c r="Q36" i="5"/>
  <c r="M36" i="5"/>
  <c r="H36" i="5"/>
  <c r="F36" i="5"/>
  <c r="D36" i="5"/>
  <c r="AD33" i="5"/>
  <c r="AB33" i="5"/>
  <c r="X33" i="5"/>
  <c r="U33" i="5"/>
  <c r="S33" i="5"/>
  <c r="Q33" i="5"/>
  <c r="O33" i="5"/>
  <c r="M33" i="5"/>
  <c r="K33" i="5"/>
  <c r="AC33" i="5"/>
  <c r="W33" i="5"/>
  <c r="R33" i="5"/>
  <c r="N33" i="5"/>
  <c r="H33" i="5"/>
  <c r="F33" i="5"/>
  <c r="D33" i="5"/>
  <c r="AF33" i="5"/>
  <c r="Z33" i="5"/>
  <c r="T33" i="5"/>
  <c r="P33" i="5"/>
  <c r="L33" i="5"/>
  <c r="J33" i="5"/>
  <c r="G33" i="5"/>
  <c r="AD31" i="5"/>
  <c r="AB31" i="5"/>
  <c r="X31" i="5"/>
  <c r="U31" i="5"/>
  <c r="S31" i="5"/>
  <c r="Q31" i="5"/>
  <c r="O31" i="5"/>
  <c r="M31" i="5"/>
  <c r="K31" i="5"/>
  <c r="AF31" i="5"/>
  <c r="Z31" i="5"/>
  <c r="T31" i="5"/>
  <c r="P31" i="5"/>
  <c r="L31" i="5"/>
  <c r="H31" i="5"/>
  <c r="F31" i="5"/>
  <c r="D31" i="5"/>
  <c r="AC31" i="5"/>
  <c r="W31" i="5"/>
  <c r="R31" i="5"/>
  <c r="N31" i="5"/>
  <c r="J31" i="5"/>
  <c r="G31" i="5"/>
  <c r="AD27" i="5"/>
  <c r="AB27" i="5"/>
  <c r="X27" i="5"/>
  <c r="U27" i="5"/>
  <c r="S27" i="5"/>
  <c r="Q27" i="5"/>
  <c r="O27" i="5"/>
  <c r="M27" i="5"/>
  <c r="K27" i="5"/>
  <c r="AF27" i="5"/>
  <c r="Z27" i="5"/>
  <c r="T27" i="5"/>
  <c r="P27" i="5"/>
  <c r="L27" i="5"/>
  <c r="H27" i="5"/>
  <c r="F27" i="5"/>
  <c r="D27" i="5"/>
  <c r="AC27" i="5"/>
  <c r="W27" i="5"/>
  <c r="R27" i="5"/>
  <c r="N27" i="5"/>
  <c r="J27" i="5"/>
  <c r="G27" i="5"/>
  <c r="AD19" i="5"/>
  <c r="AB19" i="5"/>
  <c r="X19" i="5"/>
  <c r="U19" i="5"/>
  <c r="S19" i="5"/>
  <c r="Q19" i="5"/>
  <c r="O19" i="5"/>
  <c r="M19" i="5"/>
  <c r="K19" i="5"/>
  <c r="AF19" i="5"/>
  <c r="Z19" i="5"/>
  <c r="T19" i="5"/>
  <c r="P19" i="5"/>
  <c r="L19" i="5"/>
  <c r="H19" i="5"/>
  <c r="F19" i="5"/>
  <c r="D19" i="5"/>
  <c r="AC19" i="5"/>
  <c r="W19" i="5"/>
  <c r="R19" i="5"/>
  <c r="N19" i="5"/>
  <c r="J19" i="5"/>
  <c r="G19" i="5"/>
  <c r="AD15" i="5"/>
  <c r="AB15" i="5"/>
  <c r="X15" i="5"/>
  <c r="U15" i="5"/>
  <c r="S15" i="5"/>
  <c r="Q15" i="5"/>
  <c r="O15" i="5"/>
  <c r="M15" i="5"/>
  <c r="AF15" i="5"/>
  <c r="Z15" i="5"/>
  <c r="T15" i="5"/>
  <c r="P15" i="5"/>
  <c r="L15" i="5"/>
  <c r="K15" i="5"/>
  <c r="H15" i="5"/>
  <c r="F15" i="5"/>
  <c r="D15" i="5"/>
  <c r="AC15" i="5"/>
  <c r="W15" i="5"/>
  <c r="R15" i="5"/>
  <c r="N15" i="5"/>
  <c r="J15" i="5"/>
  <c r="G15" i="5"/>
  <c r="AD13" i="5"/>
  <c r="AB13" i="5"/>
  <c r="X13" i="5"/>
  <c r="U13" i="5"/>
  <c r="S13" i="5"/>
  <c r="Q13" i="5"/>
  <c r="O13" i="5"/>
  <c r="M13" i="5"/>
  <c r="AC13" i="5"/>
  <c r="W13" i="5"/>
  <c r="R13" i="5"/>
  <c r="N13" i="5"/>
  <c r="K13" i="5"/>
  <c r="H13" i="5"/>
  <c r="F13" i="5"/>
  <c r="D13" i="5"/>
  <c r="AF13" i="5"/>
  <c r="Z13" i="5"/>
  <c r="T13" i="5"/>
  <c r="P13" i="5"/>
  <c r="L13" i="5"/>
  <c r="J13" i="5"/>
  <c r="G13" i="5"/>
  <c r="AD11" i="5"/>
  <c r="AB11" i="5"/>
  <c r="X11" i="5"/>
  <c r="U11" i="5"/>
  <c r="S11" i="5"/>
  <c r="Q11" i="5"/>
  <c r="O11" i="5"/>
  <c r="M11" i="5"/>
  <c r="AF11" i="5"/>
  <c r="Z11" i="5"/>
  <c r="T11" i="5"/>
  <c r="P11" i="5"/>
  <c r="L11" i="5"/>
  <c r="K11" i="5"/>
  <c r="H11" i="5"/>
  <c r="F11" i="5"/>
  <c r="D11" i="5"/>
  <c r="AC11" i="5"/>
  <c r="W11" i="5"/>
  <c r="R11" i="5"/>
  <c r="N11" i="5"/>
  <c r="J11" i="5"/>
  <c r="G11" i="5"/>
  <c r="AF34" i="5"/>
  <c r="AC34" i="5"/>
  <c r="Z34" i="5"/>
  <c r="W34" i="5"/>
  <c r="T34" i="5"/>
  <c r="R34" i="5"/>
  <c r="P34" i="5"/>
  <c r="N34" i="5"/>
  <c r="L34" i="5"/>
  <c r="AB34" i="5"/>
  <c r="U34" i="5"/>
  <c r="Q34" i="5"/>
  <c r="M34" i="5"/>
  <c r="J34" i="5"/>
  <c r="G34" i="5"/>
  <c r="AD34" i="5"/>
  <c r="X34" i="5"/>
  <c r="S34" i="5"/>
  <c r="O34" i="5"/>
  <c r="K34" i="5"/>
  <c r="H34" i="5"/>
  <c r="F34" i="5"/>
  <c r="D34" i="5"/>
  <c r="AF32" i="5"/>
  <c r="AC32" i="5"/>
  <c r="Z32" i="5"/>
  <c r="W32" i="5"/>
  <c r="T32" i="5"/>
  <c r="R32" i="5"/>
  <c r="P32" i="5"/>
  <c r="N32" i="5"/>
  <c r="L32" i="5"/>
  <c r="AD32" i="5"/>
  <c r="X32" i="5"/>
  <c r="S32" i="5"/>
  <c r="O32" i="5"/>
  <c r="K32" i="5"/>
  <c r="J32" i="5"/>
  <c r="G32" i="5"/>
  <c r="AB32" i="5"/>
  <c r="U32" i="5"/>
  <c r="Q32" i="5"/>
  <c r="M32" i="5"/>
  <c r="H32" i="5"/>
  <c r="F32" i="5"/>
  <c r="D32" i="5"/>
  <c r="AD29" i="5"/>
  <c r="AB29" i="5"/>
  <c r="X29" i="5"/>
  <c r="U29" i="5"/>
  <c r="S29" i="5"/>
  <c r="Q29" i="5"/>
  <c r="O29" i="5"/>
  <c r="M29" i="5"/>
  <c r="K29" i="5"/>
  <c r="AC29" i="5"/>
  <c r="W29" i="5"/>
  <c r="R29" i="5"/>
  <c r="N29" i="5"/>
  <c r="H29" i="5"/>
  <c r="F29" i="5"/>
  <c r="D29" i="5"/>
  <c r="AF29" i="5"/>
  <c r="Z29" i="5"/>
  <c r="T29" i="5"/>
  <c r="P29" i="5"/>
  <c r="L29" i="5"/>
  <c r="J29" i="5"/>
  <c r="G29" i="5"/>
  <c r="AD23" i="5"/>
  <c r="AB23" i="5"/>
  <c r="X23" i="5"/>
  <c r="U23" i="5"/>
  <c r="S23" i="5"/>
  <c r="Q23" i="5"/>
  <c r="O23" i="5"/>
  <c r="M23" i="5"/>
  <c r="K23" i="5"/>
  <c r="AF23" i="5"/>
  <c r="Z23" i="5"/>
  <c r="T23" i="5"/>
  <c r="P23" i="5"/>
  <c r="L23" i="5"/>
  <c r="H23" i="5"/>
  <c r="F23" i="5"/>
  <c r="D23" i="5"/>
  <c r="AC23" i="5"/>
  <c r="W23" i="5"/>
  <c r="R23" i="5"/>
  <c r="N23" i="5"/>
  <c r="J23" i="5"/>
  <c r="G23" i="5"/>
  <c r="AD17" i="5"/>
  <c r="AB17" i="5"/>
  <c r="X17" i="5"/>
  <c r="U17" i="5"/>
  <c r="S17" i="5"/>
  <c r="Q17" i="5"/>
  <c r="O17" i="5"/>
  <c r="M17" i="5"/>
  <c r="AC17" i="5"/>
  <c r="W17" i="5"/>
  <c r="R17" i="5"/>
  <c r="N17" i="5"/>
  <c r="K17" i="5"/>
  <c r="H17" i="5"/>
  <c r="F17" i="5"/>
  <c r="D17" i="5"/>
  <c r="AF17" i="5"/>
  <c r="Z17" i="5"/>
  <c r="T17" i="5"/>
  <c r="P17" i="5"/>
  <c r="L17" i="5"/>
  <c r="J17" i="5"/>
  <c r="G17" i="5"/>
  <c r="AF14" i="5"/>
  <c r="AC14" i="5"/>
  <c r="Z14" i="5"/>
  <c r="W14" i="5"/>
  <c r="T14" i="5"/>
  <c r="R14" i="5"/>
  <c r="P14" i="5"/>
  <c r="N14" i="5"/>
  <c r="L14" i="5"/>
  <c r="AB14" i="5"/>
  <c r="U14" i="5"/>
  <c r="Q14" i="5"/>
  <c r="M14" i="5"/>
  <c r="J14" i="5"/>
  <c r="G14" i="5"/>
  <c r="AD14" i="5"/>
  <c r="X14" i="5"/>
  <c r="S14" i="5"/>
  <c r="O14" i="5"/>
  <c r="K14" i="5"/>
  <c r="H14" i="5"/>
  <c r="F14" i="5"/>
  <c r="D14" i="5"/>
  <c r="AF12" i="5"/>
  <c r="AC12" i="5"/>
  <c r="Z12" i="5"/>
  <c r="W12" i="5"/>
  <c r="T12" i="5"/>
  <c r="R12" i="5"/>
  <c r="P12" i="5"/>
  <c r="N12" i="5"/>
  <c r="L12" i="5"/>
  <c r="AD12" i="5"/>
  <c r="X12" i="5"/>
  <c r="S12" i="5"/>
  <c r="O12" i="5"/>
  <c r="J12" i="5"/>
  <c r="G12" i="5"/>
  <c r="AB12" i="5"/>
  <c r="U12" i="5"/>
  <c r="Q12" i="5"/>
  <c r="M12" i="5"/>
  <c r="K12" i="5"/>
  <c r="H12" i="5"/>
  <c r="F12" i="5"/>
  <c r="D12" i="5"/>
  <c r="AF10" i="5"/>
  <c r="AC10" i="5"/>
  <c r="Z10" i="5"/>
  <c r="W10" i="5"/>
  <c r="T10" i="5"/>
  <c r="R10" i="5"/>
  <c r="P10" i="5"/>
  <c r="N10" i="5"/>
  <c r="L10" i="5"/>
  <c r="AB10" i="5"/>
  <c r="U10" i="5"/>
  <c r="Q10" i="5"/>
  <c r="M10" i="5"/>
  <c r="J10" i="5"/>
  <c r="G10" i="5"/>
  <c r="AD10" i="5"/>
  <c r="X10" i="5"/>
  <c r="S10" i="5"/>
  <c r="O10" i="5"/>
  <c r="K10" i="5"/>
  <c r="H10" i="5"/>
  <c r="F10" i="5"/>
  <c r="D10" i="5"/>
  <c r="AD35" i="5"/>
  <c r="AB35" i="5"/>
  <c r="X35" i="5"/>
  <c r="U35" i="5"/>
  <c r="S35" i="5"/>
  <c r="Q35" i="5"/>
  <c r="O35" i="5"/>
  <c r="M35" i="5"/>
  <c r="K35" i="5"/>
  <c r="AF35" i="5"/>
  <c r="Z35" i="5"/>
  <c r="T35" i="5"/>
  <c r="P35" i="5"/>
  <c r="L35" i="5"/>
  <c r="H35" i="5"/>
  <c r="F35" i="5"/>
  <c r="D35" i="5"/>
  <c r="AC35" i="5"/>
  <c r="W35" i="5"/>
  <c r="R35" i="5"/>
  <c r="N35" i="5"/>
  <c r="J35" i="5"/>
  <c r="G35" i="5"/>
  <c r="AF16" i="5"/>
  <c r="AC16" i="5"/>
  <c r="Z16" i="5"/>
  <c r="W16" i="5"/>
  <c r="T16" i="5"/>
  <c r="R16" i="5"/>
  <c r="P16" i="5"/>
  <c r="N16" i="5"/>
  <c r="L16" i="5"/>
  <c r="AD16" i="5"/>
  <c r="X16" i="5"/>
  <c r="S16" i="5"/>
  <c r="O16" i="5"/>
  <c r="J16" i="5"/>
  <c r="G16" i="5"/>
  <c r="AB16" i="5"/>
  <c r="U16" i="5"/>
  <c r="Q16" i="5"/>
  <c r="M16" i="5"/>
  <c r="K16" i="5"/>
  <c r="H16" i="5"/>
  <c r="F16" i="5"/>
  <c r="D16" i="5"/>
  <c r="AD25" i="5"/>
  <c r="AB25" i="5"/>
  <c r="X25" i="5"/>
  <c r="U25" i="5"/>
  <c r="S25" i="5"/>
  <c r="Q25" i="5"/>
  <c r="O25" i="5"/>
  <c r="M25" i="5"/>
  <c r="K25" i="5"/>
  <c r="AC25" i="5"/>
  <c r="W25" i="5"/>
  <c r="R25" i="5"/>
  <c r="N25" i="5"/>
  <c r="H25" i="5"/>
  <c r="F25" i="5"/>
  <c r="D25" i="5"/>
  <c r="AF25" i="5"/>
  <c r="Z25" i="5"/>
  <c r="T25" i="5"/>
  <c r="P25" i="5"/>
  <c r="L25" i="5"/>
  <c r="J25" i="5"/>
  <c r="G25" i="5"/>
  <c r="AD21" i="5"/>
  <c r="AB21" i="5"/>
  <c r="X21" i="5"/>
  <c r="U21" i="5"/>
  <c r="S21" i="5"/>
  <c r="Q21" i="5"/>
  <c r="O21" i="5"/>
  <c r="M21" i="5"/>
  <c r="K21" i="5"/>
  <c r="AC21" i="5"/>
  <c r="W21" i="5"/>
  <c r="R21" i="5"/>
  <c r="N21" i="5"/>
  <c r="H21" i="5"/>
  <c r="F21" i="5"/>
  <c r="D21" i="5"/>
  <c r="AF21" i="5"/>
  <c r="Z21" i="5"/>
  <c r="T21" i="5"/>
  <c r="P21" i="5"/>
  <c r="L21" i="5"/>
  <c r="J21" i="5"/>
  <c r="G21" i="5"/>
  <c r="AF6" i="5"/>
  <c r="AD6" i="5"/>
  <c r="AC6" i="5"/>
  <c r="AB6" i="5"/>
  <c r="Z6" i="5"/>
  <c r="X6" i="5"/>
  <c r="W6" i="5"/>
  <c r="U6" i="5"/>
  <c r="T6" i="5"/>
  <c r="S6" i="5"/>
  <c r="R6" i="5"/>
  <c r="Q6" i="5"/>
  <c r="P6" i="5"/>
  <c r="O6" i="5"/>
  <c r="N6" i="5"/>
  <c r="M6" i="5"/>
  <c r="L6" i="5"/>
  <c r="K6" i="5"/>
  <c r="J6" i="5"/>
  <c r="H6" i="5"/>
  <c r="G6" i="5"/>
  <c r="F6" i="5"/>
  <c r="AF8" i="5"/>
  <c r="AD8" i="5"/>
  <c r="AC8" i="5"/>
  <c r="AB8" i="5"/>
  <c r="Z8" i="5"/>
  <c r="X8" i="5"/>
  <c r="W8" i="5"/>
  <c r="U8" i="5"/>
  <c r="T8" i="5"/>
  <c r="S8" i="5"/>
  <c r="R8" i="5"/>
  <c r="Q8" i="5"/>
  <c r="P8" i="5"/>
  <c r="O8" i="5"/>
  <c r="N8" i="5"/>
  <c r="M8" i="5"/>
  <c r="L8" i="5"/>
  <c r="K8" i="5"/>
  <c r="J8" i="5"/>
  <c r="H8" i="5"/>
  <c r="G8" i="5"/>
  <c r="F8" i="5"/>
  <c r="AF4" i="5"/>
  <c r="AD4" i="5"/>
  <c r="AC4" i="5"/>
  <c r="AB4" i="5"/>
  <c r="Z4" i="5"/>
  <c r="X4" i="5"/>
  <c r="W4" i="5"/>
  <c r="U4" i="5"/>
  <c r="T4" i="5"/>
  <c r="S4" i="5"/>
  <c r="R4" i="5"/>
  <c r="Q4" i="5"/>
  <c r="P4" i="5"/>
  <c r="O4" i="5"/>
  <c r="N4" i="5"/>
  <c r="M4" i="5"/>
  <c r="L4" i="5"/>
  <c r="K4" i="5"/>
  <c r="J4" i="5"/>
  <c r="H4" i="5"/>
  <c r="G4" i="5"/>
  <c r="F4" i="5"/>
  <c r="AF7" i="5"/>
  <c r="AD7" i="5"/>
  <c r="AC7" i="5"/>
  <c r="AB7" i="5"/>
  <c r="Z7" i="5"/>
  <c r="X7" i="5"/>
  <c r="W7" i="5"/>
  <c r="U7" i="5"/>
  <c r="T7" i="5"/>
  <c r="S7" i="5"/>
  <c r="R7" i="5"/>
  <c r="Q7" i="5"/>
  <c r="P7" i="5"/>
  <c r="O7" i="5"/>
  <c r="N7" i="5"/>
  <c r="M7" i="5"/>
  <c r="L7" i="5"/>
  <c r="K7" i="5"/>
  <c r="J7" i="5"/>
  <c r="H7" i="5"/>
  <c r="G7" i="5"/>
  <c r="F7" i="5"/>
  <c r="AF5" i="5"/>
  <c r="AD5" i="5"/>
  <c r="AC5" i="5"/>
  <c r="AB5" i="5"/>
  <c r="Z5" i="5"/>
  <c r="X5" i="5"/>
  <c r="W5" i="5"/>
  <c r="U5" i="5"/>
  <c r="T5" i="5"/>
  <c r="S5" i="5"/>
  <c r="R5" i="5"/>
  <c r="Q5" i="5"/>
  <c r="P5" i="5"/>
  <c r="O5" i="5"/>
  <c r="N5" i="5"/>
  <c r="M5" i="5"/>
  <c r="L5" i="5"/>
  <c r="K5" i="5"/>
  <c r="J5" i="5"/>
  <c r="H5" i="5"/>
  <c r="G5" i="5"/>
  <c r="F5" i="5"/>
  <c r="AF3" i="5"/>
  <c r="AD3" i="5"/>
  <c r="AC3" i="5"/>
  <c r="AB3" i="5"/>
  <c r="Z3" i="5"/>
  <c r="X3" i="5"/>
  <c r="W3" i="5"/>
  <c r="U3" i="5"/>
  <c r="T3" i="5"/>
  <c r="S3" i="5"/>
  <c r="R3" i="5"/>
  <c r="Q3" i="5"/>
  <c r="P3" i="5"/>
  <c r="O3" i="5"/>
  <c r="N3" i="5"/>
  <c r="M3" i="5"/>
  <c r="L3" i="5"/>
  <c r="K3" i="5"/>
  <c r="J3" i="5"/>
  <c r="H3" i="5"/>
  <c r="G3" i="5"/>
  <c r="F3" i="5"/>
  <c r="S2" i="1"/>
  <c r="AD18" i="5" l="1"/>
  <c r="N18" i="5"/>
  <c r="K18" i="5"/>
  <c r="Q18" i="5"/>
  <c r="W18" i="5"/>
  <c r="F18" i="5"/>
  <c r="S18" i="5"/>
  <c r="J18" i="5"/>
  <c r="R3" i="1" s="1"/>
  <c r="S3" i="1" s="1"/>
  <c r="AB18" i="5"/>
  <c r="R18" i="5"/>
  <c r="AC18" i="5"/>
  <c r="H18" i="5"/>
  <c r="O18" i="5"/>
  <c r="X18" i="5"/>
  <c r="G18" i="5"/>
  <c r="M18" i="5"/>
  <c r="U18" i="5"/>
  <c r="L18" i="5"/>
  <c r="P18" i="5"/>
  <c r="T18" i="5"/>
  <c r="Z18" i="5"/>
  <c r="AF18" i="5"/>
  <c r="J11" i="4"/>
  <c r="J4" i="4"/>
  <c r="J3" i="4"/>
</calcChain>
</file>

<file path=xl/sharedStrings.xml><?xml version="1.0" encoding="utf-8"?>
<sst xmlns="http://schemas.openxmlformats.org/spreadsheetml/2006/main" count="2074" uniqueCount="435">
  <si>
    <t>No.</t>
  </si>
  <si>
    <t>No.Polisi</t>
  </si>
  <si>
    <t>Merk</t>
  </si>
  <si>
    <t>Jenis</t>
  </si>
  <si>
    <t>Jumlah Ban</t>
  </si>
  <si>
    <t>Isi Silinder (CC)</t>
  </si>
  <si>
    <t>Tahun Pembuatan</t>
  </si>
  <si>
    <t>No.Rangka</t>
  </si>
  <si>
    <t>No.Mesin</t>
  </si>
  <si>
    <t>Masa Berlaku STNK</t>
  </si>
  <si>
    <t>Bahan Bakar</t>
  </si>
  <si>
    <t>Warna</t>
  </si>
  <si>
    <t>PIC Driver</t>
  </si>
  <si>
    <t>B9358OZ</t>
  </si>
  <si>
    <t>Isuzu</t>
  </si>
  <si>
    <t>Light Truck Box</t>
  </si>
  <si>
    <t>MHCNH55EY3J008286</t>
  </si>
  <si>
    <t>M008286</t>
  </si>
  <si>
    <t>Solar</t>
  </si>
  <si>
    <t>Ungu</t>
  </si>
  <si>
    <t>Saptono</t>
  </si>
  <si>
    <t>B9009WDA</t>
  </si>
  <si>
    <t>Mitsubishi</t>
  </si>
  <si>
    <t>MHMFE71P19K012275</t>
  </si>
  <si>
    <t>4D34TE50235</t>
  </si>
  <si>
    <t>Dahlan</t>
  </si>
  <si>
    <t>B9216AQ</t>
  </si>
  <si>
    <t>pending</t>
  </si>
  <si>
    <t>Andre</t>
  </si>
  <si>
    <t>B9761TC</t>
  </si>
  <si>
    <t>Nasri</t>
  </si>
  <si>
    <t>B9011WXR</t>
  </si>
  <si>
    <t>Hino</t>
  </si>
  <si>
    <t>Yusuf</t>
  </si>
  <si>
    <t>B9126WCA</t>
  </si>
  <si>
    <t>Mista</t>
  </si>
  <si>
    <t>B9134WCB</t>
  </si>
  <si>
    <t>Agus</t>
  </si>
  <si>
    <t>B9132WCB</t>
  </si>
  <si>
    <t>Aji</t>
  </si>
  <si>
    <t>B9518WCA</t>
  </si>
  <si>
    <t>MHNFE73T2BK019343</t>
  </si>
  <si>
    <t>4B34TGY9229</t>
  </si>
  <si>
    <t>Dul</t>
  </si>
  <si>
    <t>B9866WC</t>
  </si>
  <si>
    <t>Light Truck Pickup</t>
  </si>
  <si>
    <t>Adi</t>
  </si>
  <si>
    <t>B9523WCA</t>
  </si>
  <si>
    <t>L300 Box</t>
  </si>
  <si>
    <t>Edi</t>
  </si>
  <si>
    <t>B9023TC</t>
  </si>
  <si>
    <t>Arif</t>
  </si>
  <si>
    <t>Driver</t>
  </si>
  <si>
    <t>Supir</t>
  </si>
  <si>
    <t>City_Municipal</t>
  </si>
  <si>
    <t>Dealer</t>
  </si>
  <si>
    <t>Expedition</t>
  </si>
  <si>
    <t>BANDUNG</t>
  </si>
  <si>
    <t>BRAGA MC</t>
  </si>
  <si>
    <t>NADA NARIPAN</t>
  </si>
  <si>
    <t>SUMBER MAKMUR</t>
  </si>
  <si>
    <t>GEORAMA</t>
  </si>
  <si>
    <t>MG - BANDUNG</t>
  </si>
  <si>
    <t>TIGA NADA</t>
  </si>
  <si>
    <t>ISTANA NADA</t>
  </si>
  <si>
    <t>NADA MUSIK HARMONI</t>
  </si>
  <si>
    <t>IRAMA MUSIK_SM NADA</t>
  </si>
  <si>
    <t>METROTARA</t>
  </si>
  <si>
    <t>MAX &amp; JEANNY</t>
  </si>
  <si>
    <t>CIREBON</t>
  </si>
  <si>
    <t>BOGOR</t>
  </si>
  <si>
    <t>HARMONI MUSIK</t>
  </si>
  <si>
    <t>KWARTET</t>
  </si>
  <si>
    <t>YOGYAKARTA</t>
  </si>
  <si>
    <t>JAYANADA</t>
  </si>
  <si>
    <t>DIANA MUSIK</t>
  </si>
  <si>
    <t>SRIWIJAYA MUSIK</t>
  </si>
  <si>
    <t>KURNIA YOGYA</t>
  </si>
  <si>
    <t>HANA MUSIK</t>
  </si>
  <si>
    <t>SOLO</t>
  </si>
  <si>
    <t>KURNIA SOLO</t>
  </si>
  <si>
    <t>QUEEN MUSIK</t>
  </si>
  <si>
    <t>PURWOKERTO</t>
  </si>
  <si>
    <t>PURWOKERTO MC</t>
  </si>
  <si>
    <t>LANCAR WIJAYA</t>
  </si>
  <si>
    <t>KUDUS</t>
  </si>
  <si>
    <t>WM HARAPAN</t>
  </si>
  <si>
    <t>SEMARANG</t>
  </si>
  <si>
    <t>KURNIA MUSIK</t>
  </si>
  <si>
    <t>HALMAHERA</t>
  </si>
  <si>
    <t>WM PURNOMO</t>
  </si>
  <si>
    <t>STAND WOODS</t>
  </si>
  <si>
    <t>SURYA PUTRA</t>
  </si>
  <si>
    <t>OBOR DHANI</t>
  </si>
  <si>
    <t>MAGELANG</t>
  </si>
  <si>
    <t>SANTOSA MUSIK</t>
  </si>
  <si>
    <t>SURABAYA</t>
  </si>
  <si>
    <t>IRAMA RUKMAKARTIKA</t>
  </si>
  <si>
    <t>ASIA SPORT</t>
  </si>
  <si>
    <t>DEMPO MUSIK</t>
  </si>
  <si>
    <t>MENTARI KASIH</t>
  </si>
  <si>
    <t>MG - SURABAYA</t>
  </si>
  <si>
    <t>IRAMA MAS SULAWESI</t>
  </si>
  <si>
    <t>SANTARIO</t>
  </si>
  <si>
    <t>MAESTRO MC</t>
  </si>
  <si>
    <t>MODERN SPORT</t>
  </si>
  <si>
    <t>WM MELODIA</t>
  </si>
  <si>
    <t>SEMESTA HARMONI</t>
  </si>
  <si>
    <t>MOSHI-MOSHI</t>
  </si>
  <si>
    <t>IRAMA MANDIRI KARTIKA</t>
  </si>
  <si>
    <t>IRAMA MAS TEGAL SARI</t>
  </si>
  <si>
    <t>SURABAYA MC</t>
  </si>
  <si>
    <t>JOMBANG</t>
  </si>
  <si>
    <t>METRO MUSIK</t>
  </si>
  <si>
    <t>MALANG</t>
  </si>
  <si>
    <t>BALI</t>
  </si>
  <si>
    <t>IRAMA INDAH</t>
  </si>
  <si>
    <t>MAHADEPA BALI</t>
  </si>
  <si>
    <t>INIMA MUSIK</t>
  </si>
  <si>
    <t>MEDAN</t>
  </si>
  <si>
    <t>ERA MUSIKA</t>
  </si>
  <si>
    <t xml:space="preserve">TRIBINA KARYA </t>
  </si>
  <si>
    <t>TANGO MUSIC</t>
  </si>
  <si>
    <t>SIBAL MUSIK</t>
  </si>
  <si>
    <t>RAJA SPORT</t>
  </si>
  <si>
    <t>MAHAPADA LESTARI</t>
  </si>
  <si>
    <t>DUNIA MUSIK</t>
  </si>
  <si>
    <t>SEMANGAT</t>
  </si>
  <si>
    <t>PADANG</t>
  </si>
  <si>
    <t>MG - PADANG</t>
  </si>
  <si>
    <t>DAKOTA</t>
  </si>
  <si>
    <t>RANIA IRAMA MUSIK</t>
  </si>
  <si>
    <t xml:space="preserve">CAHAYA LINTAS </t>
  </si>
  <si>
    <t>WAHANA MUSIK PADANG</t>
  </si>
  <si>
    <t xml:space="preserve">MADANI EXPRESS </t>
  </si>
  <si>
    <t>JAMBI</t>
  </si>
  <si>
    <t>JAMBI MUSIK</t>
  </si>
  <si>
    <t>MAHARUPA GATRA JAMBI</t>
  </si>
  <si>
    <t xml:space="preserve">TERANG JAYA </t>
  </si>
  <si>
    <t>PEKANBARU</t>
  </si>
  <si>
    <t>TRIBAHANA GITA MULIA</t>
  </si>
  <si>
    <t>MG - PEKANBARU</t>
  </si>
  <si>
    <t>I-HOMES PEKANBARU</t>
  </si>
  <si>
    <t xml:space="preserve">SUBUR ANTAR NUSA </t>
  </si>
  <si>
    <t>BANGKA</t>
  </si>
  <si>
    <t xml:space="preserve">SRIKANDI CARGO </t>
  </si>
  <si>
    <t>BATAM</t>
  </si>
  <si>
    <t>CLASSY MUSIC</t>
  </si>
  <si>
    <t>BALERANG MUSIK</t>
  </si>
  <si>
    <t xml:space="preserve">PERINTIS UTAMA </t>
  </si>
  <si>
    <t>PALEMBANG</t>
  </si>
  <si>
    <t>SWARA INDAH</t>
  </si>
  <si>
    <t>MG - PALEMBANG</t>
  </si>
  <si>
    <t xml:space="preserve">MULTI EXPRESS </t>
  </si>
  <si>
    <t>MATAHARI SPORT</t>
  </si>
  <si>
    <t xml:space="preserve">RATU BERLIAN </t>
  </si>
  <si>
    <t>BANDAR LAMPUNG</t>
  </si>
  <si>
    <t>MAHARUPA GATRA LAMPUNG</t>
  </si>
  <si>
    <t xml:space="preserve">BERKAT ABADI JAYA </t>
  </si>
  <si>
    <t>TANJUNG PINANG</t>
  </si>
  <si>
    <t>BINTAN IRAMA SERASI</t>
  </si>
  <si>
    <t xml:space="preserve">BINTAN MEGAH ABADI </t>
  </si>
  <si>
    <t>MAKASSAR</t>
  </si>
  <si>
    <t>RANIA IRAMA</t>
  </si>
  <si>
    <t xml:space="preserve">PUTRA GUNA JAYA </t>
  </si>
  <si>
    <t>MANADO</t>
  </si>
  <si>
    <t>SEPTIM MUSIK</t>
  </si>
  <si>
    <t xml:space="preserve">TRI TUNGGAL </t>
  </si>
  <si>
    <t>ALTRANS</t>
  </si>
  <si>
    <t>SAMARINDA</t>
  </si>
  <si>
    <t>SIMA ELEKTRONIK</t>
  </si>
  <si>
    <t>MAHARUPA GATRA SEMARANG</t>
  </si>
  <si>
    <t>MAHARUPA GATRA MALANG</t>
  </si>
  <si>
    <t>MAHARUPA GATRA MEDAN</t>
  </si>
  <si>
    <t>MAHARUPA GATRA PALEMBANG</t>
  </si>
  <si>
    <t>MAHARUPA GATRA MANADO</t>
  </si>
  <si>
    <t>MAHARUPA GATRA SAMARINDA</t>
  </si>
  <si>
    <t>AUDIOSEN</t>
  </si>
  <si>
    <t>PONTIANAK</t>
  </si>
  <si>
    <t xml:space="preserve">MITRA BERSAMA </t>
  </si>
  <si>
    <t xml:space="preserve">BUANA RAYA </t>
  </si>
  <si>
    <t>BALIKPAPAN</t>
  </si>
  <si>
    <t>DOREMI BALIKPAPAN</t>
  </si>
  <si>
    <t xml:space="preserve">MUTIARA EKSPRESS </t>
  </si>
  <si>
    <t>BANJARMASIN</t>
  </si>
  <si>
    <t>SALSA MUSIK</t>
  </si>
  <si>
    <t xml:space="preserve">CV. ANGKASA </t>
  </si>
  <si>
    <t>PALANGKARAYA</t>
  </si>
  <si>
    <t>ISTANA MUSIK JOMBANG</t>
  </si>
  <si>
    <t>ISTANA MUSIK MEDAN</t>
  </si>
  <si>
    <t>SUMATERA SPORT MEDAN</t>
  </si>
  <si>
    <t>SUMATERA SPORT PALEMBANG</t>
  </si>
  <si>
    <t>ECAYO MUSIK PALEMBANG</t>
  </si>
  <si>
    <t>ECAYO MUSIK BANDAR LAMPUNG</t>
  </si>
  <si>
    <t>Num</t>
  </si>
  <si>
    <t>DEALER AND EXPEDITION LIST</t>
  </si>
  <si>
    <t>ANATU GEMILANG</t>
  </si>
  <si>
    <t>MALANG MC</t>
  </si>
  <si>
    <t>LATREOU</t>
  </si>
  <si>
    <t>SUMBER JADI MAKMUR</t>
  </si>
  <si>
    <t>MAHADEPA ABADI PADANG</t>
  </si>
  <si>
    <t>MAHADEPA ABADI MANADO</t>
  </si>
  <si>
    <t>Vehicle Num</t>
  </si>
  <si>
    <t>Product Name</t>
  </si>
  <si>
    <t>Product_Name</t>
  </si>
  <si>
    <t>JU</t>
  </si>
  <si>
    <t>JX</t>
  </si>
  <si>
    <t>Weight (kg)</t>
  </si>
  <si>
    <t>Panjang</t>
  </si>
  <si>
    <t>Lebar</t>
  </si>
  <si>
    <t>Tinggi</t>
  </si>
  <si>
    <t>Total Price (Rp)</t>
  </si>
  <si>
    <t>Quantity (Unit)</t>
  </si>
  <si>
    <t>Topik</t>
  </si>
  <si>
    <t>Yayan</t>
  </si>
  <si>
    <t>Aldi</t>
  </si>
  <si>
    <t>Mul</t>
  </si>
  <si>
    <t>Piyan</t>
  </si>
  <si>
    <t>Ibnu</t>
  </si>
  <si>
    <t>Assistant</t>
  </si>
  <si>
    <t>Name</t>
  </si>
  <si>
    <t>Level</t>
  </si>
  <si>
    <t>Najib</t>
  </si>
  <si>
    <t>Ajum</t>
  </si>
  <si>
    <t>Ajun</t>
  </si>
  <si>
    <t>Dedi</t>
  </si>
  <si>
    <t>Timun</t>
  </si>
  <si>
    <t>Reza</t>
  </si>
  <si>
    <t>YMID PRODUCT CATALOG</t>
  </si>
  <si>
    <t>LIMA WAKTU DELIVERY VEHICLE RECORD</t>
  </si>
  <si>
    <t>LIMA WAKTU DELIVERY MAN RECORD</t>
  </si>
  <si>
    <t>Region (City_Municipal)</t>
  </si>
  <si>
    <t>Delivery Asst.</t>
  </si>
  <si>
    <t>Total Volume (m3)</t>
  </si>
  <si>
    <t>Total Weight (kg)</t>
  </si>
  <si>
    <t>Price / Unit; OR Price / Volumetric (Rp)</t>
  </si>
  <si>
    <t>DO Num</t>
  </si>
  <si>
    <t>DO Printed Date</t>
  </si>
  <si>
    <t>Exit Date</t>
  </si>
  <si>
    <t>Received Date</t>
  </si>
  <si>
    <t>Receipt Num</t>
  </si>
  <si>
    <t>DGB</t>
  </si>
  <si>
    <t>U1</t>
  </si>
  <si>
    <t>GB1</t>
  </si>
  <si>
    <t xml:space="preserve">C3 </t>
  </si>
  <si>
    <t>Piano</t>
  </si>
  <si>
    <t>156/166</t>
  </si>
  <si>
    <t>63/72</t>
  </si>
  <si>
    <t>116/128</t>
  </si>
  <si>
    <t>159/169</t>
  </si>
  <si>
    <t>72/80</t>
  </si>
  <si>
    <t>129/140</t>
  </si>
  <si>
    <t>Class_Type</t>
  </si>
  <si>
    <t>PSRS 710</t>
  </si>
  <si>
    <t>Packing Status</t>
  </si>
  <si>
    <t>Yes</t>
  </si>
  <si>
    <t>PSRS 910</t>
  </si>
  <si>
    <t>PSRS 650</t>
  </si>
  <si>
    <t>PSRA 2000</t>
  </si>
  <si>
    <t>PSRE 233</t>
  </si>
  <si>
    <t>PSRE 333</t>
  </si>
  <si>
    <t>PSRE 423</t>
  </si>
  <si>
    <t>PSRE 433</t>
  </si>
  <si>
    <t>DGX 230</t>
  </si>
  <si>
    <t>DGX 530</t>
  </si>
  <si>
    <t>DGX 640</t>
  </si>
  <si>
    <t>TYROS 4</t>
  </si>
  <si>
    <t>PSRNPV 80</t>
  </si>
  <si>
    <t>PSR-343</t>
  </si>
  <si>
    <t>PSR-243</t>
  </si>
  <si>
    <t>PSR F 150</t>
  </si>
  <si>
    <t>PSR-443</t>
  </si>
  <si>
    <t>DGX 650</t>
  </si>
  <si>
    <t>PSR 353</t>
  </si>
  <si>
    <t>PSR 253</t>
  </si>
  <si>
    <t>PSR 670</t>
  </si>
  <si>
    <t>PSR 970</t>
  </si>
  <si>
    <t>PSR 770</t>
  </si>
  <si>
    <t>TYROS 5 SET</t>
  </si>
  <si>
    <t>EPP 45 B</t>
  </si>
  <si>
    <t>CP 40</t>
  </si>
  <si>
    <t>YDP C71 PE</t>
  </si>
  <si>
    <t>YDP 141</t>
  </si>
  <si>
    <t>YDP 161</t>
  </si>
  <si>
    <t>YDP V240</t>
  </si>
  <si>
    <t>CLP 430R</t>
  </si>
  <si>
    <t>CVP 501</t>
  </si>
  <si>
    <t>CVP 503</t>
  </si>
  <si>
    <t>CVP 505</t>
  </si>
  <si>
    <t>CVP 505PE</t>
  </si>
  <si>
    <t>ELB 01</t>
  </si>
  <si>
    <t>ELS 01</t>
  </si>
  <si>
    <t>CLP 465</t>
  </si>
  <si>
    <t>BC-100 DR</t>
  </si>
  <si>
    <t>CVP 605</t>
  </si>
  <si>
    <t>CVP 601</t>
  </si>
  <si>
    <t>CVP 609</t>
  </si>
  <si>
    <t>CVP 565 GP</t>
  </si>
  <si>
    <t>CLP 525</t>
  </si>
  <si>
    <t>ELS 02</t>
  </si>
  <si>
    <t>CVP 701 B</t>
  </si>
  <si>
    <t>CVP 705</t>
  </si>
  <si>
    <t>YDP 162</t>
  </si>
  <si>
    <t>CVP 709</t>
  </si>
  <si>
    <t>YDP 143R</t>
  </si>
  <si>
    <t>CLP 440R</t>
  </si>
  <si>
    <t>YDP S31</t>
  </si>
  <si>
    <t>August</t>
  </si>
  <si>
    <t>June</t>
  </si>
  <si>
    <t>July</t>
  </si>
  <si>
    <t>September</t>
  </si>
  <si>
    <t>October</t>
  </si>
  <si>
    <t>November</t>
  </si>
  <si>
    <t>December</t>
  </si>
  <si>
    <t>C 40</t>
  </si>
  <si>
    <t>C 80</t>
  </si>
  <si>
    <t>C 315</t>
  </si>
  <si>
    <t>CS 40</t>
  </si>
  <si>
    <t>CX 40</t>
  </si>
  <si>
    <t>CGS 102</t>
  </si>
  <si>
    <t>FX 310</t>
  </si>
  <si>
    <t>F 350</t>
  </si>
  <si>
    <t>F 360</t>
  </si>
  <si>
    <t>GL 1</t>
  </si>
  <si>
    <t>JR 1</t>
  </si>
  <si>
    <t>APX 500</t>
  </si>
  <si>
    <t>CPX 500</t>
  </si>
  <si>
    <t>CG 142</t>
  </si>
  <si>
    <t>PAC 112</t>
  </si>
  <si>
    <t>RBX 270</t>
  </si>
  <si>
    <t>SLG 130</t>
  </si>
  <si>
    <t>SLG 110</t>
  </si>
  <si>
    <t>NTX 1200</t>
  </si>
  <si>
    <t>NCX 700</t>
  </si>
  <si>
    <t>BB 424</t>
  </si>
  <si>
    <t>BB 425</t>
  </si>
  <si>
    <t>FG 700S</t>
  </si>
  <si>
    <t>JR 2 SNT</t>
  </si>
  <si>
    <t>CGX 102</t>
  </si>
  <si>
    <t>CGX 102 / DUS</t>
  </si>
  <si>
    <t>CGS 102 / DUS</t>
  </si>
  <si>
    <t>SLG</t>
  </si>
  <si>
    <t>Guitar</t>
  </si>
  <si>
    <t>106/162</t>
  </si>
  <si>
    <t>CG 122</t>
  </si>
  <si>
    <t>HXR 2L</t>
  </si>
  <si>
    <t>APXT 2NT</t>
  </si>
  <si>
    <t>TRBX</t>
  </si>
  <si>
    <t>VXS 3 TF</t>
  </si>
  <si>
    <t>VXS 5</t>
  </si>
  <si>
    <t>MCR B 020</t>
  </si>
  <si>
    <t>C 330</t>
  </si>
  <si>
    <t>C 390</t>
  </si>
  <si>
    <t>YDP 142</t>
  </si>
  <si>
    <t>YDP 143B</t>
  </si>
  <si>
    <t>F 310</t>
  </si>
  <si>
    <t>F 335 TBS</t>
  </si>
  <si>
    <t>KMS 2600</t>
  </si>
  <si>
    <t>PKTYROS 5 SET</t>
  </si>
  <si>
    <t>HXR 2L II</t>
  </si>
  <si>
    <t>PW 800</t>
  </si>
  <si>
    <t>PM 5D</t>
  </si>
  <si>
    <t>MS 9314</t>
  </si>
  <si>
    <t>TX KP 100</t>
  </si>
  <si>
    <t>SPS 900</t>
  </si>
  <si>
    <t>MA 2030</t>
  </si>
  <si>
    <t>VR 12</t>
  </si>
  <si>
    <t>UR 44</t>
  </si>
  <si>
    <t>UR 12</t>
  </si>
  <si>
    <t>UR 22</t>
  </si>
  <si>
    <t>UR 824</t>
  </si>
  <si>
    <t>Alto Saxophone</t>
  </si>
  <si>
    <t>Flute (YFL 211)</t>
  </si>
  <si>
    <t>Dus Flute (Isi 10)</t>
  </si>
  <si>
    <t>YRS 23 (Recorder)</t>
  </si>
  <si>
    <t>YCL 255 (Clarinet)</t>
  </si>
  <si>
    <t>Dus Klarinet (Isi 10)</t>
  </si>
  <si>
    <t>YRA 27 III (Isi 10)</t>
  </si>
  <si>
    <t>Dus YRA 27 III (Isi 5 pcs)</t>
  </si>
  <si>
    <t>Trumpet (YTR 2335S)</t>
  </si>
  <si>
    <t>Trumpet (YTR 1335swbII)</t>
  </si>
  <si>
    <t>PMP 32 (Isi 600 pcs)</t>
  </si>
  <si>
    <t>PTP 32D</t>
  </si>
  <si>
    <t>P 37D (Isi 10)</t>
  </si>
  <si>
    <t>P 32D (Pianica)</t>
  </si>
  <si>
    <t>YMP - 204C</t>
  </si>
  <si>
    <t>Drum Set</t>
  </si>
  <si>
    <t>DTX 540K</t>
  </si>
  <si>
    <t>DTX 520K</t>
  </si>
  <si>
    <t>DTX 700K</t>
  </si>
  <si>
    <t>DTX 750K</t>
  </si>
  <si>
    <t>Drum Gig Maker</t>
  </si>
  <si>
    <t>CP 50</t>
  </si>
  <si>
    <t>A</t>
  </si>
  <si>
    <t>B</t>
  </si>
  <si>
    <t>DTX 400K</t>
  </si>
  <si>
    <t>DTX 450K</t>
  </si>
  <si>
    <t>TYROS 5</t>
  </si>
  <si>
    <t>DGX 660</t>
  </si>
  <si>
    <t>MX 61</t>
  </si>
  <si>
    <t>Digital Piano (Clavinova)</t>
  </si>
  <si>
    <t>Digital Piano (Arius)</t>
  </si>
  <si>
    <t>Electone</t>
  </si>
  <si>
    <t>Weight_Class</t>
  </si>
  <si>
    <t>Electric Guitar</t>
  </si>
  <si>
    <t>Keyboard B (25kg less)</t>
  </si>
  <si>
    <t>Keyboard A (25kg more)</t>
  </si>
  <si>
    <t>C</t>
  </si>
  <si>
    <t>MOTIF XF7</t>
  </si>
  <si>
    <t>MOTIF XF8</t>
  </si>
  <si>
    <t>volumetric</t>
  </si>
  <si>
    <t>per/kg</t>
  </si>
  <si>
    <t>PA, MProd, Brass, Inst.Part, Acc.</t>
  </si>
  <si>
    <t>Class Type</t>
  </si>
  <si>
    <t>CLASS TYPE PRICE LIST INFORMATION PER REGION (CITY-MUNICIPAL)</t>
  </si>
  <si>
    <t>DELIVERY PRODUCT PRICE LIST INFORMATION PER REGION (CITY-MUNICIPAL)</t>
  </si>
  <si>
    <t>Price_List</t>
  </si>
  <si>
    <t>MINIMUM PRICE LIST INFORMATION IN CLASS C PRODUCT PER REGION</t>
  </si>
  <si>
    <t>Test Formula</t>
  </si>
  <si>
    <t>RENTAL</t>
  </si>
  <si>
    <t>*late date</t>
  </si>
  <si>
    <t>Volumetric (m3)</t>
  </si>
  <si>
    <t>id_min_pricelist</t>
  </si>
  <si>
    <t>id_region</t>
  </si>
  <si>
    <t>price_list</t>
  </si>
  <si>
    <t>class name</t>
  </si>
  <si>
    <t>class type</t>
  </si>
  <si>
    <t>price</t>
  </si>
  <si>
    <t>weight class</t>
  </si>
  <si>
    <t>a</t>
  </si>
  <si>
    <t>weight</t>
  </si>
  <si>
    <t>c</t>
  </si>
  <si>
    <t>b</t>
  </si>
  <si>
    <t>mx 61</t>
  </si>
  <si>
    <t>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</si>
</sst>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0" fontId="7" fillId="0" borderId="0"/>
  </cellStyleXfs>
  <cellXfs count="68">
    <xf numFmtId="0" fontId="0" fillId="0" borderId="0" xfId="0"/>
    <xf numFmtId="0" fontId="5" fillId="0" borderId="0" xfId="0" applyFont="1"/>
    <xf numFmtId="14" fontId="0" fillId="0" borderId="0" xfId="0" applyNumberForma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Border="1"/>
    <xf numFmtId="0" fontId="11" fillId="0" borderId="0" xfId="0" applyFont="1"/>
    <xf numFmtId="0" fontId="10" fillId="0" borderId="0" xfId="0" applyFont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3" fontId="7" fillId="0" borderId="0" xfId="0" applyNumberFormat="1" applyFont="1"/>
    <xf numFmtId="0" fontId="12" fillId="0" borderId="0" xfId="0" applyFont="1" applyAlignment="1">
      <alignment horizontal="left"/>
    </xf>
    <xf numFmtId="0" fontId="0" fillId="0" borderId="0" xfId="0" applyBorder="1"/>
    <xf numFmtId="0" fontId="12" fillId="0" borderId="0" xfId="0" applyFont="1" applyBorder="1" applyAlignment="1">
      <alignment horizontal="left"/>
    </xf>
    <xf numFmtId="0" fontId="0" fillId="0" borderId="0" xfId="0" applyFont="1"/>
    <xf numFmtId="3" fontId="0" fillId="0" borderId="0" xfId="0" applyNumberFormat="1" applyFont="1"/>
    <xf numFmtId="0" fontId="7" fillId="0" borderId="0" xfId="0" applyFont="1" applyBorder="1"/>
    <xf numFmtId="3" fontId="7" fillId="0" borderId="0" xfId="0" applyNumberFormat="1" applyFont="1" applyBorder="1"/>
    <xf numFmtId="0" fontId="5" fillId="5" borderId="0" xfId="0" applyFont="1" applyFill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15" fillId="0" borderId="0" xfId="0" applyFont="1"/>
    <xf numFmtId="0" fontId="7" fillId="0" borderId="0" xfId="0" applyNumberFormat="1" applyFont="1"/>
    <xf numFmtId="0" fontId="15" fillId="0" borderId="0" xfId="0" applyNumberFormat="1" applyFont="1"/>
    <xf numFmtId="0" fontId="4" fillId="7" borderId="0" xfId="0" applyFont="1" applyFill="1"/>
    <xf numFmtId="0" fontId="14" fillId="7" borderId="0" xfId="0" applyFont="1" applyFill="1"/>
    <xf numFmtId="3" fontId="14" fillId="7" borderId="0" xfId="0" applyNumberFormat="1" applyFont="1" applyFill="1"/>
    <xf numFmtId="0" fontId="11" fillId="7" borderId="0" xfId="0" applyFont="1" applyFill="1"/>
    <xf numFmtId="164" fontId="0" fillId="0" borderId="0" xfId="0" applyNumberFormat="1"/>
    <xf numFmtId="3" fontId="0" fillId="0" borderId="0" xfId="0" applyNumberFormat="1"/>
    <xf numFmtId="3" fontId="15" fillId="0" borderId="0" xfId="0" applyNumberFormat="1" applyFont="1"/>
    <xf numFmtId="0" fontId="15" fillId="0" borderId="0" xfId="0" applyNumberFormat="1" applyFont="1" applyBorder="1"/>
    <xf numFmtId="3" fontId="15" fillId="0" borderId="0" xfId="0" applyNumberFormat="1" applyFont="1" applyBorder="1"/>
    <xf numFmtId="0" fontId="6" fillId="0" borderId="0" xfId="0" applyFont="1"/>
    <xf numFmtId="0" fontId="0" fillId="0" borderId="0" xfId="0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3" fontId="2" fillId="0" borderId="0" xfId="0" applyNumberFormat="1" applyFont="1"/>
    <xf numFmtId="0" fontId="2" fillId="0" borderId="0" xfId="0" applyNumberFormat="1" applyFont="1"/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3" fontId="0" fillId="8" borderId="2" xfId="0" applyNumberFormat="1" applyFont="1" applyFill="1" applyBorder="1"/>
    <xf numFmtId="0" fontId="0" fillId="9" borderId="2" xfId="0" applyFont="1" applyFill="1" applyBorder="1"/>
    <xf numFmtId="3" fontId="0" fillId="9" borderId="2" xfId="0" applyNumberFormat="1" applyFont="1" applyFill="1" applyBorder="1"/>
    <xf numFmtId="0" fontId="0" fillId="8" borderId="2" xfId="0" applyFont="1" applyFill="1" applyBorder="1"/>
    <xf numFmtId="3" fontId="0" fillId="8" borderId="4" xfId="0" applyNumberFormat="1" applyFont="1" applyFill="1" applyBorder="1"/>
    <xf numFmtId="3" fontId="1" fillId="8" borderId="1" xfId="0" applyNumberFormat="1" applyFont="1" applyFill="1" applyBorder="1"/>
    <xf numFmtId="3" fontId="1" fillId="9" borderId="1" xfId="0" applyNumberFormat="1" applyFont="1" applyFill="1" applyBorder="1"/>
    <xf numFmtId="0" fontId="1" fillId="8" borderId="1" xfId="0" applyFont="1" applyFill="1" applyBorder="1"/>
    <xf numFmtId="0" fontId="1" fillId="8" borderId="1" xfId="0" applyNumberFormat="1" applyFont="1" applyFill="1" applyBorder="1"/>
    <xf numFmtId="0" fontId="1" fillId="9" borderId="1" xfId="0" applyNumberFormat="1" applyFont="1" applyFill="1" applyBorder="1"/>
    <xf numFmtId="0" fontId="1" fillId="9" borderId="3" xfId="0" applyFont="1" applyFill="1" applyBorder="1"/>
    <xf numFmtId="0" fontId="1" fillId="9" borderId="3" xfId="0" applyNumberFormat="1" applyFont="1" applyFill="1" applyBorder="1"/>
    <xf numFmtId="3" fontId="0" fillId="8" borderId="1" xfId="0" applyNumberFormat="1" applyFont="1" applyFill="1" applyBorder="1"/>
    <xf numFmtId="3" fontId="1" fillId="8" borderId="2" xfId="0" applyNumberFormat="1" applyFont="1" applyFill="1" applyBorder="1"/>
    <xf numFmtId="3" fontId="1" fillId="9" borderId="2" xfId="0" applyNumberFormat="1" applyFont="1" applyFill="1" applyBorder="1"/>
    <xf numFmtId="0" fontId="1" fillId="0" borderId="0" xfId="0" applyFont="1"/>
    <xf numFmtId="3" fontId="1" fillId="0" borderId="0" xfId="0" applyNumberFormat="1" applyFont="1"/>
    <xf numFmtId="0" fontId="4" fillId="6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18" fillId="0" borderId="0" xfId="0" applyFont="1"/>
  </cellXfs>
  <cellStyles count="2">
    <cellStyle name="Normal" xfId="0" builtinId="0"/>
    <cellStyle name="Normal 2" xfId="1"/>
  </cellStyles>
  <dxfs count="1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dd/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6" name="Report" displayName="Report" ref="A1:S11" totalsRowShown="0" headerRowDxfId="113" dataDxfId="112">
  <autoFilter ref="A1:S11"/>
  <tableColumns count="19">
    <tableColumn id="1" name="Num" dataDxfId="111"/>
    <tableColumn id="2" name="Vehicle Num"/>
    <tableColumn id="3" name="Driver"/>
    <tableColumn id="4" name="Delivery Asst."/>
    <tableColumn id="23" name="DO Num"/>
    <tableColumn id="18" name="DO Printed Date" dataDxfId="110"/>
    <tableColumn id="22" name="Exit Date"/>
    <tableColumn id="24" name="Received Date"/>
    <tableColumn id="25" name="Receipt Num"/>
    <tableColumn id="5" name="Dealer" dataDxfId="109"/>
    <tableColumn id="6" name="Expedition">
      <calculatedColumnFormula>VLOOKUP(Report[[#This Row],[Dealer]],Tbl_Dealer_Exp[[Dealer]:[Expedition]],2,0)</calculatedColumnFormula>
    </tableColumn>
    <tableColumn id="7" name="Region (City_Municipal)">
      <calculatedColumnFormula>VLOOKUP(Report[[#This Row],[Dealer]],Tbl_Dealer_Exp[[Dealer]:[City_Municipal]],3,0)</calculatedColumnFormula>
    </tableColumn>
    <tableColumn id="9" name="Product Name" dataDxfId="108"/>
    <tableColumn id="16" name="Class Type"/>
    <tableColumn id="10" name="Quantity (Unit)" dataDxfId="107"/>
    <tableColumn id="11" name="Total Weight (kg)" dataDxfId="106">
      <calculatedColumnFormula>VLOOKUP(Report[[#This Row],[Product Name]],Tbl_Prod_Catalog[[Product_Name]:[Weight (kg)]],2,0)*Report[[#This Row],[Quantity (Unit)]]</calculatedColumnFormula>
    </tableColumn>
    <tableColumn id="12" name="Total Volume (m3)" dataDxfId="105">
      <calculatedColumnFormula>VLOOKUP(Report[[#This Row],[Product Name]],Tbl_Prod_Catalog[[Product_Name]:[Volumetric (m3)]],3,0)*Report[[#This Row],[Quantity (Unit)]]</calculatedColumnFormula>
    </tableColumn>
    <tableColumn id="13" name="Price / Unit; OR Price / Volumetric (Rp)">
      <calculatedColumnFormula>IF(AND(Report[[#This Row],[Class Type]]="PA, MProd, Brass, Inst.Part, Acc.",Report[[#This Row],[Total Weight (kg)]]&lt;=20,Report[[#This Row],[Region (City_Municipal)]]&lt;&gt;"SAMARINDA"&amp;"PALANGKARAYA"&amp;"BANJARMASIN"&amp;"PONTIANAK"&amp;"BALIKPAPAN"),VLOOKUP(Report[[#This Row],[Region (City_Municipal)]],Tbl_Min_Pricelist[[City_Municipal]:[Price_List]],2,0),INDEX(Tbl_Price_List[[BALI]:[YOGYAKARTA]],MATCH(Report[[#This Row],[Product Name]],Tbl_Price_List[Product_Name],0),MATCH(Report[[#This Row],[Region (City_Municipal)]],Tbl_Price_List[[#Headers],[BALI]:[YOGYAKARTA]],0)))</calculatedColumnFormula>
    </tableColumn>
    <tableColumn id="14" name="Total Price (Rp)" dataDxfId="104">
      <calculatedColumnFormula>Report[[#This Row],[Price / Unit; OR Price / Volumetric (Rp)]]*Report[[#This Row],[Quantity (Unit)]]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1" name="Tbl_Kendaraan" displayName="Tbl_Kendaraan" ref="A2:M15" totalsRowShown="0" headerRowDxfId="103">
  <autoFilter ref="A2:M15"/>
  <tableColumns count="13">
    <tableColumn id="1" name="No."/>
    <tableColumn id="2" name="No.Polisi"/>
    <tableColumn id="3" name="Merk"/>
    <tableColumn id="4" name="Jenis"/>
    <tableColumn id="5" name="Jumlah Ban"/>
    <tableColumn id="6" name="Isi Silinder (CC)" dataDxfId="102"/>
    <tableColumn id="7" name="Tahun Pembuatan" dataDxfId="101"/>
    <tableColumn id="8" name="No.Rangka" dataDxfId="100"/>
    <tableColumn id="9" name="No.Mesin" dataDxfId="99"/>
    <tableColumn id="10" name="Masa Berlaku STNK" dataDxfId="98"/>
    <tableColumn id="11" name="Bahan Bakar"/>
    <tableColumn id="12" name="Warna"/>
    <tableColumn id="13" name="PIC Driver" dataDxfId="97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2" name="Tbl_Driver" displayName="Tbl_Driver" ref="A2:C27" totalsRowShown="0" headerRowDxfId="96">
  <autoFilter ref="A2:C27"/>
  <sortState ref="A3:C27">
    <sortCondition ref="C2:C27"/>
  </sortState>
  <tableColumns count="3">
    <tableColumn id="1" name="Num"/>
    <tableColumn id="2" name="Name" dataDxfId="95"/>
    <tableColumn id="3" name="Level"/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id="3" name="Tbl_Dealer_Exp" displayName="Tbl_Dealer_Exp" ref="A2:D93" totalsRowShown="0" headerRowDxfId="94" dataDxfId="93">
  <autoFilter ref="A2:D93">
    <filterColumn colId="3">
      <filters>
        <filter val="BALIKPAPAN"/>
      </filters>
    </filterColumn>
  </autoFilter>
  <sortState ref="A3:D93">
    <sortCondition ref="C2:C93"/>
  </sortState>
  <tableColumns count="4">
    <tableColumn id="1" name="No." dataDxfId="92"/>
    <tableColumn id="3" name="Dealer" dataDxfId="91"/>
    <tableColumn id="4" name="Expedition" dataDxfId="90"/>
    <tableColumn id="2" name="City_Municipal" dataDxfId="89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id="4" name="Tbl_Price_List" displayName="Tbl_Price_List" ref="A2:AF143" totalsRowShown="0" headerRowDxfId="85" dataDxfId="84">
  <autoFilter ref="A2:AF143"/>
  <tableColumns count="32">
    <tableColumn id="1" name="Num" dataDxfId="83"/>
    <tableColumn id="32" name="Class_Type" dataDxfId="82">
      <calculatedColumnFormula>VLOOKUP(Tbl_Price_List[[#This Row],[Product_Name]],Tbl_Prod_Catalog[[#This Row],[Product_Name]:[Class_Type]],8,0)</calculatedColumnFormula>
    </tableColumn>
    <tableColumn id="2" name="Product_Name" dataDxfId="81"/>
    <tableColumn id="3" name="BALI" dataDxfId="80"/>
    <tableColumn id="4" name="BALIKPAPAN" dataDxfId="79">
      <calculatedColumnFormula>(7350*Product_Catalog!D3)</calculatedColumnFormula>
    </tableColumn>
    <tableColumn id="5" name="BANDAR LAMPUNG" dataDxfId="78"/>
    <tableColumn id="6" name="BANDUNG" dataDxfId="77"/>
    <tableColumn id="7" name="BANGKA" dataDxfId="76"/>
    <tableColumn id="8" name="BANJARMASIN" dataDxfId="75">
      <calculatedColumnFormula>(4725*Product_Catalog!D3)</calculatedColumnFormula>
    </tableColumn>
    <tableColumn id="9" name="BATAM" dataDxfId="74"/>
    <tableColumn id="10" name="BOGOR" dataDxfId="73"/>
    <tableColumn id="11" name="CIREBON" dataDxfId="72"/>
    <tableColumn id="12" name="JAMBI" dataDxfId="71"/>
    <tableColumn id="13" name="JOMBANG" dataDxfId="70"/>
    <tableColumn id="14" name="KUDUS" dataDxfId="69"/>
    <tableColumn id="15" name="MAGELANG" dataDxfId="68"/>
    <tableColumn id="16" name="MAKASSAR" dataDxfId="67"/>
    <tableColumn id="17" name="MALANG" dataDxfId="66"/>
    <tableColumn id="18" name="MANADO" dataDxfId="65"/>
    <tableColumn id="19" name="MEDAN" dataDxfId="64"/>
    <tableColumn id="20" name="PADANG" dataDxfId="63"/>
    <tableColumn id="21" name="PALANGKARAYA" dataDxfId="62">
      <calculatedColumnFormula>(12000*Product_Catalog!D3)</calculatedColumnFormula>
    </tableColumn>
    <tableColumn id="22" name="PALEMBANG" dataDxfId="61"/>
    <tableColumn id="23" name="PEKANBARU" dataDxfId="60"/>
    <tableColumn id="24" name="PONTIANAK" dataDxfId="59">
      <calculatedColumnFormula>(5250*Product_Catalog!D3)</calculatedColumnFormula>
    </tableColumn>
    <tableColumn id="25" name="PURWOKERTO" dataDxfId="58"/>
    <tableColumn id="26" name="SAMARINDA" dataDxfId="57">
      <calculatedColumnFormula>(8400*Product_Catalog!D3)</calculatedColumnFormula>
    </tableColumn>
    <tableColumn id="27" name="SEMARANG" dataDxfId="56"/>
    <tableColumn id="28" name="SOLO" dataDxfId="55"/>
    <tableColumn id="29" name="SURABAYA" dataDxfId="54"/>
    <tableColumn id="30" name="TANJUNG PINANG" dataDxfId="53">
      <calculatedColumnFormula>"Jakarta + Real Cost"</calculatedColumnFormula>
    </tableColumn>
    <tableColumn id="31" name="YOGYAKARTA" dataDxfId="5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5" name="Tbl_Prod_Catalog" displayName="Tbl_Prod_Catalog" ref="A2:I144" totalsRowShown="0" headerRowDxfId="50">
  <autoFilter ref="A2:I144"/>
  <tableColumns count="9">
    <tableColumn id="1" name="Num"/>
    <tableColumn id="2" name="Product_Name"/>
    <tableColumn id="3" name="Weight (kg)"/>
    <tableColumn id="4" name="Volumetric (m3)"/>
    <tableColumn id="6" name="Panjang"/>
    <tableColumn id="5" name="Lebar"/>
    <tableColumn id="7" name="Tinggi"/>
    <tableColumn id="9" name="Packing Status"/>
    <tableColumn id="8" name="Class_Type" dataDxfId="49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id="7" name="Tbl_Class_Pricelist" displayName="Tbl_Class_Pricelist" ref="A2:AF12" totalsRowShown="0" headerRowDxfId="46" dataDxfId="45">
  <autoFilter ref="A2:AF12"/>
  <tableColumns count="32">
    <tableColumn id="1" name="Num" dataDxfId="44"/>
    <tableColumn id="2" name="Weight_Class" dataDxfId="43"/>
    <tableColumn id="32" name="Class_Type" dataDxfId="42"/>
    <tableColumn id="3" name="BALI" dataDxfId="41"/>
    <tableColumn id="4" name="BALIKPAPAN" dataDxfId="40">
      <calculatedColumnFormula>(7350*Product_Catalog!D3)</calculatedColumnFormula>
    </tableColumn>
    <tableColumn id="5" name="BANDAR LAMPUNG" dataDxfId="39"/>
    <tableColumn id="6" name="BANDUNG" dataDxfId="38"/>
    <tableColumn id="7" name="BANGKA" dataDxfId="37">
      <calculatedColumnFormula>(4725*Product_Catalog!C3)</calculatedColumnFormula>
    </tableColumn>
    <tableColumn id="8" name="BANJARMASIN" dataDxfId="36">
      <calculatedColumnFormula>(4725*Product_Catalog!D3)</calculatedColumnFormula>
    </tableColumn>
    <tableColumn id="9" name="BATAM" dataDxfId="35"/>
    <tableColumn id="10" name="BOGOR" dataDxfId="34"/>
    <tableColumn id="11" name="CIREBON" dataDxfId="33"/>
    <tableColumn id="12" name="JAMBI" dataDxfId="32"/>
    <tableColumn id="13" name="JOMBANG" dataDxfId="31"/>
    <tableColumn id="14" name="KUDUS" dataDxfId="30"/>
    <tableColumn id="15" name="MAGELANG" dataDxfId="29"/>
    <tableColumn id="16" name="MAKASSAR" dataDxfId="28"/>
    <tableColumn id="17" name="MALANG" dataDxfId="27"/>
    <tableColumn id="18" name="MANADO" dataDxfId="26"/>
    <tableColumn id="19" name="MEDAN" dataDxfId="25"/>
    <tableColumn id="20" name="PADANG" dataDxfId="24"/>
    <tableColumn id="21" name="PALANGKARAYA" dataDxfId="23">
      <calculatedColumnFormula>(12000*Product_Catalog!D3)</calculatedColumnFormula>
    </tableColumn>
    <tableColumn id="22" name="PALEMBANG" dataDxfId="22"/>
    <tableColumn id="23" name="PEKANBARU" dataDxfId="21"/>
    <tableColumn id="24" name="PONTIANAK" dataDxfId="20">
      <calculatedColumnFormula>(5250*Product_Catalog!D3)</calculatedColumnFormula>
    </tableColumn>
    <tableColumn id="25" name="PURWOKERTO" dataDxfId="19"/>
    <tableColumn id="26" name="SAMARINDA" dataDxfId="18">
      <calculatedColumnFormula>(8400*Product_Catalog!D3)</calculatedColumnFormula>
    </tableColumn>
    <tableColumn id="27" name="SEMARANG" dataDxfId="17"/>
    <tableColumn id="28" name="SOLO" dataDxfId="16"/>
    <tableColumn id="29" name="SURABAYA" dataDxfId="15"/>
    <tableColumn id="30" name="TANJUNG PINANG" dataDxfId="14">
      <calculatedColumnFormula>"Jakarta + Real Cost"</calculatedColumnFormula>
    </tableColumn>
    <tableColumn id="31" name="YOGYAKARTA" dataDxfId="13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bl_Min_Pricelist" displayName="Tbl_Min_Pricelist" ref="A2:C31" totalsRowShown="0" headerRowDxfId="12">
  <autoFilter ref="A2:C31"/>
  <tableColumns count="3">
    <tableColumn id="1" name="Num"/>
    <tableColumn id="2" name="City_Municipal"/>
    <tableColumn id="3" name="Price_Lis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 tint="-0.34998626667073579"/>
  </sheetPr>
  <dimension ref="A1:U13"/>
  <sheetViews>
    <sheetView topLeftCell="F1" zoomScale="80" zoomScaleNormal="80" workbookViewId="0">
      <selection activeCell="S7" sqref="S7"/>
    </sheetView>
  </sheetViews>
  <sheetFormatPr defaultRowHeight="15" x14ac:dyDescent="0.25"/>
  <cols>
    <col min="1" max="1" width="8.42578125" style="18" customWidth="1"/>
    <col min="2" max="2" width="13.85546875" style="18" customWidth="1"/>
    <col min="3" max="3" width="11.5703125" style="18" bestFit="1" customWidth="1"/>
    <col min="4" max="4" width="13.28515625" style="18" bestFit="1" customWidth="1"/>
    <col min="5" max="5" width="12.28515625" style="18" customWidth="1"/>
    <col min="6" max="6" width="10.28515625" style="18" customWidth="1"/>
    <col min="7" max="8" width="9.42578125" style="18" customWidth="1"/>
    <col min="9" max="9" width="11.42578125" style="18" customWidth="1"/>
    <col min="10" max="10" width="31.5703125" style="18" customWidth="1"/>
    <col min="11" max="11" width="19.5703125" style="18" bestFit="1" customWidth="1"/>
    <col min="12" max="12" width="19.28515625" style="18" bestFit="1" customWidth="1"/>
    <col min="13" max="13" width="12.42578125" style="18" customWidth="1"/>
    <col min="14" max="14" width="30.28515625" customWidth="1"/>
    <col min="15" max="15" width="12.28515625" customWidth="1"/>
    <col min="16" max="16" width="12.85546875" customWidth="1"/>
    <col min="17" max="17" width="13.28515625" customWidth="1"/>
    <col min="18" max="18" width="27.28515625" bestFit="1" customWidth="1"/>
    <col min="19" max="19" width="13.140625" customWidth="1"/>
  </cols>
  <sheetData>
    <row r="1" spans="1:21" ht="45" x14ac:dyDescent="0.25">
      <c r="A1" s="43" t="s">
        <v>194</v>
      </c>
      <c r="B1" s="44" t="s">
        <v>202</v>
      </c>
      <c r="C1" s="43" t="s">
        <v>52</v>
      </c>
      <c r="D1" s="44" t="s">
        <v>232</v>
      </c>
      <c r="E1" s="44" t="s">
        <v>236</v>
      </c>
      <c r="F1" s="44" t="s">
        <v>237</v>
      </c>
      <c r="G1" s="44" t="s">
        <v>238</v>
      </c>
      <c r="H1" s="44" t="s">
        <v>239</v>
      </c>
      <c r="I1" s="44" t="s">
        <v>240</v>
      </c>
      <c r="J1" s="43" t="s">
        <v>55</v>
      </c>
      <c r="K1" s="43" t="s">
        <v>56</v>
      </c>
      <c r="L1" s="44" t="s">
        <v>231</v>
      </c>
      <c r="M1" s="44" t="s">
        <v>203</v>
      </c>
      <c r="N1" s="44" t="s">
        <v>413</v>
      </c>
      <c r="O1" s="44" t="s">
        <v>212</v>
      </c>
      <c r="P1" s="13" t="s">
        <v>234</v>
      </c>
      <c r="Q1" s="13" t="s">
        <v>233</v>
      </c>
      <c r="R1" s="44" t="s">
        <v>235</v>
      </c>
      <c r="S1" s="13" t="s">
        <v>211</v>
      </c>
      <c r="U1" s="38" t="s">
        <v>418</v>
      </c>
    </row>
    <row r="2" spans="1:21" ht="15.75" x14ac:dyDescent="0.25">
      <c r="A2" s="18">
        <v>1</v>
      </c>
      <c r="B2" t="s">
        <v>50</v>
      </c>
      <c r="C2" t="s">
        <v>30</v>
      </c>
      <c r="D2" t="s">
        <v>222</v>
      </c>
      <c r="E2">
        <v>302122</v>
      </c>
      <c r="F2" s="32">
        <v>42527</v>
      </c>
      <c r="G2" s="32">
        <v>42527</v>
      </c>
      <c r="H2" s="32">
        <v>42529</v>
      </c>
      <c r="I2">
        <v>3411</v>
      </c>
      <c r="J2" s="8" t="s">
        <v>198</v>
      </c>
      <c r="K2" t="str">
        <f>VLOOKUP(Report[[#This Row],[Dealer]],Tbl_Dealer_Exp[[Dealer]:[Expedition]],2,0)</f>
        <v xml:space="preserve">BUANA RAYA </v>
      </c>
      <c r="L2" t="str">
        <f>VLOOKUP(Report[[#This Row],[Dealer]],Tbl_Dealer_Exp[[Dealer]:[City_Municipal]],3,0)</f>
        <v>PALANGKARAYA</v>
      </c>
      <c r="M2" s="34" t="s">
        <v>385</v>
      </c>
      <c r="N2" t="str">
        <f>VLOOKUP(Report[[#This Row],[Product Name]],Tbl_Prod_Catalog[[Product_Name]:[Class_Type]],8,0)</f>
        <v>PA, MProd, Brass, Inst.Part, Acc.</v>
      </c>
      <c r="O2" s="18">
        <v>4</v>
      </c>
      <c r="P2" s="18">
        <f>VLOOKUP(Report[[#This Row],[Product Name]],Tbl_Prod_Catalog[[Product_Name]:[Weight (kg)]],2,0)*Report[[#This Row],[Quantity (Unit)]]</f>
        <v>24</v>
      </c>
      <c r="Q2" s="18">
        <f>VLOOKUP(Report[[#This Row],[Product Name]],Tbl_Prod_Catalog[[Product_Name]:[Volumetric (m3)]],3,0)*Report[[#This Row],[Quantity (Unit)]]</f>
        <v>4</v>
      </c>
      <c r="R2" s="33">
        <f>IF(AND(Report[[#This Row],[Class Type]]="PA, MProd, Brass, Inst.Part, Acc.",Report[[#This Row],[Total Weight (kg)]]&lt;=20,Report[[#This Row],[Region (City_Municipal)]]&lt;&gt;"SAMARINDA"&amp;"PALANGKARAYA"&amp;"BANJARMASIN"&amp;"PONTIANAK"&amp;"BALIKPAPAN"),VLOOKUP(Report[[#This Row],[Region (City_Municipal)]],Tbl_Min_Pricelist[[City_Municipal]:[Price_List]],2,0),INDEX(Tbl_Price_List[[BALI]:[YOGYAKARTA]],MATCH(Report[[#This Row],[Product Name]],Tbl_Price_List[Product_Name],0),MATCH(Report[[#This Row],[Region (City_Municipal)]],Tbl_Price_List[[#Headers],[BALI]:[YOGYAKARTA]],0)))</f>
        <v>12000</v>
      </c>
      <c r="S2" s="19">
        <f>Report[[#This Row],[Price / Unit; OR Price / Volumetric (Rp)]]*Report[[#This Row],[Quantity (Unit)]]</f>
        <v>48000</v>
      </c>
      <c r="U2" s="33">
        <f>IF(AND(Report[[#This Row],[Class Type]]="PA, MProd, Brass, Inst.Part, Acc.",Report[[#This Row],[Total Weight (kg)]]&lt;=20,Report[[#This Row],[Region (City_Municipal)]]&lt;&gt;"SAMARINDA"&amp;"PALANGKARAYA"&amp;"BANJARMASIN"&amp;"PONTIANAK"&amp;"BALIKPAPAN"),VLOOKUP(Report[[#This Row],[Region (City_Municipal)]],Tbl_Min_Pricelist[[City_Municipal]:[Price_List]],2,0),INDEX(Tbl_Price_List[[BALI]:[YOGYAKARTA]],MATCH(M2,Tbl_Price_List[Product_Name],0),MATCH(L2,Tbl_Price_List[[#Headers],[BALI]:[YOGYAKARTA]],0)))</f>
        <v>12000</v>
      </c>
    </row>
    <row r="3" spans="1:21" x14ac:dyDescent="0.25">
      <c r="A3" s="18">
        <v>2</v>
      </c>
      <c r="B3" t="s">
        <v>419</v>
      </c>
      <c r="C3" t="s">
        <v>419</v>
      </c>
      <c r="D3" t="s">
        <v>225</v>
      </c>
      <c r="E3">
        <v>321444</v>
      </c>
      <c r="F3" s="32">
        <v>42541</v>
      </c>
      <c r="G3" s="32">
        <v>42542</v>
      </c>
      <c r="H3" s="32">
        <v>42545</v>
      </c>
      <c r="I3">
        <v>3455</v>
      </c>
      <c r="J3" s="18" t="s">
        <v>148</v>
      </c>
      <c r="K3" t="str">
        <f>VLOOKUP(Report[[#This Row],[Dealer]],Tbl_Dealer_Exp[[Dealer]:[Expedition]],2,0)</f>
        <v xml:space="preserve">PERINTIS UTAMA </v>
      </c>
      <c r="L3" t="str">
        <f>VLOOKUP(Report[[#This Row],[Dealer]],Tbl_Dealer_Exp[[Dealer]:[City_Municipal]],3,0)</f>
        <v>BATAM</v>
      </c>
      <c r="M3" s="18" t="s">
        <v>264</v>
      </c>
      <c r="N3" t="str">
        <f>VLOOKUP(Report[[#This Row],[Product Name]],Tbl_Prod_Catalog[[Product_Name]:[Class_Type]],8,0)</f>
        <v>Keyboard A (25kg more)</v>
      </c>
      <c r="O3" s="18">
        <v>1</v>
      </c>
      <c r="P3" s="18">
        <f>VLOOKUP(Report[[#This Row],[Product Name]],Tbl_Prod_Catalog[[Product_Name]:[Weight (kg)]],2,0)*Report[[#This Row],[Quantity (Unit)]]</f>
        <v>30</v>
      </c>
      <c r="Q3" s="18">
        <f>VLOOKUP(Report[[#This Row],[Product Name]],Tbl_Prod_Catalog[[Product_Name]:[Volumetric (m3)]],3,0)*Report[[#This Row],[Quantity (Unit)]]</f>
        <v>65</v>
      </c>
      <c r="R3" s="33">
        <f>IF(AND(Report[[#This Row],[Class Type]]="PA, MProd, Brass, Inst.Part, Acc.",Report[[#This Row],[Total Weight (kg)]]&lt;=20,Report[[#This Row],[Region (City_Municipal)]]&lt;&gt;"SAMARINDA"&amp;"PALANGKARAYA"&amp;"BANJARMASIN"&amp;"PONTIANAK"&amp;"BALIKPAPAN"),VLOOKUP(Report[[#This Row],[Region (City_Municipal)]],Tbl_Min_Pricelist[[City_Municipal]:[Price_List]],2,0),INDEX(Tbl_Price_List[[BALI]:[YOGYAKARTA]],MATCH(Report[[#This Row],[Product Name]],Tbl_Price_List[Product_Name],0),MATCH(Report[[#This Row],[Region (City_Municipal)]],Tbl_Price_List[[#Headers],[BALI]:[YOGYAKARTA]],0)))</f>
        <v>202080</v>
      </c>
      <c r="S3" s="19">
        <f>Report[[#This Row],[Price / Unit; OR Price / Volumetric (Rp)]]*Report[[#This Row],[Quantity (Unit)]]</f>
        <v>202080</v>
      </c>
    </row>
    <row r="4" spans="1:21" x14ac:dyDescent="0.25">
      <c r="A4" s="18">
        <v>3</v>
      </c>
      <c r="B4" t="s">
        <v>26</v>
      </c>
      <c r="C4" t="s">
        <v>223</v>
      </c>
      <c r="D4" t="s">
        <v>223</v>
      </c>
      <c r="E4">
        <v>325144</v>
      </c>
      <c r="F4" s="32">
        <v>42537</v>
      </c>
      <c r="G4" s="32">
        <v>42538</v>
      </c>
      <c r="H4" s="32">
        <v>42543</v>
      </c>
      <c r="I4">
        <v>3254</v>
      </c>
      <c r="J4" s="18" t="s">
        <v>129</v>
      </c>
      <c r="K4" t="str">
        <f>VLOOKUP(Report[[#This Row],[Dealer]],Tbl_Dealer_Exp[[Dealer]:[Expedition]],2,0)</f>
        <v>DAKOTA</v>
      </c>
      <c r="L4" t="str">
        <f>VLOOKUP(Report[[#This Row],[Dealer]],Tbl_Dealer_Exp[[Dealer]:[City_Municipal]],3,0)</f>
        <v>PADANG</v>
      </c>
      <c r="M4" s="18" t="s">
        <v>387</v>
      </c>
      <c r="N4" t="str">
        <f>VLOOKUP(Report[[#This Row],[Product Name]],Tbl_Prod_Catalog[[Product_Name]:[Class_Type]],8,0)</f>
        <v>Drum Set</v>
      </c>
      <c r="O4" s="18">
        <v>2</v>
      </c>
      <c r="P4" s="18">
        <f>VLOOKUP(Report[[#This Row],[Product Name]],Tbl_Prod_Catalog[[Product_Name]:[Weight (kg)]],2,0)*Report[[#This Row],[Quantity (Unit)]]</f>
        <v>0</v>
      </c>
      <c r="Q4" s="18">
        <f>VLOOKUP(Report[[#This Row],[Product Name]],Tbl_Prod_Catalog[[Product_Name]:[Volumetric (m3)]],3,0)*Report[[#This Row],[Quantity (Unit)]]</f>
        <v>222</v>
      </c>
      <c r="R4" s="33">
        <f>IF(AND(Report[[#This Row],[Class Type]]="PA, MProd, Brass, Inst.Part, Acc.",Report[[#This Row],[Total Weight (kg)]]&lt;=20,Report[[#This Row],[Region (City_Municipal)]]&lt;&gt;"SAMARINDA"&amp;"PALANGKARAYA"&amp;"BANJARMASIN"&amp;"PONTIANAK"&amp;"BALIKPAPAN"),VLOOKUP(Report[[#This Row],[Region (City_Municipal)]],Tbl_Min_Pricelist[[City_Municipal]:[Price_List]],2,0),INDEX(Tbl_Price_List[[BALI]:[YOGYAKARTA]],MATCH(Report[[#This Row],[Product Name]],Tbl_Price_List[Product_Name],0),MATCH(Report[[#This Row],[Region (City_Municipal)]],Tbl_Price_List[[#Headers],[BALI]:[YOGYAKARTA]],0)))</f>
        <v>239500</v>
      </c>
      <c r="S4" s="19">
        <f>Report[[#This Row],[Price / Unit; OR Price / Volumetric (Rp)]]*Report[[#This Row],[Quantity (Unit)]]</f>
        <v>479000</v>
      </c>
    </row>
    <row r="5" spans="1:21" x14ac:dyDescent="0.25">
      <c r="A5" s="18">
        <v>4</v>
      </c>
      <c r="B5" t="s">
        <v>13</v>
      </c>
      <c r="C5"/>
      <c r="D5"/>
      <c r="E5"/>
      <c r="F5" s="32"/>
      <c r="G5" s="32"/>
      <c r="H5" s="32"/>
      <c r="I5"/>
      <c r="J5" s="18" t="s">
        <v>160</v>
      </c>
      <c r="K5" t="str">
        <f>VLOOKUP(Report[[#This Row],[Dealer]],Tbl_Dealer_Exp[[Dealer]:[Expedition]],2,0)</f>
        <v xml:space="preserve">BINTAN MEGAH ABADI </v>
      </c>
      <c r="L5" t="str">
        <f>VLOOKUP(Report[[#This Row],[Dealer]],Tbl_Dealer_Exp[[Dealer]:[City_Municipal]],3,0)</f>
        <v>TANJUNG PINANG</v>
      </c>
      <c r="M5" s="18" t="s">
        <v>348</v>
      </c>
      <c r="N5" t="str">
        <f>VLOOKUP(Report[[#This Row],[Product Name]],Tbl_Prod_Catalog[[Product_Name]:[Class_Type]],8,0)</f>
        <v>PA, MProd, Brass, Inst.Part, Acc.</v>
      </c>
      <c r="O5" s="18">
        <v>1</v>
      </c>
      <c r="P5" s="18">
        <f>VLOOKUP(Report[[#This Row],[Product Name]],Tbl_Prod_Catalog[[Product_Name]:[Weight (kg)]],2,0)*Report[[#This Row],[Quantity (Unit)]]</f>
        <v>3</v>
      </c>
      <c r="Q5" s="18">
        <f>VLOOKUP(Report[[#This Row],[Product Name]],Tbl_Prod_Catalog[[Product_Name]:[Volumetric (m3)]],3,0)*Report[[#This Row],[Quantity (Unit)]]</f>
        <v>0</v>
      </c>
      <c r="R5" s="33">
        <f>IF(AND(Report[[#This Row],[Class Type]]="PA, MProd, Brass, Inst.Part, Acc.",Report[[#This Row],[Total Weight (kg)]]&lt;=20,Report[[#This Row],[Region (City_Municipal)]]&lt;&gt;"SAMARINDA"&amp;"PALANGKARAYA"&amp;"BANJARMASIN"&amp;"PONTIANAK"&amp;"BALIKPAPAN"),VLOOKUP(Report[[#This Row],[Region (City_Municipal)]],Tbl_Min_Pricelist[[City_Municipal]:[Price_List]],2,0),INDEX(Tbl_Price_List[[BALI]:[YOGYAKARTA]],MATCH(Report[[#This Row],[Product Name]],Tbl_Price_List[Product_Name],0),MATCH(Report[[#This Row],[Region (City_Municipal)]],Tbl_Price_List[[#Headers],[BALI]:[YOGYAKARTA]],0)))</f>
        <v>0</v>
      </c>
      <c r="S5" s="19">
        <f>Report[[#This Row],[Price / Unit; OR Price / Volumetric (Rp)]]*Report[[#This Row],[Quantity (Unit)]]</f>
        <v>0</v>
      </c>
    </row>
    <row r="6" spans="1:21" x14ac:dyDescent="0.25">
      <c r="A6" s="18">
        <v>5</v>
      </c>
      <c r="B6" t="s">
        <v>13</v>
      </c>
      <c r="C6"/>
      <c r="D6"/>
      <c r="E6"/>
      <c r="F6" s="32"/>
      <c r="G6" s="32"/>
      <c r="H6" s="32"/>
      <c r="I6"/>
      <c r="J6" s="18" t="s">
        <v>116</v>
      </c>
      <c r="K6" t="str">
        <f>VLOOKUP(Report[[#This Row],[Dealer]],Tbl_Dealer_Exp[[Dealer]:[Expedition]],2,0)</f>
        <v>KWARTET</v>
      </c>
      <c r="L6" t="str">
        <f>VLOOKUP(Report[[#This Row],[Dealer]],Tbl_Dealer_Exp[[Dealer]:[City_Municipal]],3,0)</f>
        <v>BALI</v>
      </c>
      <c r="M6" s="18" t="s">
        <v>433</v>
      </c>
      <c r="N6" t="str">
        <f>VLOOKUP(Report[[#This Row],[Product Name]],Tbl_Prod_Catalog[[Product_Name]:[Class_Type]],8,0)</f>
        <v>PA, MProd, Brass, Inst.Part, Acc.</v>
      </c>
      <c r="O6" s="18">
        <v>2</v>
      </c>
      <c r="P6" s="18">
        <f>VLOOKUP(Report[[#This Row],[Product Name]],Tbl_Prod_Catalog[[Product_Name]:[Weight (kg)]],2,0)*Report[[#This Row],[Quantity (Unit)]]</f>
        <v>12</v>
      </c>
      <c r="Q6" s="18">
        <f>VLOOKUP(Report[[#This Row],[Product Name]],Tbl_Prod_Catalog[[Product_Name]:[Volumetric (m3)]],3,0)*Report[[#This Row],[Quantity (Unit)]]</f>
        <v>0</v>
      </c>
      <c r="R6" s="33">
        <f>IF(AND(Report[[#This Row],[Class Type]]="PA, MProd, Brass, Inst.Part, Acc.",Report[[#This Row],[Total Weight (kg)]]&lt;=20,Report[[#This Row],[Region (City_Municipal)]]&lt;&gt;"SAMARINDA"&amp;"PALANGKARAYA"&amp;"BANJARMASIN"&amp;"PONTIANAK"&amp;"BALIKPAPAN"),VLOOKUP(Report[[#This Row],[Region (City_Municipal)]],Tbl_Min_Pricelist[[City_Municipal]:[Price_List]],2,0),INDEX(Tbl_Price_List[[BALI]:[YOGYAKARTA]],MATCH(Report[[#This Row],[Product Name]],Tbl_Price_List[Product_Name],0),MATCH(Report[[#This Row],[Region (City_Municipal)]],Tbl_Price_List[[#Headers],[BALI]:[YOGYAKARTA]],0)))</f>
        <v>175000</v>
      </c>
      <c r="S6" s="19">
        <f>Report[[#This Row],[Price / Unit; OR Price / Volumetric (Rp)]]*Report[[#This Row],[Quantity (Unit)]]</f>
        <v>350000</v>
      </c>
    </row>
    <row r="7" spans="1:21" ht="15.75" x14ac:dyDescent="0.25">
      <c r="A7" s="18">
        <v>6</v>
      </c>
      <c r="B7"/>
      <c r="C7"/>
      <c r="D7"/>
      <c r="E7"/>
      <c r="F7" s="32"/>
      <c r="G7" s="32"/>
      <c r="H7" s="32"/>
      <c r="I7"/>
      <c r="J7" s="8" t="s">
        <v>182</v>
      </c>
      <c r="K7" t="str">
        <f>VLOOKUP(Report[[#This Row],[Dealer]],Tbl_Dealer_Exp[[Dealer]:[Expedition]],2,0)</f>
        <v xml:space="preserve">MUTIARA EKSPRESS </v>
      </c>
      <c r="L7" t="str">
        <f>VLOOKUP(Report[[#This Row],[Dealer]],Tbl_Dealer_Exp[[Dealer]:[City_Municipal]],3,0)</f>
        <v>BALIKPAPAN</v>
      </c>
      <c r="M7" s="67" t="s">
        <v>434</v>
      </c>
      <c r="N7" t="str">
        <f>VLOOKUP(Report[[#This Row],[Product Name]],Tbl_Prod_Catalog[[Product_Name]:[Class_Type]],8,0)</f>
        <v>Piano</v>
      </c>
      <c r="O7" s="18">
        <v>1</v>
      </c>
      <c r="P7" s="18">
        <f>VLOOKUP(Report[[#This Row],[Product Name]],Tbl_Prod_Catalog[[Product_Name]:[Weight (kg)]],2,0)*Report[[#This Row],[Quantity (Unit)]]</f>
        <v>215</v>
      </c>
      <c r="Q7" s="18">
        <f>VLOOKUP(Report[[#This Row],[Product Name]],Tbl_Prod_Catalog[[Product_Name]:[Volumetric (m3)]],3,0)*Report[[#This Row],[Quantity (Unit)]]</f>
        <v>385</v>
      </c>
      <c r="R7" s="33">
        <f>IF(AND(Report[[#This Row],[Class Type]]="PA, MProd, Brass, Inst.Part, Acc.",Report[[#This Row],[Total Weight (kg)]]&lt;=20,Report[[#This Row],[Region (City_Municipal)]]&lt;&gt;"SAMARINDA"&amp;"PALANGKARAYA"&amp;"BANJARMASIN"&amp;"PONTIANAK"&amp;"BALIKPAPAN"),VLOOKUP(Report[[#This Row],[Region (City_Municipal)]],Tbl_Min_Pricelist[[City_Municipal]:[Price_List]],2,0),INDEX(Tbl_Price_List[[BALI]:[YOGYAKARTA]],MATCH(Report[[#This Row],[Product Name]],Tbl_Price_List[Product_Name],0),MATCH(Report[[#This Row],[Region (City_Municipal)]],Tbl_Price_List[[#Headers],[BALI]:[YOGYAKARTA]],0)))</f>
        <v>2829750</v>
      </c>
      <c r="S7" s="19">
        <f>Report[[#This Row],[Price / Unit; OR Price / Volumetric (Rp)]]*Report[[#This Row],[Quantity (Unit)]]</f>
        <v>2829750</v>
      </c>
    </row>
    <row r="8" spans="1:21" x14ac:dyDescent="0.25">
      <c r="A8" s="18">
        <v>7</v>
      </c>
      <c r="B8"/>
      <c r="C8"/>
      <c r="D8"/>
      <c r="E8"/>
      <c r="F8" s="32"/>
      <c r="G8" s="32"/>
      <c r="H8" s="32"/>
      <c r="I8"/>
      <c r="J8" s="18" t="s">
        <v>201</v>
      </c>
      <c r="K8" t="str">
        <f>VLOOKUP(Report[[#This Row],[Dealer]],Tbl_Dealer_Exp[[Dealer]:[Expedition]],2,0)</f>
        <v>ALTRANS</v>
      </c>
      <c r="L8" t="str">
        <f>VLOOKUP(Report[[#This Row],[Dealer]],Tbl_Dealer_Exp[[Dealer]:[City_Municipal]],3,0)</f>
        <v>MANADO</v>
      </c>
      <c r="N8" t="e">
        <f>VLOOKUP(Report[[#This Row],[Product Name]],Tbl_Prod_Catalog[[Product_Name]:[Class_Type]],8,0)</f>
        <v>#N/A</v>
      </c>
      <c r="O8" s="18"/>
      <c r="P8" s="18" t="e">
        <f>VLOOKUP(Report[[#This Row],[Product Name]],Tbl_Prod_Catalog[[Product_Name]:[Weight (kg)]],2,0)*Report[[#This Row],[Quantity (Unit)]]</f>
        <v>#N/A</v>
      </c>
      <c r="Q8" s="18" t="e">
        <f>VLOOKUP(Report[[#This Row],[Product Name]],Tbl_Prod_Catalog[[Product_Name]:[Volumetric (m3)]],3,0)*Report[[#This Row],[Quantity (Unit)]]</f>
        <v>#N/A</v>
      </c>
      <c r="R8" s="33" t="e">
        <f>IF(AND(Report[[#This Row],[Class Type]]="PA, MProd, Brass, Inst.Part, Acc.",Report[[#This Row],[Total Weight (kg)]]&lt;=20,Report[[#This Row],[Region (City_Municipal)]]&lt;&gt;"SAMARINDA"&amp;"PALANGKARAYA"&amp;"BANJARMASIN"&amp;"PONTIANAK"&amp;"BALIKPAPAN"),VLOOKUP(Report[[#This Row],[Region (City_Municipal)]],Tbl_Min_Pricelist[[City_Municipal]:[Price_List]],2,0),INDEX(Tbl_Price_List[[BALI]:[YOGYAKARTA]],MATCH(Report[[#This Row],[Product Name]],Tbl_Price_List[Product_Name],0),MATCH(Report[[#This Row],[Region (City_Municipal)]],Tbl_Price_List[[#Headers],[BALI]:[YOGYAKARTA]],0)))</f>
        <v>#N/A</v>
      </c>
      <c r="S8" s="19" t="e">
        <f>Report[[#This Row],[Price / Unit; OR Price / Volumetric (Rp)]]*Report[[#This Row],[Quantity (Unit)]]</f>
        <v>#N/A</v>
      </c>
    </row>
    <row r="9" spans="1:21" x14ac:dyDescent="0.25">
      <c r="A9" s="18">
        <v>8</v>
      </c>
      <c r="B9"/>
      <c r="C9"/>
      <c r="D9"/>
      <c r="E9"/>
      <c r="F9" s="32"/>
      <c r="G9" s="32"/>
      <c r="H9" s="32"/>
      <c r="I9"/>
      <c r="K9" t="e">
        <f>VLOOKUP(Report[[#This Row],[Dealer]],Tbl_Dealer_Exp[[Dealer]:[Expedition]],2,0)</f>
        <v>#N/A</v>
      </c>
      <c r="L9" t="e">
        <f>VLOOKUP(Report[[#This Row],[Dealer]],Tbl_Dealer_Exp[[Dealer]:[City_Municipal]],3,0)</f>
        <v>#N/A</v>
      </c>
      <c r="N9" t="e">
        <f>VLOOKUP(Report[[#This Row],[Product Name]],Tbl_Prod_Catalog[[Product_Name]:[Class_Type]],8,0)</f>
        <v>#N/A</v>
      </c>
      <c r="O9" s="18"/>
      <c r="P9" s="18" t="e">
        <f>VLOOKUP(Report[[#This Row],[Product Name]],Tbl_Prod_Catalog[[Product_Name]:[Weight (kg)]],2,0)*Report[[#This Row],[Quantity (Unit)]]</f>
        <v>#N/A</v>
      </c>
      <c r="Q9" s="18" t="e">
        <f>VLOOKUP(Report[[#This Row],[Product Name]],Tbl_Prod_Catalog[[Product_Name]:[Volumetric (m3)]],3,0)*Report[[#This Row],[Quantity (Unit)]]</f>
        <v>#N/A</v>
      </c>
      <c r="R9" s="33" t="e">
        <f>IF(AND(Report[[#This Row],[Class Type]]="PA, MProd, Brass, Inst.Part, Acc.",Report[[#This Row],[Total Weight (kg)]]&lt;=20,Report[[#This Row],[Region (City_Municipal)]]&lt;&gt;"SAMARINDA"&amp;"PALANGKARAYA"&amp;"BANJARMASIN"&amp;"PONTIANAK"&amp;"BALIKPAPAN"),VLOOKUP(Report[[#This Row],[Region (City_Municipal)]],Tbl_Min_Pricelist[[City_Municipal]:[Price_List]],2,0),INDEX(Tbl_Price_List[[BALI]:[YOGYAKARTA]],MATCH(Report[[#This Row],[Product Name]],Tbl_Price_List[Product_Name],0),MATCH(Report[[#This Row],[Region (City_Municipal)]],Tbl_Price_List[[#Headers],[BALI]:[YOGYAKARTA]],0)))</f>
        <v>#N/A</v>
      </c>
      <c r="S9" s="19" t="e">
        <f>Report[[#This Row],[Price / Unit; OR Price / Volumetric (Rp)]]*Report[[#This Row],[Quantity (Unit)]]</f>
        <v>#N/A</v>
      </c>
    </row>
    <row r="10" spans="1:21" x14ac:dyDescent="0.25">
      <c r="A10" s="18">
        <v>9</v>
      </c>
      <c r="B10"/>
      <c r="C10"/>
      <c r="D10"/>
      <c r="E10"/>
      <c r="F10" s="32"/>
      <c r="G10" s="32"/>
      <c r="H10" s="32"/>
      <c r="I10"/>
      <c r="K10" t="e">
        <f>VLOOKUP(Report[[#This Row],[Dealer]],Tbl_Dealer_Exp[[Dealer]:[Expedition]],2,0)</f>
        <v>#N/A</v>
      </c>
      <c r="L10" t="e">
        <f>VLOOKUP(Report[[#This Row],[Dealer]],Tbl_Dealer_Exp[[Dealer]:[City_Municipal]],3,0)</f>
        <v>#N/A</v>
      </c>
      <c r="N10" t="e">
        <f>VLOOKUP(Report[[#This Row],[Product Name]],Tbl_Prod_Catalog[[Product_Name]:[Class_Type]],8,0)</f>
        <v>#N/A</v>
      </c>
      <c r="O10" s="18"/>
      <c r="P10" s="18" t="e">
        <f>VLOOKUP(Report[[#This Row],[Product Name]],Tbl_Prod_Catalog[[Product_Name]:[Weight (kg)]],2,0)*Report[[#This Row],[Quantity (Unit)]]</f>
        <v>#N/A</v>
      </c>
      <c r="Q10" s="18" t="e">
        <f>VLOOKUP(Report[[#This Row],[Product Name]],Tbl_Prod_Catalog[[Product_Name]:[Volumetric (m3)]],3,0)*Report[[#This Row],[Quantity (Unit)]]</f>
        <v>#N/A</v>
      </c>
      <c r="R10" s="33" t="e">
        <f>IF(AND(Report[[#This Row],[Class Type]]="PA, MProd, Brass, Inst.Part, Acc.",Report[[#This Row],[Total Weight (kg)]]&lt;=20,Report[[#This Row],[Region (City_Municipal)]]&lt;&gt;"SAMARINDA"&amp;"PALANGKARAYA"&amp;"BANJARMASIN"&amp;"PONTIANAK"&amp;"BALIKPAPAN"),VLOOKUP(Report[[#This Row],[Region (City_Municipal)]],Tbl_Min_Pricelist[[City_Municipal]:[Price_List]],2,0),INDEX(Tbl_Price_List[[BALI]:[YOGYAKARTA]],MATCH(Report[[#This Row],[Product Name]],Tbl_Price_List[Product_Name],0),MATCH(Report[[#This Row],[Region (City_Municipal)]],Tbl_Price_List[[#Headers],[BALI]:[YOGYAKARTA]],0)))</f>
        <v>#N/A</v>
      </c>
      <c r="S10" s="19" t="e">
        <f>Report[[#This Row],[Price / Unit; OR Price / Volumetric (Rp)]]*Report[[#This Row],[Quantity (Unit)]]</f>
        <v>#N/A</v>
      </c>
    </row>
    <row r="11" spans="1:21" x14ac:dyDescent="0.25">
      <c r="A11" s="18">
        <v>10</v>
      </c>
      <c r="B11"/>
      <c r="C11"/>
      <c r="D11"/>
      <c r="E11"/>
      <c r="F11" s="32"/>
      <c r="G11" s="32"/>
      <c r="H11" s="32"/>
      <c r="I11"/>
      <c r="K11" t="e">
        <f>VLOOKUP(Report[[#This Row],[Dealer]],Tbl_Dealer_Exp[[Dealer]:[Expedition]],2,0)</f>
        <v>#N/A</v>
      </c>
      <c r="L11" t="e">
        <f>VLOOKUP(Report[[#This Row],[Dealer]],Tbl_Dealer_Exp[[Dealer]:[City_Municipal]],3,0)</f>
        <v>#N/A</v>
      </c>
      <c r="N11" t="e">
        <f>VLOOKUP(Report[[#This Row],[Product Name]],Tbl_Prod_Catalog[[Product_Name]:[Class_Type]],8,0)</f>
        <v>#N/A</v>
      </c>
      <c r="O11" s="18"/>
      <c r="P11" s="18" t="e">
        <f>VLOOKUP(Report[[#This Row],[Product Name]],Tbl_Prod_Catalog[[Product_Name]:[Weight (kg)]],2,0)*Report[[#This Row],[Quantity (Unit)]]</f>
        <v>#N/A</v>
      </c>
      <c r="Q11" s="18" t="e">
        <f>VLOOKUP(Report[[#This Row],[Product Name]],Tbl_Prod_Catalog[[Product_Name]:[Volumetric (m3)]],3,0)*Report[[#This Row],[Quantity (Unit)]]</f>
        <v>#N/A</v>
      </c>
      <c r="R11" s="33" t="e">
        <f>IF(AND(Report[[#This Row],[Class Type]]="PA, MProd, Brass, Inst.Part, Acc.",Report[[#This Row],[Total Weight (kg)]]&lt;=20,Report[[#This Row],[Region (City_Municipal)]]&lt;&gt;"SAMARINDA"&amp;"PALANGKARAYA"&amp;"BANJARMASIN"&amp;"PONTIANAK"&amp;"BALIKPAPAN"),VLOOKUP(Report[[#This Row],[Region (City_Municipal)]],Tbl_Min_Pricelist[[City_Municipal]:[Price_List]],2,0),INDEX(Tbl_Price_List[[BALI]:[YOGYAKARTA]],MATCH(Report[[#This Row],[Product Name]],Tbl_Price_List[Product_Name],0),MATCH(Report[[#This Row],[Region (City_Municipal)]],Tbl_Price_List[[#Headers],[BALI]:[YOGYAKARTA]],0)))</f>
        <v>#N/A</v>
      </c>
      <c r="S11" s="19" t="e">
        <f>Report[[#This Row],[Price / Unit; OR Price / Volumetric (Rp)]]*Report[[#This Row],[Quantity (Unit)]]</f>
        <v>#N/A</v>
      </c>
    </row>
    <row r="13" spans="1:21" x14ac:dyDescent="0.25">
      <c r="A13" s="18" t="s">
        <v>420</v>
      </c>
    </row>
  </sheetData>
  <sortState ref="A2:C6">
    <sortCondition descending="1" ref="B2"/>
  </sortState>
  <dataValidations count="8">
    <dataValidation type="list" allowBlank="1" showInputMessage="1" showErrorMessage="1" sqref="M2:M6 M8:M11">
      <formula1>Prod_Name_Catalog</formula1>
    </dataValidation>
    <dataValidation type="list" allowBlank="1" showInputMessage="1" showErrorMessage="1" sqref="J2:J6 J8:J11">
      <formula1>Dealer</formula1>
    </dataValidation>
    <dataValidation type="list" allowBlank="1" showInputMessage="1" showErrorMessage="1" errorTitle="Salah input" error="Tekan Esc, lalu klik cell dan pilih hanya nomor kendaraan yang sudah terdaftar." prompt="Pilih nomor plat kendaraan di dalam daftar" sqref="B2:B11">
      <formula1>No.Polisi</formula1>
    </dataValidation>
    <dataValidation type="list" allowBlank="1" showInputMessage="1" showErrorMessage="1" errorTitle="Salah input" error="Tekan Esc, lalu klik cell dan pilih tanggal dalam list." prompt="Pilih tanggal DO dicetak" sqref="F2:F11">
      <formula1>June</formula1>
    </dataValidation>
    <dataValidation type="list" allowBlank="1" showInputMessage="1" showErrorMessage="1" errorTitle="Salah input" error="Tekan Esc, lalu klik cell dan pilih tanggal dalam list." prompt="Pilih tanggal barang keluar dari gudang" sqref="G2:G11">
      <formula1>June</formula1>
    </dataValidation>
    <dataValidation type="list" allowBlank="1" showInputMessage="1" showErrorMessage="1" errorTitle="Salah input" error="Tekan Esc, lalu klik cell dan pilih tanggal dalam list." prompt="Pilih tanggal barang sampai di ekspedisi / dealer" sqref="H2:H11">
      <formula1>June</formula1>
    </dataValidation>
    <dataValidation type="list" allowBlank="1" showInputMessage="1" showErrorMessage="1" errorTitle="Salah input" error="Tekan Esc, lalu klik cell dan pilih nama supir dalam list." prompt="Pilih nama supir yang bertugas" sqref="C2:C11">
      <formula1>Nama</formula1>
    </dataValidation>
    <dataValidation type="list" allowBlank="1" showInputMessage="1" showErrorMessage="1" errorTitle="Salah input" error="Tekan Esc, lalu klik cell dan pilih nama supir dalam list." prompt="Pilih nama asisten (knek) yang bertugas." sqref="D2:D11">
      <formula1>Nama</formula1>
    </dataValidation>
  </dataValidations>
  <pageMargins left="0.7" right="0.7" top="0.75" bottom="0.75" header="0.3" footer="0.3"/>
  <pageSetup paperSize="9" orientation="portrait" horizontalDpi="4294967293" verticalDpi="0" r:id="rId1"/>
  <ignoredErrors>
    <ignoredError sqref="Q2 P2 S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C000"/>
  </sheetPr>
  <dimension ref="A1:M15"/>
  <sheetViews>
    <sheetView workbookViewId="0">
      <selection activeCell="L3" sqref="L3"/>
    </sheetView>
  </sheetViews>
  <sheetFormatPr defaultRowHeight="15" x14ac:dyDescent="0.25"/>
  <cols>
    <col min="1" max="1" width="6.28515625" customWidth="1"/>
    <col min="2" max="2" width="11.140625" customWidth="1"/>
    <col min="3" max="3" width="10.5703125" customWidth="1"/>
    <col min="4" max="4" width="16.28515625" customWidth="1"/>
    <col min="5" max="5" width="13.140625" customWidth="1"/>
    <col min="6" max="6" width="16.5703125" customWidth="1"/>
    <col min="7" max="7" width="19.140625" customWidth="1"/>
    <col min="8" max="8" width="20.28515625" customWidth="1"/>
    <col min="9" max="9" width="12.85546875" customWidth="1"/>
    <col min="10" max="10" width="20" customWidth="1"/>
    <col min="11" max="11" width="13.85546875" customWidth="1"/>
    <col min="12" max="12" width="9" customWidth="1"/>
    <col min="13" max="13" width="11.85546875" customWidth="1"/>
  </cols>
  <sheetData>
    <row r="1" spans="1:13" x14ac:dyDescent="0.25">
      <c r="A1" s="62" t="s">
        <v>229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13" x14ac:dyDescent="0.25">
      <c r="A2" s="22" t="s">
        <v>0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</row>
    <row r="3" spans="1:13" x14ac:dyDescent="0.25">
      <c r="A3">
        <v>1</v>
      </c>
      <c r="B3" t="s">
        <v>13</v>
      </c>
      <c r="C3" t="s">
        <v>14</v>
      </c>
      <c r="D3" t="s">
        <v>15</v>
      </c>
      <c r="E3">
        <v>4</v>
      </c>
      <c r="F3">
        <v>2771</v>
      </c>
      <c r="G3">
        <v>2003</v>
      </c>
      <c r="H3" t="s">
        <v>16</v>
      </c>
      <c r="I3" t="s">
        <v>17</v>
      </c>
      <c r="J3" s="2">
        <f>DATE(2018,8,29)</f>
        <v>43341</v>
      </c>
      <c r="K3" t="s">
        <v>18</v>
      </c>
      <c r="L3" t="s">
        <v>19</v>
      </c>
      <c r="M3" t="s">
        <v>20</v>
      </c>
    </row>
    <row r="4" spans="1:13" x14ac:dyDescent="0.25">
      <c r="A4">
        <v>2</v>
      </c>
      <c r="B4" t="s">
        <v>21</v>
      </c>
      <c r="C4" t="s">
        <v>22</v>
      </c>
      <c r="D4" t="s">
        <v>15</v>
      </c>
      <c r="E4">
        <v>6</v>
      </c>
      <c r="F4">
        <v>3908</v>
      </c>
      <c r="G4">
        <v>2009</v>
      </c>
      <c r="H4" t="s">
        <v>23</v>
      </c>
      <c r="I4" t="s">
        <v>24</v>
      </c>
      <c r="J4" s="2">
        <f>DATE(2019,7,13)</f>
        <v>43659</v>
      </c>
      <c r="K4" t="s">
        <v>18</v>
      </c>
      <c r="L4" t="s">
        <v>19</v>
      </c>
      <c r="M4" t="s">
        <v>25</v>
      </c>
    </row>
    <row r="5" spans="1:13" x14ac:dyDescent="0.25">
      <c r="A5">
        <v>3</v>
      </c>
      <c r="B5" t="s">
        <v>26</v>
      </c>
      <c r="C5" t="s">
        <v>22</v>
      </c>
      <c r="D5" t="s">
        <v>15</v>
      </c>
      <c r="E5">
        <v>6</v>
      </c>
      <c r="F5" s="3" t="s">
        <v>27</v>
      </c>
      <c r="G5" s="3" t="s">
        <v>27</v>
      </c>
      <c r="H5" s="3" t="s">
        <v>27</v>
      </c>
      <c r="I5" s="3" t="s">
        <v>27</v>
      </c>
      <c r="J5" s="3" t="s">
        <v>27</v>
      </c>
      <c r="K5" t="s">
        <v>18</v>
      </c>
      <c r="L5" t="s">
        <v>19</v>
      </c>
      <c r="M5" t="s">
        <v>28</v>
      </c>
    </row>
    <row r="6" spans="1:13" x14ac:dyDescent="0.25">
      <c r="A6">
        <v>4</v>
      </c>
      <c r="B6" t="s">
        <v>29</v>
      </c>
      <c r="C6" t="s">
        <v>22</v>
      </c>
      <c r="D6" t="s">
        <v>15</v>
      </c>
      <c r="E6">
        <v>6</v>
      </c>
      <c r="F6" s="3" t="s">
        <v>27</v>
      </c>
      <c r="G6" s="3" t="s">
        <v>27</v>
      </c>
      <c r="H6" s="3" t="s">
        <v>27</v>
      </c>
      <c r="I6" s="3" t="s">
        <v>27</v>
      </c>
      <c r="J6" s="3" t="s">
        <v>27</v>
      </c>
      <c r="K6" t="s">
        <v>18</v>
      </c>
      <c r="L6" t="s">
        <v>19</v>
      </c>
      <c r="M6" t="s">
        <v>30</v>
      </c>
    </row>
    <row r="7" spans="1:13" x14ac:dyDescent="0.25">
      <c r="A7">
        <v>5</v>
      </c>
      <c r="B7" t="s">
        <v>31</v>
      </c>
      <c r="C7" t="s">
        <v>32</v>
      </c>
      <c r="D7" t="s">
        <v>15</v>
      </c>
      <c r="E7">
        <v>4</v>
      </c>
      <c r="F7" s="3" t="s">
        <v>27</v>
      </c>
      <c r="G7" s="3" t="s">
        <v>27</v>
      </c>
      <c r="H7" s="3" t="s">
        <v>27</v>
      </c>
      <c r="I7" s="3" t="s">
        <v>27</v>
      </c>
      <c r="J7" s="3" t="s">
        <v>27</v>
      </c>
      <c r="K7" t="s">
        <v>18</v>
      </c>
      <c r="L7" t="s">
        <v>19</v>
      </c>
      <c r="M7" t="s">
        <v>33</v>
      </c>
    </row>
    <row r="8" spans="1:13" x14ac:dyDescent="0.25">
      <c r="A8">
        <v>6</v>
      </c>
      <c r="B8" t="s">
        <v>34</v>
      </c>
      <c r="C8" t="s">
        <v>22</v>
      </c>
      <c r="D8" t="s">
        <v>15</v>
      </c>
      <c r="E8">
        <v>4</v>
      </c>
      <c r="F8" s="3" t="s">
        <v>27</v>
      </c>
      <c r="G8" s="3" t="s">
        <v>27</v>
      </c>
      <c r="H8" s="3" t="s">
        <v>27</v>
      </c>
      <c r="I8" s="3" t="s">
        <v>27</v>
      </c>
      <c r="J8" s="3" t="s">
        <v>27</v>
      </c>
      <c r="K8" t="s">
        <v>18</v>
      </c>
      <c r="L8" t="s">
        <v>19</v>
      </c>
      <c r="M8" t="s">
        <v>35</v>
      </c>
    </row>
    <row r="9" spans="1:13" x14ac:dyDescent="0.25">
      <c r="A9">
        <v>7</v>
      </c>
      <c r="B9" t="s">
        <v>36</v>
      </c>
      <c r="C9" t="s">
        <v>22</v>
      </c>
      <c r="D9" t="s">
        <v>15</v>
      </c>
      <c r="E9">
        <v>6</v>
      </c>
      <c r="F9" s="3" t="s">
        <v>27</v>
      </c>
      <c r="G9" s="3" t="s">
        <v>27</v>
      </c>
      <c r="H9" s="3" t="s">
        <v>27</v>
      </c>
      <c r="I9" s="3" t="s">
        <v>27</v>
      </c>
      <c r="J9" s="3" t="s">
        <v>27</v>
      </c>
      <c r="K9" t="s">
        <v>18</v>
      </c>
      <c r="L9" t="s">
        <v>19</v>
      </c>
      <c r="M9" t="s">
        <v>37</v>
      </c>
    </row>
    <row r="10" spans="1:13" x14ac:dyDescent="0.25">
      <c r="A10">
        <v>8</v>
      </c>
      <c r="B10" t="s">
        <v>38</v>
      </c>
      <c r="C10" t="s">
        <v>22</v>
      </c>
      <c r="D10" t="s">
        <v>15</v>
      </c>
      <c r="E10">
        <v>6</v>
      </c>
      <c r="F10" s="3" t="s">
        <v>27</v>
      </c>
      <c r="G10" s="3" t="s">
        <v>27</v>
      </c>
      <c r="H10" s="3" t="s">
        <v>27</v>
      </c>
      <c r="I10" s="3" t="s">
        <v>27</v>
      </c>
      <c r="J10" s="3" t="s">
        <v>27</v>
      </c>
      <c r="K10" t="s">
        <v>18</v>
      </c>
      <c r="L10" t="s">
        <v>19</v>
      </c>
      <c r="M10" t="s">
        <v>39</v>
      </c>
    </row>
    <row r="11" spans="1:13" x14ac:dyDescent="0.25">
      <c r="A11">
        <v>9</v>
      </c>
      <c r="B11" t="s">
        <v>40</v>
      </c>
      <c r="C11" t="s">
        <v>22</v>
      </c>
      <c r="D11" t="s">
        <v>15</v>
      </c>
      <c r="E11">
        <v>6</v>
      </c>
      <c r="F11">
        <v>3908</v>
      </c>
      <c r="G11" s="3" t="s">
        <v>27</v>
      </c>
      <c r="H11" s="4" t="s">
        <v>41</v>
      </c>
      <c r="I11" s="4" t="s">
        <v>42</v>
      </c>
      <c r="J11" s="2">
        <f>DATE(2016,6,30)</f>
        <v>42551</v>
      </c>
      <c r="K11" t="s">
        <v>18</v>
      </c>
      <c r="L11" t="s">
        <v>19</v>
      </c>
      <c r="M11" t="s">
        <v>43</v>
      </c>
    </row>
    <row r="12" spans="1:13" x14ac:dyDescent="0.25">
      <c r="A12">
        <v>10</v>
      </c>
      <c r="B12" t="s">
        <v>44</v>
      </c>
      <c r="C12" t="s">
        <v>22</v>
      </c>
      <c r="D12" t="s">
        <v>45</v>
      </c>
      <c r="E12">
        <v>4</v>
      </c>
      <c r="F12" s="3" t="s">
        <v>27</v>
      </c>
      <c r="G12" s="3" t="s">
        <v>27</v>
      </c>
      <c r="H12" s="3" t="s">
        <v>27</v>
      </c>
      <c r="I12" s="3" t="s">
        <v>27</v>
      </c>
      <c r="J12" s="3" t="s">
        <v>27</v>
      </c>
      <c r="K12" t="s">
        <v>18</v>
      </c>
      <c r="L12" t="s">
        <v>19</v>
      </c>
      <c r="M12" s="5" t="s">
        <v>46</v>
      </c>
    </row>
    <row r="13" spans="1:13" x14ac:dyDescent="0.25">
      <c r="A13">
        <v>11</v>
      </c>
      <c r="B13" t="s">
        <v>47</v>
      </c>
      <c r="C13" t="s">
        <v>22</v>
      </c>
      <c r="D13" t="s">
        <v>48</v>
      </c>
      <c r="E13">
        <v>4</v>
      </c>
      <c r="F13" s="3" t="s">
        <v>27</v>
      </c>
      <c r="G13" s="3" t="s">
        <v>27</v>
      </c>
      <c r="H13" s="3" t="s">
        <v>27</v>
      </c>
      <c r="I13" s="3" t="s">
        <v>27</v>
      </c>
      <c r="J13" s="3" t="s">
        <v>27</v>
      </c>
      <c r="K13" s="3" t="s">
        <v>27</v>
      </c>
      <c r="L13" t="s">
        <v>19</v>
      </c>
      <c r="M13" s="5" t="s">
        <v>49</v>
      </c>
    </row>
    <row r="14" spans="1:13" x14ac:dyDescent="0.25">
      <c r="A14">
        <v>12</v>
      </c>
      <c r="B14" t="s">
        <v>50</v>
      </c>
      <c r="C14" t="s">
        <v>22</v>
      </c>
      <c r="D14" t="s">
        <v>48</v>
      </c>
      <c r="E14">
        <v>4</v>
      </c>
      <c r="F14" s="3" t="s">
        <v>27</v>
      </c>
      <c r="G14" s="3" t="s">
        <v>27</v>
      </c>
      <c r="H14" s="3" t="s">
        <v>27</v>
      </c>
      <c r="I14" s="3" t="s">
        <v>27</v>
      </c>
      <c r="J14" s="3" t="s">
        <v>27</v>
      </c>
      <c r="K14" s="3" t="s">
        <v>27</v>
      </c>
      <c r="L14" t="s">
        <v>19</v>
      </c>
      <c r="M14" s="5" t="s">
        <v>51</v>
      </c>
    </row>
    <row r="15" spans="1:13" x14ac:dyDescent="0.25">
      <c r="A15">
        <v>13</v>
      </c>
      <c r="B15" t="s">
        <v>419</v>
      </c>
      <c r="F15" s="39"/>
      <c r="G15" s="39"/>
      <c r="H15" s="39"/>
      <c r="I15" s="39"/>
      <c r="J15" s="39"/>
      <c r="K15" s="3"/>
      <c r="M15" s="40"/>
    </row>
  </sheetData>
  <mergeCells count="1">
    <mergeCell ref="A1:M1"/>
  </mergeCell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7" tint="-0.249977111117893"/>
  </sheetPr>
  <dimension ref="A1:C27"/>
  <sheetViews>
    <sheetView workbookViewId="0">
      <selection activeCell="B3" sqref="B3"/>
    </sheetView>
  </sheetViews>
  <sheetFormatPr defaultRowHeight="15" x14ac:dyDescent="0.25"/>
  <cols>
    <col min="2" max="2" width="21.85546875" customWidth="1"/>
  </cols>
  <sheetData>
    <row r="1" spans="1:3" x14ac:dyDescent="0.25">
      <c r="A1" s="63" t="s">
        <v>230</v>
      </c>
      <c r="B1" s="63"/>
      <c r="C1" s="63"/>
    </row>
    <row r="2" spans="1:3" x14ac:dyDescent="0.25">
      <c r="A2" s="1" t="s">
        <v>194</v>
      </c>
      <c r="B2" s="1" t="s">
        <v>220</v>
      </c>
      <c r="C2" s="1" t="s">
        <v>221</v>
      </c>
    </row>
    <row r="3" spans="1:3" x14ac:dyDescent="0.25">
      <c r="A3">
        <v>4</v>
      </c>
      <c r="B3" s="15" t="s">
        <v>223</v>
      </c>
      <c r="C3" t="s">
        <v>219</v>
      </c>
    </row>
    <row r="4" spans="1:3" x14ac:dyDescent="0.25">
      <c r="A4">
        <v>5</v>
      </c>
      <c r="B4" s="15" t="s">
        <v>224</v>
      </c>
      <c r="C4" t="s">
        <v>219</v>
      </c>
    </row>
    <row r="5" spans="1:3" x14ac:dyDescent="0.25">
      <c r="A5">
        <v>6</v>
      </c>
      <c r="B5" s="15" t="s">
        <v>215</v>
      </c>
      <c r="C5" t="s">
        <v>219</v>
      </c>
    </row>
    <row r="6" spans="1:3" x14ac:dyDescent="0.25">
      <c r="A6">
        <v>10</v>
      </c>
      <c r="B6" s="15" t="s">
        <v>225</v>
      </c>
      <c r="C6" t="s">
        <v>219</v>
      </c>
    </row>
    <row r="7" spans="1:3" x14ac:dyDescent="0.25">
      <c r="A7">
        <v>15</v>
      </c>
      <c r="B7" s="15" t="s">
        <v>216</v>
      </c>
      <c r="C7" t="s">
        <v>219</v>
      </c>
    </row>
    <row r="8" spans="1:3" x14ac:dyDescent="0.25">
      <c r="A8">
        <v>16</v>
      </c>
      <c r="B8" s="15" t="s">
        <v>222</v>
      </c>
      <c r="C8" t="s">
        <v>219</v>
      </c>
    </row>
    <row r="9" spans="1:3" x14ac:dyDescent="0.25">
      <c r="A9">
        <v>18</v>
      </c>
      <c r="B9" s="15" t="s">
        <v>217</v>
      </c>
      <c r="C9" t="s">
        <v>219</v>
      </c>
    </row>
    <row r="10" spans="1:3" x14ac:dyDescent="0.25">
      <c r="A10">
        <v>19</v>
      </c>
      <c r="B10" s="17" t="s">
        <v>227</v>
      </c>
      <c r="C10" t="s">
        <v>219</v>
      </c>
    </row>
    <row r="11" spans="1:3" x14ac:dyDescent="0.25">
      <c r="A11">
        <v>21</v>
      </c>
      <c r="B11" s="17" t="s">
        <v>226</v>
      </c>
      <c r="C11" t="s">
        <v>219</v>
      </c>
    </row>
    <row r="12" spans="1:3" x14ac:dyDescent="0.25">
      <c r="A12">
        <v>23</v>
      </c>
      <c r="B12" s="15" t="s">
        <v>214</v>
      </c>
      <c r="C12" t="s">
        <v>219</v>
      </c>
    </row>
    <row r="13" spans="1:3" x14ac:dyDescent="0.25">
      <c r="A13">
        <v>1</v>
      </c>
      <c r="B13" s="5" t="s">
        <v>46</v>
      </c>
      <c r="C13" t="s">
        <v>53</v>
      </c>
    </row>
    <row r="14" spans="1:3" x14ac:dyDescent="0.25">
      <c r="A14">
        <v>2</v>
      </c>
      <c r="B14" t="s">
        <v>37</v>
      </c>
      <c r="C14" t="s">
        <v>53</v>
      </c>
    </row>
    <row r="15" spans="1:3" x14ac:dyDescent="0.25">
      <c r="A15">
        <v>3</v>
      </c>
      <c r="B15" t="s">
        <v>39</v>
      </c>
      <c r="C15" t="s">
        <v>53</v>
      </c>
    </row>
    <row r="16" spans="1:3" x14ac:dyDescent="0.25">
      <c r="A16">
        <v>7</v>
      </c>
      <c r="B16" t="s">
        <v>28</v>
      </c>
      <c r="C16" t="s">
        <v>53</v>
      </c>
    </row>
    <row r="17" spans="1:3" x14ac:dyDescent="0.25">
      <c r="A17">
        <v>8</v>
      </c>
      <c r="B17" s="5" t="s">
        <v>51</v>
      </c>
      <c r="C17" t="s">
        <v>53</v>
      </c>
    </row>
    <row r="18" spans="1:3" x14ac:dyDescent="0.25">
      <c r="A18">
        <v>9</v>
      </c>
      <c r="B18" t="s">
        <v>25</v>
      </c>
      <c r="C18" t="s">
        <v>53</v>
      </c>
    </row>
    <row r="19" spans="1:3" x14ac:dyDescent="0.25">
      <c r="A19">
        <v>11</v>
      </c>
      <c r="B19" t="s">
        <v>43</v>
      </c>
      <c r="C19" t="s">
        <v>53</v>
      </c>
    </row>
    <row r="20" spans="1:3" x14ac:dyDescent="0.25">
      <c r="A20">
        <v>12</v>
      </c>
      <c r="B20" s="5" t="s">
        <v>49</v>
      </c>
      <c r="C20" t="s">
        <v>53</v>
      </c>
    </row>
    <row r="21" spans="1:3" x14ac:dyDescent="0.25">
      <c r="A21">
        <v>13</v>
      </c>
      <c r="B21" s="17" t="s">
        <v>218</v>
      </c>
      <c r="C21" t="s">
        <v>53</v>
      </c>
    </row>
    <row r="22" spans="1:3" x14ac:dyDescent="0.25">
      <c r="A22">
        <v>14</v>
      </c>
      <c r="B22" t="s">
        <v>35</v>
      </c>
      <c r="C22" t="s">
        <v>53</v>
      </c>
    </row>
    <row r="23" spans="1:3" x14ac:dyDescent="0.25">
      <c r="A23">
        <v>17</v>
      </c>
      <c r="B23" t="s">
        <v>30</v>
      </c>
      <c r="C23" t="s">
        <v>53</v>
      </c>
    </row>
    <row r="24" spans="1:3" x14ac:dyDescent="0.25">
      <c r="A24">
        <v>20</v>
      </c>
      <c r="B24" t="s">
        <v>20</v>
      </c>
      <c r="C24" t="s">
        <v>53</v>
      </c>
    </row>
    <row r="25" spans="1:3" x14ac:dyDescent="0.25">
      <c r="A25">
        <v>22</v>
      </c>
      <c r="B25" s="15" t="s">
        <v>213</v>
      </c>
      <c r="C25" t="s">
        <v>53</v>
      </c>
    </row>
    <row r="26" spans="1:3" x14ac:dyDescent="0.25">
      <c r="A26">
        <v>24</v>
      </c>
      <c r="B26" t="s">
        <v>33</v>
      </c>
      <c r="C26" t="s">
        <v>53</v>
      </c>
    </row>
    <row r="27" spans="1:3" x14ac:dyDescent="0.25">
      <c r="A27">
        <v>25</v>
      </c>
      <c r="B27" s="40" t="s">
        <v>419</v>
      </c>
      <c r="C27" t="s">
        <v>53</v>
      </c>
    </row>
  </sheetData>
  <mergeCells count="1">
    <mergeCell ref="A1:C1"/>
  </mergeCell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A1:E96"/>
  <sheetViews>
    <sheetView zoomScale="80" zoomScaleNormal="80" workbookViewId="0">
      <selection activeCell="B70" sqref="B70"/>
    </sheetView>
  </sheetViews>
  <sheetFormatPr defaultRowHeight="15" x14ac:dyDescent="0.25"/>
  <cols>
    <col min="2" max="2" width="33.85546875" bestFit="1" customWidth="1"/>
    <col min="3" max="3" width="32.85546875" customWidth="1"/>
    <col min="4" max="4" width="22.42578125" customWidth="1"/>
    <col min="5" max="5" width="18.85546875" customWidth="1"/>
  </cols>
  <sheetData>
    <row r="1" spans="1:4" ht="18.75" x14ac:dyDescent="0.3">
      <c r="A1" s="64" t="s">
        <v>195</v>
      </c>
      <c r="B1" s="64"/>
      <c r="C1" s="64"/>
      <c r="D1" s="64"/>
    </row>
    <row r="2" spans="1:4" ht="15.75" x14ac:dyDescent="0.25">
      <c r="A2" s="7" t="s">
        <v>0</v>
      </c>
      <c r="B2" s="7" t="s">
        <v>55</v>
      </c>
      <c r="C2" s="7" t="s">
        <v>56</v>
      </c>
      <c r="D2" s="7" t="s">
        <v>54</v>
      </c>
    </row>
    <row r="3" spans="1:4" ht="15.75" hidden="1" x14ac:dyDescent="0.25">
      <c r="A3" s="8">
        <v>38</v>
      </c>
      <c r="B3" s="8" t="s">
        <v>201</v>
      </c>
      <c r="C3" s="8" t="s">
        <v>168</v>
      </c>
      <c r="D3" s="8" t="s">
        <v>165</v>
      </c>
    </row>
    <row r="4" spans="1:4" ht="15.75" hidden="1" x14ac:dyDescent="0.25">
      <c r="A4" s="8">
        <v>44</v>
      </c>
      <c r="B4" s="8" t="s">
        <v>175</v>
      </c>
      <c r="C4" s="8" t="s">
        <v>168</v>
      </c>
      <c r="D4" s="8" t="s">
        <v>165</v>
      </c>
    </row>
    <row r="5" spans="1:4" ht="15.75" hidden="1" x14ac:dyDescent="0.25">
      <c r="A5" s="8">
        <v>12</v>
      </c>
      <c r="B5" s="8" t="s">
        <v>193</v>
      </c>
      <c r="C5" s="8" t="s">
        <v>158</v>
      </c>
      <c r="D5" s="8" t="s">
        <v>156</v>
      </c>
    </row>
    <row r="6" spans="1:4" ht="15.75" hidden="1" x14ac:dyDescent="0.25">
      <c r="A6" s="8">
        <v>42</v>
      </c>
      <c r="B6" s="8" t="s">
        <v>157</v>
      </c>
      <c r="C6" s="8" t="s">
        <v>158</v>
      </c>
      <c r="D6" s="8" t="s">
        <v>156</v>
      </c>
    </row>
    <row r="7" spans="1:4" ht="15.75" hidden="1" x14ac:dyDescent="0.25">
      <c r="A7" s="8">
        <v>5</v>
      </c>
      <c r="B7" s="8" t="s">
        <v>160</v>
      </c>
      <c r="C7" s="8" t="s">
        <v>161</v>
      </c>
      <c r="D7" s="8" t="s">
        <v>159</v>
      </c>
    </row>
    <row r="8" spans="1:4" ht="15.75" hidden="1" x14ac:dyDescent="0.25">
      <c r="A8" s="8">
        <v>35</v>
      </c>
      <c r="B8" s="8" t="s">
        <v>198</v>
      </c>
      <c r="C8" s="8" t="s">
        <v>180</v>
      </c>
      <c r="D8" s="8" t="s">
        <v>187</v>
      </c>
    </row>
    <row r="9" spans="1:4" ht="15.75" hidden="1" x14ac:dyDescent="0.25">
      <c r="A9" s="8">
        <v>47</v>
      </c>
      <c r="B9" s="8" t="s">
        <v>176</v>
      </c>
      <c r="C9" s="8" t="s">
        <v>180</v>
      </c>
      <c r="D9" s="8" t="s">
        <v>169</v>
      </c>
    </row>
    <row r="10" spans="1:4" ht="15.75" hidden="1" x14ac:dyDescent="0.25">
      <c r="A10" s="8">
        <v>75</v>
      </c>
      <c r="B10" s="8" t="s">
        <v>170</v>
      </c>
      <c r="C10" s="8" t="s">
        <v>180</v>
      </c>
      <c r="D10" s="8" t="s">
        <v>169</v>
      </c>
    </row>
    <row r="11" spans="1:4" ht="15.75" hidden="1" x14ac:dyDescent="0.25">
      <c r="A11" s="8">
        <v>37</v>
      </c>
      <c r="B11" s="8" t="s">
        <v>200</v>
      </c>
      <c r="C11" s="8" t="s">
        <v>132</v>
      </c>
      <c r="D11" s="8" t="s">
        <v>128</v>
      </c>
    </row>
    <row r="12" spans="1:4" ht="15.75" hidden="1" x14ac:dyDescent="0.25">
      <c r="A12" s="8">
        <v>68</v>
      </c>
      <c r="B12" s="8" t="s">
        <v>131</v>
      </c>
      <c r="C12" s="8" t="s">
        <v>132</v>
      </c>
      <c r="D12" s="8" t="s">
        <v>128</v>
      </c>
    </row>
    <row r="13" spans="1:4" ht="15.75" hidden="1" x14ac:dyDescent="0.25">
      <c r="A13" s="8">
        <v>69</v>
      </c>
      <c r="B13" s="8" t="s">
        <v>185</v>
      </c>
      <c r="C13" s="8" t="s">
        <v>186</v>
      </c>
      <c r="D13" s="8" t="s">
        <v>184</v>
      </c>
    </row>
    <row r="14" spans="1:4" ht="15.75" hidden="1" x14ac:dyDescent="0.25">
      <c r="A14" s="8">
        <v>55</v>
      </c>
      <c r="B14" s="8" t="s">
        <v>129</v>
      </c>
      <c r="C14" s="8" t="s">
        <v>130</v>
      </c>
      <c r="D14" s="8" t="s">
        <v>128</v>
      </c>
    </row>
    <row r="15" spans="1:4" ht="15.75" hidden="1" x14ac:dyDescent="0.25">
      <c r="A15" s="8">
        <v>2</v>
      </c>
      <c r="B15" s="8" t="s">
        <v>98</v>
      </c>
      <c r="C15" s="8" t="s">
        <v>72</v>
      </c>
      <c r="D15" s="8" t="s">
        <v>96</v>
      </c>
    </row>
    <row r="16" spans="1:4" ht="15.75" hidden="1" x14ac:dyDescent="0.25">
      <c r="A16" s="8">
        <v>8</v>
      </c>
      <c r="B16" s="8" t="s">
        <v>99</v>
      </c>
      <c r="C16" s="8" t="s">
        <v>72</v>
      </c>
      <c r="D16" s="8" t="s">
        <v>96</v>
      </c>
    </row>
    <row r="17" spans="1:4" ht="15.75" hidden="1" x14ac:dyDescent="0.25">
      <c r="A17" s="8">
        <v>9</v>
      </c>
      <c r="B17" s="8" t="s">
        <v>75</v>
      </c>
      <c r="C17" s="8" t="s">
        <v>72</v>
      </c>
      <c r="D17" s="8" t="s">
        <v>73</v>
      </c>
    </row>
    <row r="18" spans="1:4" ht="15.75" hidden="1" x14ac:dyDescent="0.25">
      <c r="A18" s="8">
        <v>16</v>
      </c>
      <c r="B18" s="8" t="s">
        <v>89</v>
      </c>
      <c r="C18" s="8" t="s">
        <v>72</v>
      </c>
      <c r="D18" s="8" t="s">
        <v>87</v>
      </c>
    </row>
    <row r="19" spans="1:4" ht="15.75" hidden="1" x14ac:dyDescent="0.25">
      <c r="A19" s="8">
        <v>17</v>
      </c>
      <c r="B19" s="8" t="s">
        <v>78</v>
      </c>
      <c r="C19" s="8" t="s">
        <v>72</v>
      </c>
      <c r="D19" s="8" t="s">
        <v>73</v>
      </c>
    </row>
    <row r="20" spans="1:4" ht="15.75" hidden="1" x14ac:dyDescent="0.25">
      <c r="A20" s="8">
        <v>20</v>
      </c>
      <c r="B20" s="8" t="s">
        <v>118</v>
      </c>
      <c r="C20" s="8" t="s">
        <v>72</v>
      </c>
      <c r="D20" s="8" t="s">
        <v>115</v>
      </c>
    </row>
    <row r="21" spans="1:4" ht="15.75" hidden="1" x14ac:dyDescent="0.25">
      <c r="A21" s="8">
        <v>21</v>
      </c>
      <c r="B21" s="8" t="s">
        <v>116</v>
      </c>
      <c r="C21" s="8" t="s">
        <v>72</v>
      </c>
      <c r="D21" s="8" t="s">
        <v>115</v>
      </c>
    </row>
    <row r="22" spans="1:4" ht="15.75" hidden="1" x14ac:dyDescent="0.25">
      <c r="A22" s="8">
        <v>22</v>
      </c>
      <c r="B22" s="8" t="s">
        <v>109</v>
      </c>
      <c r="C22" s="8" t="s">
        <v>72</v>
      </c>
      <c r="D22" s="8" t="s">
        <v>96</v>
      </c>
    </row>
    <row r="23" spans="1:4" ht="15.75" hidden="1" x14ac:dyDescent="0.25">
      <c r="A23" s="8">
        <v>23</v>
      </c>
      <c r="B23" s="8" t="s">
        <v>102</v>
      </c>
      <c r="C23" s="8" t="s">
        <v>72</v>
      </c>
      <c r="D23" s="8" t="s">
        <v>96</v>
      </c>
    </row>
    <row r="24" spans="1:4" ht="15.75" hidden="1" x14ac:dyDescent="0.25">
      <c r="A24" s="8">
        <v>24</v>
      </c>
      <c r="B24" s="8" t="s">
        <v>110</v>
      </c>
      <c r="C24" s="8" t="s">
        <v>72</v>
      </c>
      <c r="D24" s="8" t="s">
        <v>96</v>
      </c>
    </row>
    <row r="25" spans="1:4" ht="15.75" hidden="1" x14ac:dyDescent="0.25">
      <c r="A25" s="8">
        <v>26</v>
      </c>
      <c r="B25" s="8" t="s">
        <v>97</v>
      </c>
      <c r="C25" s="8" t="s">
        <v>72</v>
      </c>
      <c r="D25" s="8" t="s">
        <v>96</v>
      </c>
    </row>
    <row r="26" spans="1:4" ht="15.75" hidden="1" x14ac:dyDescent="0.25">
      <c r="A26" s="8">
        <v>27</v>
      </c>
      <c r="B26" s="8" t="s">
        <v>188</v>
      </c>
      <c r="C26" s="8" t="s">
        <v>72</v>
      </c>
      <c r="D26" s="8" t="s">
        <v>112</v>
      </c>
    </row>
    <row r="27" spans="1:4" ht="15.75" hidden="1" x14ac:dyDescent="0.25">
      <c r="A27" s="8">
        <v>31</v>
      </c>
      <c r="B27" s="8" t="s">
        <v>74</v>
      </c>
      <c r="C27" s="8" t="s">
        <v>72</v>
      </c>
      <c r="D27" s="8" t="s">
        <v>73</v>
      </c>
    </row>
    <row r="28" spans="1:4" ht="15.75" hidden="1" x14ac:dyDescent="0.25">
      <c r="A28" s="8">
        <v>32</v>
      </c>
      <c r="B28" s="8" t="s">
        <v>88</v>
      </c>
      <c r="C28" s="8" t="s">
        <v>72</v>
      </c>
      <c r="D28" s="8" t="s">
        <v>87</v>
      </c>
    </row>
    <row r="29" spans="1:4" ht="15.75" hidden="1" x14ac:dyDescent="0.25">
      <c r="A29" s="8">
        <v>33</v>
      </c>
      <c r="B29" s="8" t="s">
        <v>80</v>
      </c>
      <c r="C29" s="8" t="s">
        <v>72</v>
      </c>
      <c r="D29" s="8" t="s">
        <v>79</v>
      </c>
    </row>
    <row r="30" spans="1:4" ht="15.75" hidden="1" x14ac:dyDescent="0.25">
      <c r="A30" s="8">
        <v>34</v>
      </c>
      <c r="B30" s="8" t="s">
        <v>77</v>
      </c>
      <c r="C30" s="8" t="s">
        <v>72</v>
      </c>
      <c r="D30" s="8" t="s">
        <v>73</v>
      </c>
    </row>
    <row r="31" spans="1:4" ht="15.75" hidden="1" x14ac:dyDescent="0.25">
      <c r="A31" s="8">
        <v>36</v>
      </c>
      <c r="B31" s="8" t="s">
        <v>104</v>
      </c>
      <c r="C31" s="8" t="s">
        <v>72</v>
      </c>
      <c r="D31" s="8" t="s">
        <v>96</v>
      </c>
    </row>
    <row r="32" spans="1:4" ht="15.75" hidden="1" x14ac:dyDescent="0.25">
      <c r="A32" s="8">
        <v>39</v>
      </c>
      <c r="B32" s="8" t="s">
        <v>117</v>
      </c>
      <c r="C32" s="8" t="s">
        <v>72</v>
      </c>
      <c r="D32" s="8" t="s">
        <v>115</v>
      </c>
    </row>
    <row r="33" spans="1:4" ht="15.75" hidden="1" x14ac:dyDescent="0.25">
      <c r="A33" s="8">
        <v>43</v>
      </c>
      <c r="B33" s="8" t="s">
        <v>172</v>
      </c>
      <c r="C33" s="8" t="s">
        <v>72</v>
      </c>
      <c r="D33" s="8" t="s">
        <v>114</v>
      </c>
    </row>
    <row r="34" spans="1:4" ht="15.75" hidden="1" x14ac:dyDescent="0.25">
      <c r="A34" s="8">
        <v>48</v>
      </c>
      <c r="B34" s="8" t="s">
        <v>171</v>
      </c>
      <c r="C34" s="8" t="s">
        <v>72</v>
      </c>
      <c r="D34" s="8" t="s">
        <v>87</v>
      </c>
    </row>
    <row r="35" spans="1:4" ht="15.75" hidden="1" x14ac:dyDescent="0.25">
      <c r="A35" s="8">
        <v>49</v>
      </c>
      <c r="B35" s="8" t="s">
        <v>197</v>
      </c>
      <c r="C35" s="8" t="s">
        <v>72</v>
      </c>
      <c r="D35" s="8" t="s">
        <v>114</v>
      </c>
    </row>
    <row r="36" spans="1:4" ht="15.75" hidden="1" x14ac:dyDescent="0.25">
      <c r="A36" s="8">
        <v>51</v>
      </c>
      <c r="B36" s="8" t="s">
        <v>68</v>
      </c>
      <c r="C36" s="8" t="s">
        <v>72</v>
      </c>
      <c r="D36" s="8" t="s">
        <v>69</v>
      </c>
    </row>
    <row r="37" spans="1:4" ht="15.75" hidden="1" x14ac:dyDescent="0.25">
      <c r="A37" s="8">
        <v>52</v>
      </c>
      <c r="B37" s="8" t="s">
        <v>100</v>
      </c>
      <c r="C37" s="8" t="s">
        <v>72</v>
      </c>
      <c r="D37" s="8" t="s">
        <v>96</v>
      </c>
    </row>
    <row r="38" spans="1:4" ht="15.75" hidden="1" x14ac:dyDescent="0.25">
      <c r="A38" s="8">
        <v>53</v>
      </c>
      <c r="B38" s="8" t="s">
        <v>113</v>
      </c>
      <c r="C38" s="8" t="s">
        <v>72</v>
      </c>
      <c r="D38" s="8" t="s">
        <v>114</v>
      </c>
    </row>
    <row r="39" spans="1:4" ht="15.75" hidden="1" x14ac:dyDescent="0.25">
      <c r="A39" s="8">
        <v>58</v>
      </c>
      <c r="B39" s="8" t="s">
        <v>101</v>
      </c>
      <c r="C39" s="8" t="s">
        <v>72</v>
      </c>
      <c r="D39" s="8" t="s">
        <v>96</v>
      </c>
    </row>
    <row r="40" spans="1:4" ht="15.75" hidden="1" x14ac:dyDescent="0.25">
      <c r="A40" s="8">
        <v>59</v>
      </c>
      <c r="B40" s="8" t="s">
        <v>105</v>
      </c>
      <c r="C40" s="8" t="s">
        <v>72</v>
      </c>
      <c r="D40" s="8" t="s">
        <v>96</v>
      </c>
    </row>
    <row r="41" spans="1:4" ht="15.75" hidden="1" x14ac:dyDescent="0.25">
      <c r="A41" s="8">
        <v>60</v>
      </c>
      <c r="B41" s="8" t="s">
        <v>108</v>
      </c>
      <c r="C41" s="8" t="s">
        <v>72</v>
      </c>
      <c r="D41" s="8" t="s">
        <v>96</v>
      </c>
    </row>
    <row r="42" spans="1:4" ht="15.75" hidden="1" x14ac:dyDescent="0.25">
      <c r="A42" s="8">
        <v>63</v>
      </c>
      <c r="B42" s="8" t="s">
        <v>93</v>
      </c>
      <c r="C42" s="8" t="s">
        <v>72</v>
      </c>
      <c r="D42" s="8" t="s">
        <v>87</v>
      </c>
    </row>
    <row r="43" spans="1:4" ht="15.75" hidden="1" x14ac:dyDescent="0.25">
      <c r="A43" s="8">
        <v>65</v>
      </c>
      <c r="B43" s="8" t="s">
        <v>81</v>
      </c>
      <c r="C43" s="8" t="s">
        <v>72</v>
      </c>
      <c r="D43" s="8" t="s">
        <v>79</v>
      </c>
    </row>
    <row r="44" spans="1:4" ht="15.75" hidden="1" x14ac:dyDescent="0.25">
      <c r="A44" s="8">
        <v>70</v>
      </c>
      <c r="B44" s="8" t="s">
        <v>103</v>
      </c>
      <c r="C44" s="8" t="s">
        <v>72</v>
      </c>
      <c r="D44" s="8" t="s">
        <v>96</v>
      </c>
    </row>
    <row r="45" spans="1:4" ht="15.75" hidden="1" x14ac:dyDescent="0.25">
      <c r="A45" s="8">
        <v>72</v>
      </c>
      <c r="B45" s="8" t="s">
        <v>107</v>
      </c>
      <c r="C45" s="8" t="s">
        <v>72</v>
      </c>
      <c r="D45" s="8" t="s">
        <v>96</v>
      </c>
    </row>
    <row r="46" spans="1:4" ht="15.75" hidden="1" x14ac:dyDescent="0.25">
      <c r="A46" s="8">
        <v>76</v>
      </c>
      <c r="B46" s="8" t="s">
        <v>76</v>
      </c>
      <c r="C46" s="8" t="s">
        <v>72</v>
      </c>
      <c r="D46" s="8" t="s">
        <v>73</v>
      </c>
    </row>
    <row r="47" spans="1:4" ht="15.75" hidden="1" x14ac:dyDescent="0.25">
      <c r="A47" s="8">
        <v>77</v>
      </c>
      <c r="B47" s="8" t="s">
        <v>91</v>
      </c>
      <c r="C47" s="8" t="s">
        <v>72</v>
      </c>
      <c r="D47" s="8" t="s">
        <v>87</v>
      </c>
    </row>
    <row r="48" spans="1:4" ht="15.75" hidden="1" x14ac:dyDescent="0.25">
      <c r="A48" s="8">
        <v>82</v>
      </c>
      <c r="B48" s="8" t="s">
        <v>111</v>
      </c>
      <c r="C48" s="8" t="s">
        <v>72</v>
      </c>
      <c r="D48" s="8" t="s">
        <v>96</v>
      </c>
    </row>
    <row r="49" spans="1:4" ht="15.75" hidden="1" x14ac:dyDescent="0.25">
      <c r="A49" s="8">
        <v>83</v>
      </c>
      <c r="B49" s="8" t="s">
        <v>92</v>
      </c>
      <c r="C49" s="8" t="s">
        <v>72</v>
      </c>
      <c r="D49" s="8" t="s">
        <v>87</v>
      </c>
    </row>
    <row r="50" spans="1:4" ht="15.75" hidden="1" x14ac:dyDescent="0.25">
      <c r="A50" s="8">
        <v>89</v>
      </c>
      <c r="B50" s="8" t="s">
        <v>86</v>
      </c>
      <c r="C50" s="8" t="s">
        <v>72</v>
      </c>
      <c r="D50" s="8" t="s">
        <v>85</v>
      </c>
    </row>
    <row r="51" spans="1:4" ht="15.75" hidden="1" x14ac:dyDescent="0.25">
      <c r="A51" s="8">
        <v>90</v>
      </c>
      <c r="B51" s="8" t="s">
        <v>106</v>
      </c>
      <c r="C51" s="8" t="s">
        <v>72</v>
      </c>
      <c r="D51" s="8" t="s">
        <v>96</v>
      </c>
    </row>
    <row r="52" spans="1:4" ht="15.75" hidden="1" x14ac:dyDescent="0.25">
      <c r="A52" s="8">
        <v>91</v>
      </c>
      <c r="B52" s="8" t="s">
        <v>90</v>
      </c>
      <c r="C52" s="8" t="s">
        <v>72</v>
      </c>
      <c r="D52" s="8" t="s">
        <v>87</v>
      </c>
    </row>
    <row r="53" spans="1:4" ht="15.75" hidden="1" x14ac:dyDescent="0.25">
      <c r="A53" s="8">
        <v>64</v>
      </c>
      <c r="B53" s="8" t="s">
        <v>83</v>
      </c>
      <c r="C53" s="11" t="s">
        <v>84</v>
      </c>
      <c r="D53" s="8" t="s">
        <v>82</v>
      </c>
    </row>
    <row r="54" spans="1:4" ht="15.75" hidden="1" x14ac:dyDescent="0.25">
      <c r="A54" s="8">
        <v>71</v>
      </c>
      <c r="B54" s="8" t="s">
        <v>95</v>
      </c>
      <c r="C54" s="8" t="s">
        <v>84</v>
      </c>
      <c r="D54" s="8" t="s">
        <v>94</v>
      </c>
    </row>
    <row r="55" spans="1:4" ht="15.75" hidden="1" x14ac:dyDescent="0.25">
      <c r="A55" s="8">
        <v>88</v>
      </c>
      <c r="B55" s="8" t="s">
        <v>133</v>
      </c>
      <c r="C55" s="8" t="s">
        <v>134</v>
      </c>
      <c r="D55" s="8" t="s">
        <v>128</v>
      </c>
    </row>
    <row r="56" spans="1:4" ht="15.75" hidden="1" x14ac:dyDescent="0.25">
      <c r="A56" s="8">
        <v>6</v>
      </c>
      <c r="B56" s="8" t="s">
        <v>58</v>
      </c>
      <c r="C56" s="8" t="s">
        <v>67</v>
      </c>
      <c r="D56" s="9" t="s">
        <v>57</v>
      </c>
    </row>
    <row r="57" spans="1:4" ht="15.75" hidden="1" x14ac:dyDescent="0.25">
      <c r="A57" s="8">
        <v>15</v>
      </c>
      <c r="B57" s="8" t="s">
        <v>61</v>
      </c>
      <c r="C57" s="8" t="s">
        <v>67</v>
      </c>
      <c r="D57" s="9" t="s">
        <v>57</v>
      </c>
    </row>
    <row r="58" spans="1:4" ht="15.75" hidden="1" x14ac:dyDescent="0.25">
      <c r="A58" s="8">
        <v>18</v>
      </c>
      <c r="B58" s="8" t="s">
        <v>71</v>
      </c>
      <c r="C58" s="8" t="s">
        <v>67</v>
      </c>
      <c r="D58" s="8" t="s">
        <v>70</v>
      </c>
    </row>
    <row r="59" spans="1:4" ht="15.75" hidden="1" x14ac:dyDescent="0.25">
      <c r="A59" s="8">
        <v>25</v>
      </c>
      <c r="B59" s="8" t="s">
        <v>66</v>
      </c>
      <c r="C59" s="8" t="s">
        <v>67</v>
      </c>
      <c r="D59" s="9" t="s">
        <v>57</v>
      </c>
    </row>
    <row r="60" spans="1:4" ht="15.75" hidden="1" x14ac:dyDescent="0.25">
      <c r="A60" s="8">
        <v>29</v>
      </c>
      <c r="B60" s="8" t="s">
        <v>64</v>
      </c>
      <c r="C60" s="8" t="s">
        <v>67</v>
      </c>
      <c r="D60" s="9" t="s">
        <v>57</v>
      </c>
    </row>
    <row r="61" spans="1:4" ht="15.75" hidden="1" x14ac:dyDescent="0.25">
      <c r="A61" s="8">
        <v>54</v>
      </c>
      <c r="B61" s="8" t="s">
        <v>62</v>
      </c>
      <c r="C61" s="8" t="s">
        <v>67</v>
      </c>
      <c r="D61" s="9" t="s">
        <v>57</v>
      </c>
    </row>
    <row r="62" spans="1:4" ht="15.75" hidden="1" x14ac:dyDescent="0.25">
      <c r="A62" s="8">
        <v>61</v>
      </c>
      <c r="B62" s="8" t="s">
        <v>65</v>
      </c>
      <c r="C62" s="8" t="s">
        <v>67</v>
      </c>
      <c r="D62" s="9" t="s">
        <v>57</v>
      </c>
    </row>
    <row r="63" spans="1:4" ht="15.75" hidden="1" x14ac:dyDescent="0.25">
      <c r="A63" s="8">
        <v>62</v>
      </c>
      <c r="B63" s="8" t="s">
        <v>59</v>
      </c>
      <c r="C63" s="8" t="s">
        <v>67</v>
      </c>
      <c r="D63" s="9" t="s">
        <v>57</v>
      </c>
    </row>
    <row r="64" spans="1:4" ht="15.75" hidden="1" x14ac:dyDescent="0.25">
      <c r="A64" s="8">
        <v>81</v>
      </c>
      <c r="B64" s="8" t="s">
        <v>60</v>
      </c>
      <c r="C64" s="8" t="s">
        <v>67</v>
      </c>
      <c r="D64" s="9" t="s">
        <v>57</v>
      </c>
    </row>
    <row r="65" spans="1:4" ht="15.75" hidden="1" x14ac:dyDescent="0.25">
      <c r="A65" s="8">
        <v>86</v>
      </c>
      <c r="B65" s="8" t="s">
        <v>63</v>
      </c>
      <c r="C65" s="8" t="s">
        <v>67</v>
      </c>
      <c r="D65" s="9" t="s">
        <v>57</v>
      </c>
    </row>
    <row r="66" spans="1:4" ht="15.75" hidden="1" x14ac:dyDescent="0.25">
      <c r="A66" s="8">
        <v>3</v>
      </c>
      <c r="B66" s="8" t="s">
        <v>177</v>
      </c>
      <c r="C66" s="8" t="s">
        <v>179</v>
      </c>
      <c r="D66" s="8" t="s">
        <v>178</v>
      </c>
    </row>
    <row r="67" spans="1:4" ht="15.75" hidden="1" x14ac:dyDescent="0.25">
      <c r="A67" s="8">
        <v>1</v>
      </c>
      <c r="B67" s="8" t="s">
        <v>196</v>
      </c>
      <c r="C67" s="8" t="s">
        <v>153</v>
      </c>
      <c r="D67" s="8" t="s">
        <v>150</v>
      </c>
    </row>
    <row r="68" spans="1:4" ht="15.75" hidden="1" x14ac:dyDescent="0.25">
      <c r="A68" s="8">
        <v>13</v>
      </c>
      <c r="B68" s="8" t="s">
        <v>192</v>
      </c>
      <c r="C68" s="8" t="s">
        <v>153</v>
      </c>
      <c r="D68" s="8" t="s">
        <v>150</v>
      </c>
    </row>
    <row r="69" spans="1:4" ht="15.75" hidden="1" x14ac:dyDescent="0.25">
      <c r="A69" s="8">
        <v>56</v>
      </c>
      <c r="B69" s="8" t="s">
        <v>152</v>
      </c>
      <c r="C69" s="8" t="s">
        <v>153</v>
      </c>
      <c r="D69" s="8" t="s">
        <v>150</v>
      </c>
    </row>
    <row r="70" spans="1:4" ht="15.75" x14ac:dyDescent="0.25">
      <c r="A70" s="8">
        <v>10</v>
      </c>
      <c r="B70" s="8" t="s">
        <v>182</v>
      </c>
      <c r="C70" s="8" t="s">
        <v>183</v>
      </c>
      <c r="D70" s="8" t="s">
        <v>181</v>
      </c>
    </row>
    <row r="71" spans="1:4" ht="15.75" hidden="1" x14ac:dyDescent="0.25">
      <c r="A71" s="8">
        <v>4</v>
      </c>
      <c r="B71" s="8" t="s">
        <v>148</v>
      </c>
      <c r="C71" s="8" t="s">
        <v>149</v>
      </c>
      <c r="D71" s="8" t="s">
        <v>146</v>
      </c>
    </row>
    <row r="72" spans="1:4" ht="15.75" hidden="1" x14ac:dyDescent="0.25">
      <c r="A72" s="8">
        <v>7</v>
      </c>
      <c r="B72" s="8" t="s">
        <v>147</v>
      </c>
      <c r="C72" s="8" t="s">
        <v>149</v>
      </c>
      <c r="D72" s="8" t="s">
        <v>146</v>
      </c>
    </row>
    <row r="73" spans="1:4" ht="15.75" hidden="1" x14ac:dyDescent="0.25">
      <c r="A73" s="8">
        <v>67</v>
      </c>
      <c r="B73" s="8" t="s">
        <v>163</v>
      </c>
      <c r="C73" s="8" t="s">
        <v>164</v>
      </c>
      <c r="D73" s="8" t="s">
        <v>162</v>
      </c>
    </row>
    <row r="74" spans="1:4" ht="15.75" hidden="1" x14ac:dyDescent="0.25">
      <c r="A74" s="8">
        <v>46</v>
      </c>
      <c r="B74" s="8" t="s">
        <v>174</v>
      </c>
      <c r="C74" s="8" t="s">
        <v>155</v>
      </c>
      <c r="D74" s="8" t="s">
        <v>150</v>
      </c>
    </row>
    <row r="75" spans="1:4" ht="15.75" hidden="1" x14ac:dyDescent="0.25">
      <c r="A75" s="8">
        <v>50</v>
      </c>
      <c r="B75" s="8" t="s">
        <v>154</v>
      </c>
      <c r="C75" s="8" t="s">
        <v>155</v>
      </c>
      <c r="D75" s="8" t="s">
        <v>150</v>
      </c>
    </row>
    <row r="76" spans="1:4" ht="15.75" hidden="1" x14ac:dyDescent="0.25">
      <c r="A76" s="8">
        <v>79</v>
      </c>
      <c r="B76" s="8" t="s">
        <v>191</v>
      </c>
      <c r="C76" s="8" t="s">
        <v>155</v>
      </c>
      <c r="D76" s="8" t="s">
        <v>150</v>
      </c>
    </row>
    <row r="77" spans="1:4" ht="15.75" hidden="1" x14ac:dyDescent="0.25">
      <c r="A77" s="8">
        <v>84</v>
      </c>
      <c r="B77" s="8" t="s">
        <v>151</v>
      </c>
      <c r="C77" s="8" t="s">
        <v>155</v>
      </c>
      <c r="D77" s="8" t="s">
        <v>150</v>
      </c>
    </row>
    <row r="78" spans="1:4" ht="15.75" hidden="1" x14ac:dyDescent="0.25">
      <c r="A78" s="8">
        <v>11</v>
      </c>
      <c r="B78" s="8" t="s">
        <v>126</v>
      </c>
      <c r="C78" s="8" t="s">
        <v>127</v>
      </c>
      <c r="D78" s="8" t="s">
        <v>119</v>
      </c>
    </row>
    <row r="79" spans="1:4" ht="15.75" hidden="1" x14ac:dyDescent="0.25">
      <c r="A79" s="8">
        <v>28</v>
      </c>
      <c r="B79" s="8" t="s">
        <v>189</v>
      </c>
      <c r="C79" s="8" t="s">
        <v>127</v>
      </c>
      <c r="D79" s="8" t="s">
        <v>119</v>
      </c>
    </row>
    <row r="80" spans="1:4" ht="15.75" hidden="1" x14ac:dyDescent="0.25">
      <c r="A80" s="8">
        <v>40</v>
      </c>
      <c r="B80" s="8" t="s">
        <v>125</v>
      </c>
      <c r="C80" s="8" t="s">
        <v>127</v>
      </c>
      <c r="D80" s="8" t="s">
        <v>119</v>
      </c>
    </row>
    <row r="81" spans="1:5" ht="15.75" hidden="1" x14ac:dyDescent="0.25">
      <c r="A81" s="8">
        <v>45</v>
      </c>
      <c r="B81" s="8" t="s">
        <v>173</v>
      </c>
      <c r="C81" s="8" t="s">
        <v>127</v>
      </c>
      <c r="D81" s="8" t="s">
        <v>119</v>
      </c>
    </row>
    <row r="82" spans="1:5" ht="15.75" hidden="1" x14ac:dyDescent="0.25">
      <c r="A82" s="8">
        <v>66</v>
      </c>
      <c r="B82" s="8" t="s">
        <v>124</v>
      </c>
      <c r="C82" s="8" t="s">
        <v>127</v>
      </c>
      <c r="D82" s="8" t="s">
        <v>119</v>
      </c>
    </row>
    <row r="83" spans="1:5" ht="15.75" hidden="1" x14ac:dyDescent="0.25">
      <c r="A83" s="8">
        <v>74</v>
      </c>
      <c r="B83" s="8" t="s">
        <v>123</v>
      </c>
      <c r="C83" s="8" t="s">
        <v>127</v>
      </c>
      <c r="D83" s="8" t="s">
        <v>119</v>
      </c>
    </row>
    <row r="84" spans="1:5" ht="15.75" hidden="1" x14ac:dyDescent="0.25">
      <c r="A84" s="8">
        <v>78</v>
      </c>
      <c r="B84" s="8" t="s">
        <v>190</v>
      </c>
      <c r="C84" s="8" t="s">
        <v>127</v>
      </c>
      <c r="D84" s="8" t="s">
        <v>119</v>
      </c>
    </row>
    <row r="85" spans="1:5" ht="15.75" hidden="1" x14ac:dyDescent="0.25">
      <c r="A85" s="8">
        <v>85</v>
      </c>
      <c r="B85" s="8" t="s">
        <v>122</v>
      </c>
      <c r="C85" s="8" t="s">
        <v>127</v>
      </c>
      <c r="D85" s="8" t="s">
        <v>119</v>
      </c>
    </row>
    <row r="86" spans="1:5" ht="15.75" hidden="1" x14ac:dyDescent="0.25">
      <c r="A86" s="8">
        <v>80</v>
      </c>
      <c r="B86" s="8" t="s">
        <v>199</v>
      </c>
      <c r="C86" s="8" t="s">
        <v>145</v>
      </c>
      <c r="D86" s="8" t="s">
        <v>144</v>
      </c>
    </row>
    <row r="87" spans="1:5" ht="15.75" hidden="1" x14ac:dyDescent="0.25">
      <c r="A87" s="8">
        <v>19</v>
      </c>
      <c r="B87" s="8" t="s">
        <v>142</v>
      </c>
      <c r="C87" s="8" t="s">
        <v>143</v>
      </c>
      <c r="D87" s="8" t="s">
        <v>139</v>
      </c>
    </row>
    <row r="88" spans="1:5" ht="15.75" hidden="1" x14ac:dyDescent="0.25">
      <c r="A88" s="8">
        <v>57</v>
      </c>
      <c r="B88" s="8" t="s">
        <v>141</v>
      </c>
      <c r="C88" s="8" t="s">
        <v>143</v>
      </c>
      <c r="D88" s="8" t="s">
        <v>139</v>
      </c>
    </row>
    <row r="89" spans="1:5" ht="15.75" hidden="1" x14ac:dyDescent="0.25">
      <c r="A89" s="8">
        <v>87</v>
      </c>
      <c r="B89" s="8" t="s">
        <v>140</v>
      </c>
      <c r="C89" s="8" t="s">
        <v>143</v>
      </c>
      <c r="D89" s="8" t="s">
        <v>139</v>
      </c>
    </row>
    <row r="90" spans="1:5" ht="15.75" hidden="1" x14ac:dyDescent="0.25">
      <c r="A90" s="8">
        <v>30</v>
      </c>
      <c r="B90" s="8" t="s">
        <v>136</v>
      </c>
      <c r="C90" s="8" t="s">
        <v>138</v>
      </c>
      <c r="D90" s="8" t="s">
        <v>135</v>
      </c>
    </row>
    <row r="91" spans="1:5" ht="15.75" hidden="1" x14ac:dyDescent="0.25">
      <c r="A91" s="8">
        <v>41</v>
      </c>
      <c r="B91" s="8" t="s">
        <v>137</v>
      </c>
      <c r="C91" s="8" t="s">
        <v>138</v>
      </c>
      <c r="D91" s="8" t="s">
        <v>135</v>
      </c>
    </row>
    <row r="92" spans="1:5" ht="15.75" hidden="1" x14ac:dyDescent="0.25">
      <c r="A92" s="8">
        <v>73</v>
      </c>
      <c r="B92" s="8" t="s">
        <v>166</v>
      </c>
      <c r="C92" s="8" t="s">
        <v>167</v>
      </c>
      <c r="D92" s="8" t="s">
        <v>165</v>
      </c>
    </row>
    <row r="93" spans="1:5" ht="15.75" hidden="1" x14ac:dyDescent="0.25">
      <c r="A93" s="8">
        <v>14</v>
      </c>
      <c r="B93" s="8" t="s">
        <v>120</v>
      </c>
      <c r="C93" s="8" t="s">
        <v>121</v>
      </c>
      <c r="D93" s="8" t="s">
        <v>119</v>
      </c>
    </row>
    <row r="94" spans="1:5" ht="15.75" x14ac:dyDescent="0.25">
      <c r="A94" s="8"/>
      <c r="C94" s="8"/>
      <c r="D94" s="8"/>
      <c r="E94" s="8"/>
    </row>
    <row r="95" spans="1:5" ht="15.75" x14ac:dyDescent="0.25">
      <c r="A95" s="8"/>
      <c r="C95" s="8"/>
      <c r="D95" s="8"/>
      <c r="E95" s="8"/>
    </row>
    <row r="96" spans="1:5" ht="15.75" x14ac:dyDescent="0.25">
      <c r="A96" s="8"/>
      <c r="C96" s="8"/>
      <c r="D96" s="8"/>
      <c r="E96" s="8"/>
    </row>
  </sheetData>
  <mergeCells count="1">
    <mergeCell ref="A1:D1"/>
  </mergeCell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3" tint="0.39997558519241921"/>
  </sheetPr>
  <dimension ref="A1:AF143"/>
  <sheetViews>
    <sheetView tabSelected="1" zoomScaleNormal="100" workbookViewId="0">
      <selection activeCell="E3" sqref="E3"/>
    </sheetView>
  </sheetViews>
  <sheetFormatPr defaultRowHeight="15" x14ac:dyDescent="0.25"/>
  <cols>
    <col min="1" max="1" width="7.5703125" style="6" customWidth="1"/>
    <col min="2" max="2" width="41.28515625" style="6" customWidth="1"/>
    <col min="3" max="3" width="22.7109375" style="14" customWidth="1"/>
    <col min="4" max="4" width="13.85546875" style="14" customWidth="1"/>
    <col min="5" max="5" width="14.5703125" style="14" customWidth="1"/>
    <col min="6" max="6" width="21" style="14" bestFit="1" customWidth="1"/>
    <col min="7" max="7" width="12.7109375" style="14" bestFit="1" customWidth="1"/>
    <col min="8" max="8" width="11" style="14" customWidth="1"/>
    <col min="9" max="9" width="16.5703125" style="14" bestFit="1" customWidth="1"/>
    <col min="10" max="10" width="9.85546875" style="14" bestFit="1" customWidth="1"/>
    <col min="11" max="11" width="9.85546875" style="14" customWidth="1"/>
    <col min="12" max="12" width="11.140625" style="14" bestFit="1" customWidth="1"/>
    <col min="13" max="13" width="10.42578125" style="14" customWidth="1"/>
    <col min="14" max="14" width="12.5703125" style="14" bestFit="1" customWidth="1"/>
    <col min="15" max="15" width="10.140625" style="14" customWidth="1"/>
    <col min="16" max="16" width="13.85546875" style="14" bestFit="1" customWidth="1"/>
    <col min="17" max="17" width="13.28515625" style="14" bestFit="1" customWidth="1"/>
    <col min="18" max="18" width="11.42578125" style="14" customWidth="1"/>
    <col min="19" max="19" width="11.85546875" style="14" customWidth="1"/>
    <col min="20" max="20" width="10.140625" style="14" customWidth="1"/>
    <col min="21" max="21" width="11.140625" style="14" customWidth="1"/>
    <col min="22" max="22" width="18.140625" style="14" customWidth="1"/>
    <col min="23" max="23" width="14.7109375" style="14" customWidth="1"/>
    <col min="24" max="24" width="14.28515625" style="14" customWidth="1"/>
    <col min="25" max="25" width="14" style="14" customWidth="1"/>
    <col min="26" max="26" width="16.28515625" style="14" customWidth="1"/>
    <col min="27" max="27" width="14.42578125" style="14" customWidth="1"/>
    <col min="28" max="28" width="13.7109375" style="14" bestFit="1" customWidth="1"/>
    <col min="29" max="29" width="11" style="14" customWidth="1"/>
    <col min="30" max="30" width="13" style="14" customWidth="1"/>
    <col min="31" max="31" width="20" style="14" bestFit="1" customWidth="1"/>
    <col min="32" max="32" width="15.7109375" style="10" customWidth="1"/>
    <col min="33" max="16384" width="9.140625" style="10"/>
  </cols>
  <sheetData>
    <row r="1" spans="1:32" x14ac:dyDescent="0.25">
      <c r="A1" s="28" t="s">
        <v>415</v>
      </c>
      <c r="B1" s="29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1"/>
    </row>
    <row r="2" spans="1:32" x14ac:dyDescent="0.25">
      <c r="A2" s="1" t="s">
        <v>194</v>
      </c>
      <c r="B2" s="1" t="s">
        <v>252</v>
      </c>
      <c r="C2" s="1" t="s">
        <v>204</v>
      </c>
      <c r="D2" s="1" t="s">
        <v>115</v>
      </c>
      <c r="E2" s="1" t="s">
        <v>181</v>
      </c>
      <c r="F2" s="1" t="s">
        <v>156</v>
      </c>
      <c r="G2" s="1" t="s">
        <v>57</v>
      </c>
      <c r="H2" s="1" t="s">
        <v>144</v>
      </c>
      <c r="I2" s="1" t="s">
        <v>184</v>
      </c>
      <c r="J2" s="1" t="s">
        <v>146</v>
      </c>
      <c r="K2" s="1" t="s">
        <v>70</v>
      </c>
      <c r="L2" s="1" t="s">
        <v>69</v>
      </c>
      <c r="M2" s="1" t="s">
        <v>135</v>
      </c>
      <c r="N2" s="1" t="s">
        <v>112</v>
      </c>
      <c r="O2" s="1" t="s">
        <v>85</v>
      </c>
      <c r="P2" s="1" t="s">
        <v>94</v>
      </c>
      <c r="Q2" s="1" t="s">
        <v>162</v>
      </c>
      <c r="R2" s="1" t="s">
        <v>114</v>
      </c>
      <c r="S2" s="1" t="s">
        <v>165</v>
      </c>
      <c r="T2" s="1" t="s">
        <v>119</v>
      </c>
      <c r="U2" s="1" t="s">
        <v>128</v>
      </c>
      <c r="V2" s="1" t="s">
        <v>187</v>
      </c>
      <c r="W2" s="1" t="s">
        <v>150</v>
      </c>
      <c r="X2" s="1" t="s">
        <v>139</v>
      </c>
      <c r="Y2" s="1" t="s">
        <v>178</v>
      </c>
      <c r="Z2" s="1" t="s">
        <v>82</v>
      </c>
      <c r="AA2" s="1" t="s">
        <v>169</v>
      </c>
      <c r="AB2" s="1" t="s">
        <v>87</v>
      </c>
      <c r="AC2" s="1" t="s">
        <v>79</v>
      </c>
      <c r="AD2" s="1" t="s">
        <v>96</v>
      </c>
      <c r="AE2" s="1" t="s">
        <v>159</v>
      </c>
      <c r="AF2" s="1" t="s">
        <v>73</v>
      </c>
    </row>
    <row r="3" spans="1:32" ht="15" customHeight="1" x14ac:dyDescent="0.25">
      <c r="A3" s="6">
        <v>1</v>
      </c>
      <c r="B3" s="26" t="str">
        <f>VLOOKUP(Tbl_Price_List[[#This Row],[Product_Name]],Tbl_Prod_Catalog[[#This Row],[Product_Name]:[Class_Type]],8,0)</f>
        <v>Piano</v>
      </c>
      <c r="C3" s="6" t="s">
        <v>205</v>
      </c>
      <c r="D3" s="14">
        <f>VLOOKUP(Tbl_Price_List[[#This Row],[Class_Type]],Tbl_Class_Pricelist[[Class_Type]:[BALI]],2,0)</f>
        <v>1102500</v>
      </c>
      <c r="E3" s="14">
        <f>(7350*Product_Catalog!D3)</f>
        <v>2829750</v>
      </c>
      <c r="F3" s="14">
        <f>VLOOKUP(Tbl_Price_List[[#This Row],[Class_Type]],Tbl_Class_Pricelist[[Class_Type]:[BANDAR LAMPUNG]],4,0)</f>
        <v>834000</v>
      </c>
      <c r="G3" s="14">
        <f>VLOOKUP(Tbl_Price_List[[#This Row],[Class_Type]],Tbl_Class_Pricelist[[Class_Type]:[BANDUNG]],5,0)</f>
        <v>284600</v>
      </c>
      <c r="H3" s="14">
        <f>VLOOKUP(Tbl_Price_List[[#This Row],[Class_Type]],Tbl_Class_Pricelist[[Class_Type]:[BANGKA]],6,0)</f>
        <v>1062650</v>
      </c>
      <c r="I3" s="14">
        <f>(4725*Product_Catalog!D3)</f>
        <v>1819125</v>
      </c>
      <c r="J3" s="14">
        <f>VLOOKUP(Tbl_Price_List[[#This Row],[Class_Type]],Tbl_Class_Pricelist[[Class_Type]:[BATAM]],8,0)</f>
        <v>818500</v>
      </c>
      <c r="K3" s="14">
        <f>VLOOKUP(Tbl_Price_List[[#This Row],[Class_Type]],Tbl_Class_Pricelist[[Class_Type]:[BOGOR]],9,0)</f>
        <v>179500</v>
      </c>
      <c r="L3" s="14">
        <f>VLOOKUP(Tbl_Price_List[[#This Row],[Class_Type]],Tbl_Class_Pricelist[[Class_Type]:[CIREBON]],10,0)</f>
        <v>351900</v>
      </c>
      <c r="M3" s="14">
        <f>VLOOKUP(Tbl_Price_List[[#This Row],[Class_Type]],Tbl_Class_Pricelist[[Class_Type]:[JAMBI]],11,0)</f>
        <v>960000</v>
      </c>
      <c r="N3" s="14">
        <f>VLOOKUP(Tbl_Price_List[[#This Row],[Class_Type]],Tbl_Class_Pricelist[[Class_Type]:[JOMBANG]],12,0)</f>
        <v>769000</v>
      </c>
      <c r="O3" s="14">
        <f>VLOOKUP(Tbl_Price_List[[#This Row],[Class_Type]],Tbl_Class_Pricelist[[Class_Type]:[KUDUS]],13,0)</f>
        <v>575000</v>
      </c>
      <c r="P3" s="14">
        <f>VLOOKUP(Tbl_Price_List[[#This Row],[Class_Type]],Tbl_Class_Pricelist[[Class_Type]:[MAGELANG]],14,0)</f>
        <v>328000</v>
      </c>
      <c r="Q3" s="14">
        <f>VLOOKUP(Tbl_Price_List[[#This Row],[Class_Type]],Tbl_Class_Pricelist[[Class_Type]:[MAKASSAR]],15,0)</f>
        <v>1311750</v>
      </c>
      <c r="R3" s="14">
        <f>VLOOKUP(Tbl_Price_List[[#This Row],[Class_Type]],Tbl_Class_Pricelist[[Class_Type]:[MALANG]],16,0)</f>
        <v>570000</v>
      </c>
      <c r="S3" s="14">
        <f>VLOOKUP(Tbl_Price_List[[#This Row],[Class_Type]],Tbl_Class_Pricelist[[Class_Type]:[MANADO]],17,0)</f>
        <v>1311750</v>
      </c>
      <c r="T3" s="14">
        <f>VLOOKUP(Tbl_Price_List[[#This Row],[Class_Type]],Tbl_Class_Pricelist[[Class_Type]:[MEDAN]],18,0)</f>
        <v>1311750</v>
      </c>
      <c r="U3" s="14">
        <f>VLOOKUP(Tbl_Price_List[[#This Row],[Class_Type]],Tbl_Class_Pricelist[[Class_Type]:[PADANG]],19,0)</f>
        <v>960000</v>
      </c>
      <c r="V3" s="14">
        <f>(12000*Product_Catalog!D3)</f>
        <v>4620000</v>
      </c>
      <c r="W3" s="14">
        <f>VLOOKUP(Tbl_Price_List[[#This Row],[Class_Type]],Tbl_Class_Pricelist[[Class_Type]:[PALEMBANG]],21,0)</f>
        <v>924000</v>
      </c>
      <c r="X3" s="14">
        <f>VLOOKUP(Tbl_Price_List[[#This Row],[Class_Type]],Tbl_Class_Pricelist[[Class_Type]:[PEKANBARU]],22,0)</f>
        <v>1062650</v>
      </c>
      <c r="Y3" s="14">
        <f>(5250*Product_Catalog!D3)</f>
        <v>2021250</v>
      </c>
      <c r="Z3" s="14">
        <f>VLOOKUP(Tbl_Price_List[[#This Row],[Class_Type]],Tbl_Class_Pricelist[[Class_Type]:[PURWOKERTO]],24,0)</f>
        <v>575000</v>
      </c>
      <c r="AA3" s="14">
        <f>(8400*Product_Catalog!D3)</f>
        <v>3234000</v>
      </c>
      <c r="AB3" s="14">
        <f>VLOOKUP(Tbl_Price_List[[#This Row],[Class_Type]],Tbl_Class_Pricelist[[Class_Type]:[SEMARANG]],26,0)</f>
        <v>328000</v>
      </c>
      <c r="AC3" s="14">
        <f>VLOOKUP(Tbl_Price_List[[#This Row],[Class_Type]],Tbl_Class_Pricelist[[Class_Type]:[SOLO]],27,0)</f>
        <v>402500</v>
      </c>
      <c r="AD3" s="14">
        <f>VLOOKUP(Tbl_Price_List[[#This Row],[Class_Type]],Tbl_Class_Pricelist[[Class_Type]:[SURABAYA]],28,0)</f>
        <v>413600</v>
      </c>
      <c r="AE3" s="14" t="str">
        <f>"Jakarta + Real Cost"</f>
        <v>Jakarta + Real Cost</v>
      </c>
      <c r="AF3" s="14">
        <f>VLOOKUP(Tbl_Price_List[[#This Row],[Class_Type]],Tbl_Class_Pricelist[[Class_Type]:[YOGYAKARTA]],30,0)</f>
        <v>328000</v>
      </c>
    </row>
    <row r="4" spans="1:32" ht="15" customHeight="1" x14ac:dyDescent="0.25">
      <c r="A4" s="6">
        <v>2</v>
      </c>
      <c r="B4" s="26" t="str">
        <f>VLOOKUP(Tbl_Price_List[[#This Row],[Product_Name]],Tbl_Prod_Catalog[[#This Row],[Product_Name]:[Class_Type]],8,0)</f>
        <v>Piano</v>
      </c>
      <c r="C4" s="6" t="s">
        <v>206</v>
      </c>
      <c r="D4" s="14">
        <f>VLOOKUP(Tbl_Price_List[[#This Row],[Class_Type]],Tbl_Class_Pricelist[[Class_Type]:[BALI]],2,0)</f>
        <v>1102500</v>
      </c>
      <c r="E4" s="14">
        <f>(7350*Product_Catalog!D4)</f>
        <v>2829750</v>
      </c>
      <c r="F4" s="14">
        <f>VLOOKUP(Tbl_Price_List[[#This Row],[Class_Type]],Tbl_Class_Pricelist[[Class_Type]:[BANDAR LAMPUNG]],4,0)</f>
        <v>834000</v>
      </c>
      <c r="G4" s="14">
        <f>VLOOKUP(Tbl_Price_List[[#This Row],[Class_Type]],Tbl_Class_Pricelist[[Class_Type]:[BANDUNG]],5,0)</f>
        <v>284600</v>
      </c>
      <c r="H4" s="14">
        <f>VLOOKUP(Tbl_Price_List[[#This Row],[Class_Type]],Tbl_Class_Pricelist[[Class_Type]:[BANGKA]],6,0)</f>
        <v>1062650</v>
      </c>
      <c r="I4" s="14">
        <f>(4725*Product_Catalog!D4)</f>
        <v>1819125</v>
      </c>
      <c r="J4" s="14">
        <f>VLOOKUP(Tbl_Price_List[[#This Row],[Class_Type]],Tbl_Class_Pricelist[[Class_Type]:[BATAM]],8,0)</f>
        <v>818500</v>
      </c>
      <c r="K4" s="14">
        <f>VLOOKUP(Tbl_Price_List[[#This Row],[Class_Type]],Tbl_Class_Pricelist[[Class_Type]:[BOGOR]],9,0)</f>
        <v>179500</v>
      </c>
      <c r="L4" s="14">
        <f>VLOOKUP(Tbl_Price_List[[#This Row],[Class_Type]],Tbl_Class_Pricelist[[Class_Type]:[CIREBON]],10,0)</f>
        <v>351900</v>
      </c>
      <c r="M4" s="14">
        <f>VLOOKUP(Tbl_Price_List[[#This Row],[Class_Type]],Tbl_Class_Pricelist[[Class_Type]:[JAMBI]],11,0)</f>
        <v>960000</v>
      </c>
      <c r="N4" s="14">
        <f>VLOOKUP(Tbl_Price_List[[#This Row],[Class_Type]],Tbl_Class_Pricelist[[Class_Type]:[JOMBANG]],12,0)</f>
        <v>769000</v>
      </c>
      <c r="O4" s="14">
        <f>VLOOKUP(Tbl_Price_List[[#This Row],[Class_Type]],Tbl_Class_Pricelist[[Class_Type]:[KUDUS]],13,0)</f>
        <v>575000</v>
      </c>
      <c r="P4" s="14">
        <f>VLOOKUP(Tbl_Price_List[[#This Row],[Class_Type]],Tbl_Class_Pricelist[[Class_Type]:[MAGELANG]],14,0)</f>
        <v>328000</v>
      </c>
      <c r="Q4" s="14">
        <f>VLOOKUP(Tbl_Price_List[[#This Row],[Class_Type]],Tbl_Class_Pricelist[[Class_Type]:[MAKASSAR]],15,0)</f>
        <v>1311750</v>
      </c>
      <c r="R4" s="14">
        <f>VLOOKUP(Tbl_Price_List[[#This Row],[Class_Type]],Tbl_Class_Pricelist[[Class_Type]:[MALANG]],16,0)</f>
        <v>570000</v>
      </c>
      <c r="S4" s="14">
        <f>VLOOKUP(Tbl_Price_List[[#This Row],[Class_Type]],Tbl_Class_Pricelist[[Class_Type]:[MANADO]],17,0)</f>
        <v>1311750</v>
      </c>
      <c r="T4" s="14">
        <f>VLOOKUP(Tbl_Price_List[[#This Row],[Class_Type]],Tbl_Class_Pricelist[[Class_Type]:[MEDAN]],18,0)</f>
        <v>1311750</v>
      </c>
      <c r="U4" s="14">
        <f>VLOOKUP(Tbl_Price_List[[#This Row],[Class_Type]],Tbl_Class_Pricelist[[Class_Type]:[PADANG]],19,0)</f>
        <v>960000</v>
      </c>
      <c r="V4" s="14">
        <f>(12000*Product_Catalog!D4)</f>
        <v>4620000</v>
      </c>
      <c r="W4" s="14">
        <f>VLOOKUP(Tbl_Price_List[[#This Row],[Class_Type]],Tbl_Class_Pricelist[[Class_Type]:[PALEMBANG]],21,0)</f>
        <v>924000</v>
      </c>
      <c r="X4" s="14">
        <f>VLOOKUP(Tbl_Price_List[[#This Row],[Class_Type]],Tbl_Class_Pricelist[[Class_Type]:[PEKANBARU]],22,0)</f>
        <v>1062650</v>
      </c>
      <c r="Y4" s="14">
        <f>(5250*Product_Catalog!D4)</f>
        <v>2021250</v>
      </c>
      <c r="Z4" s="14">
        <f>VLOOKUP(Tbl_Price_List[[#This Row],[Class_Type]],Tbl_Class_Pricelist[[Class_Type]:[PURWOKERTO]],24,0)</f>
        <v>575000</v>
      </c>
      <c r="AA4" s="14">
        <f>(8400*Product_Catalog!D4)</f>
        <v>3234000</v>
      </c>
      <c r="AB4" s="14">
        <f>VLOOKUP(Tbl_Price_List[[#This Row],[Class_Type]],Tbl_Class_Pricelist[[Class_Type]:[SEMARANG]],26,0)</f>
        <v>328000</v>
      </c>
      <c r="AC4" s="14">
        <f>VLOOKUP(Tbl_Price_List[[#This Row],[Class_Type]],Tbl_Class_Pricelist[[Class_Type]:[SOLO]],27,0)</f>
        <v>402500</v>
      </c>
      <c r="AD4" s="14">
        <f>VLOOKUP(Tbl_Price_List[[#This Row],[Class_Type]],Tbl_Class_Pricelist[[Class_Type]:[SURABAYA]],28,0)</f>
        <v>413600</v>
      </c>
      <c r="AE4" s="14" t="str">
        <f>"Jakarta + Real Cost"</f>
        <v>Jakarta + Real Cost</v>
      </c>
      <c r="AF4" s="14">
        <f>VLOOKUP(Tbl_Price_List[[#This Row],[Class_Type]],Tbl_Class_Pricelist[[Class_Type]:[YOGYAKARTA]],30,0)</f>
        <v>328000</v>
      </c>
    </row>
    <row r="5" spans="1:32" ht="15" customHeight="1" x14ac:dyDescent="0.25">
      <c r="A5" s="6">
        <v>3</v>
      </c>
      <c r="B5" s="27" t="str">
        <f>VLOOKUP(Tbl_Price_List[[#This Row],[Product_Name]],Tbl_Prod_Catalog[[#This Row],[Product_Name]:[Class_Type]],8,0)</f>
        <v>Piano</v>
      </c>
      <c r="C5" s="25" t="s">
        <v>242</v>
      </c>
      <c r="D5" s="14">
        <f>VLOOKUP(Tbl_Price_List[[#This Row],[Class_Type]],Tbl_Class_Pricelist[[Class_Type]:[BALI]],2,0)</f>
        <v>1102500</v>
      </c>
      <c r="E5" s="14">
        <f>(7350*Product_Catalog!D5)</f>
        <v>3483900</v>
      </c>
      <c r="F5" s="14">
        <f>VLOOKUP(Tbl_Price_List[[#This Row],[Class_Type]],Tbl_Class_Pricelist[[Class_Type]:[BANDAR LAMPUNG]],4,0)</f>
        <v>834000</v>
      </c>
      <c r="G5" s="14">
        <f>VLOOKUP(Tbl_Price_List[[#This Row],[Class_Type]],Tbl_Class_Pricelist[[Class_Type]:[BANDUNG]],5,0)</f>
        <v>284600</v>
      </c>
      <c r="H5" s="14">
        <f>VLOOKUP(Tbl_Price_List[[#This Row],[Class_Type]],Tbl_Class_Pricelist[[Class_Type]:[BANGKA]],6,0)</f>
        <v>1062650</v>
      </c>
      <c r="I5" s="14">
        <f>(4725*Product_Catalog!D5)</f>
        <v>2239650</v>
      </c>
      <c r="J5" s="14">
        <f>VLOOKUP(Tbl_Price_List[[#This Row],[Class_Type]],Tbl_Class_Pricelist[[Class_Type]:[BATAM]],8,0)</f>
        <v>818500</v>
      </c>
      <c r="K5" s="14">
        <f>VLOOKUP(Tbl_Price_List[[#This Row],[Class_Type]],Tbl_Class_Pricelist[[Class_Type]:[BOGOR]],9,0)</f>
        <v>179500</v>
      </c>
      <c r="L5" s="14">
        <f>VLOOKUP(Tbl_Price_List[[#This Row],[Class_Type]],Tbl_Class_Pricelist[[Class_Type]:[CIREBON]],10,0)</f>
        <v>351900</v>
      </c>
      <c r="M5" s="14">
        <f>VLOOKUP(Tbl_Price_List[[#This Row],[Class_Type]],Tbl_Class_Pricelist[[Class_Type]:[JAMBI]],11,0)</f>
        <v>960000</v>
      </c>
      <c r="N5" s="14">
        <f>VLOOKUP(Tbl_Price_List[[#This Row],[Class_Type]],Tbl_Class_Pricelist[[Class_Type]:[JOMBANG]],12,0)</f>
        <v>769000</v>
      </c>
      <c r="O5" s="14">
        <f>VLOOKUP(Tbl_Price_List[[#This Row],[Class_Type]],Tbl_Class_Pricelist[[Class_Type]:[KUDUS]],13,0)</f>
        <v>575000</v>
      </c>
      <c r="P5" s="14">
        <f>VLOOKUP(Tbl_Price_List[[#This Row],[Class_Type]],Tbl_Class_Pricelist[[Class_Type]:[MAGELANG]],14,0)</f>
        <v>328000</v>
      </c>
      <c r="Q5" s="14">
        <f>VLOOKUP(Tbl_Price_List[[#This Row],[Class_Type]],Tbl_Class_Pricelist[[Class_Type]:[MAKASSAR]],15,0)</f>
        <v>1311750</v>
      </c>
      <c r="R5" s="14">
        <f>VLOOKUP(Tbl_Price_List[[#This Row],[Class_Type]],Tbl_Class_Pricelist[[Class_Type]:[MALANG]],16,0)</f>
        <v>570000</v>
      </c>
      <c r="S5" s="14">
        <f>VLOOKUP(Tbl_Price_List[[#This Row],[Class_Type]],Tbl_Class_Pricelist[[Class_Type]:[MANADO]],17,0)</f>
        <v>1311750</v>
      </c>
      <c r="T5" s="14">
        <f>VLOOKUP(Tbl_Price_List[[#This Row],[Class_Type]],Tbl_Class_Pricelist[[Class_Type]:[MEDAN]],18,0)</f>
        <v>1311750</v>
      </c>
      <c r="U5" s="14">
        <f>VLOOKUP(Tbl_Price_List[[#This Row],[Class_Type]],Tbl_Class_Pricelist[[Class_Type]:[PADANG]],19,0)</f>
        <v>960000</v>
      </c>
      <c r="V5" s="14">
        <f>(12000*Product_Catalog!D5)</f>
        <v>5688000</v>
      </c>
      <c r="W5" s="14">
        <f>VLOOKUP(Tbl_Price_List[[#This Row],[Class_Type]],Tbl_Class_Pricelist[[Class_Type]:[PALEMBANG]],21,0)</f>
        <v>924000</v>
      </c>
      <c r="X5" s="14">
        <f>VLOOKUP(Tbl_Price_List[[#This Row],[Class_Type]],Tbl_Class_Pricelist[[Class_Type]:[PEKANBARU]],22,0)</f>
        <v>1062650</v>
      </c>
      <c r="Y5" s="14">
        <f>(5250*Product_Catalog!D5)</f>
        <v>2488500</v>
      </c>
      <c r="Z5" s="14">
        <f>VLOOKUP(Tbl_Price_List[[#This Row],[Class_Type]],Tbl_Class_Pricelist[[Class_Type]:[PURWOKERTO]],24,0)</f>
        <v>575000</v>
      </c>
      <c r="AA5" s="14">
        <f>(8400*Product_Catalog!D5)</f>
        <v>3981600</v>
      </c>
      <c r="AB5" s="14">
        <f>VLOOKUP(Tbl_Price_List[[#This Row],[Class_Type]],Tbl_Class_Pricelist[[Class_Type]:[SEMARANG]],26,0)</f>
        <v>328000</v>
      </c>
      <c r="AC5" s="14">
        <f>VLOOKUP(Tbl_Price_List[[#This Row],[Class_Type]],Tbl_Class_Pricelist[[Class_Type]:[SOLO]],27,0)</f>
        <v>402500</v>
      </c>
      <c r="AD5" s="14">
        <f>VLOOKUP(Tbl_Price_List[[#This Row],[Class_Type]],Tbl_Class_Pricelist[[Class_Type]:[SURABAYA]],28,0)</f>
        <v>413600</v>
      </c>
      <c r="AE5" s="14" t="str">
        <f>"Jakarta + Real Cost"</f>
        <v>Jakarta + Real Cost</v>
      </c>
      <c r="AF5" s="14">
        <f>VLOOKUP(Tbl_Price_List[[#This Row],[Class_Type]],Tbl_Class_Pricelist[[Class_Type]:[YOGYAKARTA]],30,0)</f>
        <v>328000</v>
      </c>
    </row>
    <row r="6" spans="1:32" ht="15" customHeight="1" x14ac:dyDescent="0.25">
      <c r="A6" s="6">
        <v>4</v>
      </c>
      <c r="B6" s="27" t="str">
        <f>VLOOKUP(Tbl_Price_List[[#This Row],[Product_Name]],Tbl_Prod_Catalog[[#This Row],[Product_Name]:[Class_Type]],8,0)</f>
        <v>Piano</v>
      </c>
      <c r="C6" s="25" t="s">
        <v>243</v>
      </c>
      <c r="D6" s="14">
        <f>VLOOKUP(Tbl_Price_List[[#This Row],[Class_Type]],Tbl_Class_Pricelist[[Class_Type]:[BALI]],2,0)</f>
        <v>1102500</v>
      </c>
      <c r="E6" s="14">
        <f>(7350*Product_Catalog!D6)</f>
        <v>2778300</v>
      </c>
      <c r="F6" s="14">
        <f>VLOOKUP(Tbl_Price_List[[#This Row],[Class_Type]],Tbl_Class_Pricelist[[Class_Type]:[BANDAR LAMPUNG]],4,0)</f>
        <v>834000</v>
      </c>
      <c r="G6" s="14">
        <f>VLOOKUP(Tbl_Price_List[[#This Row],[Class_Type]],Tbl_Class_Pricelist[[Class_Type]:[BANDUNG]],5,0)</f>
        <v>284600</v>
      </c>
      <c r="H6" s="14">
        <f>VLOOKUP(Tbl_Price_List[[#This Row],[Class_Type]],Tbl_Class_Pricelist[[Class_Type]:[BANGKA]],6,0)</f>
        <v>1062650</v>
      </c>
      <c r="I6" s="14">
        <f>(4725*Product_Catalog!D6)</f>
        <v>1786050</v>
      </c>
      <c r="J6" s="14">
        <f>VLOOKUP(Tbl_Price_List[[#This Row],[Class_Type]],Tbl_Class_Pricelist[[Class_Type]:[BATAM]],8,0)</f>
        <v>818500</v>
      </c>
      <c r="K6" s="14">
        <f>VLOOKUP(Tbl_Price_List[[#This Row],[Class_Type]],Tbl_Class_Pricelist[[Class_Type]:[BOGOR]],9,0)</f>
        <v>179500</v>
      </c>
      <c r="L6" s="14">
        <f>VLOOKUP(Tbl_Price_List[[#This Row],[Class_Type]],Tbl_Class_Pricelist[[Class_Type]:[CIREBON]],10,0)</f>
        <v>351900</v>
      </c>
      <c r="M6" s="14">
        <f>VLOOKUP(Tbl_Price_List[[#This Row],[Class_Type]],Tbl_Class_Pricelist[[Class_Type]:[JAMBI]],11,0)</f>
        <v>960000</v>
      </c>
      <c r="N6" s="14">
        <f>VLOOKUP(Tbl_Price_List[[#This Row],[Class_Type]],Tbl_Class_Pricelist[[Class_Type]:[JOMBANG]],12,0)</f>
        <v>769000</v>
      </c>
      <c r="O6" s="14">
        <f>VLOOKUP(Tbl_Price_List[[#This Row],[Class_Type]],Tbl_Class_Pricelist[[Class_Type]:[KUDUS]],13,0)</f>
        <v>575000</v>
      </c>
      <c r="P6" s="14">
        <f>VLOOKUP(Tbl_Price_List[[#This Row],[Class_Type]],Tbl_Class_Pricelist[[Class_Type]:[MAGELANG]],14,0)</f>
        <v>328000</v>
      </c>
      <c r="Q6" s="14">
        <f>VLOOKUP(Tbl_Price_List[[#This Row],[Class_Type]],Tbl_Class_Pricelist[[Class_Type]:[MAKASSAR]],15,0)</f>
        <v>1311750</v>
      </c>
      <c r="R6" s="14">
        <f>VLOOKUP(Tbl_Price_List[[#This Row],[Class_Type]],Tbl_Class_Pricelist[[Class_Type]:[MALANG]],16,0)</f>
        <v>570000</v>
      </c>
      <c r="S6" s="14">
        <f>VLOOKUP(Tbl_Price_List[[#This Row],[Class_Type]],Tbl_Class_Pricelist[[Class_Type]:[MANADO]],17,0)</f>
        <v>1311750</v>
      </c>
      <c r="T6" s="14">
        <f>VLOOKUP(Tbl_Price_List[[#This Row],[Class_Type]],Tbl_Class_Pricelist[[Class_Type]:[MEDAN]],18,0)</f>
        <v>1311750</v>
      </c>
      <c r="U6" s="14">
        <f>VLOOKUP(Tbl_Price_List[[#This Row],[Class_Type]],Tbl_Class_Pricelist[[Class_Type]:[PADANG]],19,0)</f>
        <v>960000</v>
      </c>
      <c r="V6" s="14">
        <f>(12000*Product_Catalog!D6)</f>
        <v>4536000</v>
      </c>
      <c r="W6" s="14">
        <f>VLOOKUP(Tbl_Price_List[[#This Row],[Class_Type]],Tbl_Class_Pricelist[[Class_Type]:[PALEMBANG]],21,0)</f>
        <v>924000</v>
      </c>
      <c r="X6" s="14">
        <f>VLOOKUP(Tbl_Price_List[[#This Row],[Class_Type]],Tbl_Class_Pricelist[[Class_Type]:[PEKANBARU]],22,0)</f>
        <v>1062650</v>
      </c>
      <c r="Y6" s="14">
        <f>(5250*Product_Catalog!D6)</f>
        <v>1984500</v>
      </c>
      <c r="Z6" s="14">
        <f>VLOOKUP(Tbl_Price_List[[#This Row],[Class_Type]],Tbl_Class_Pricelist[[Class_Type]:[PURWOKERTO]],24,0)</f>
        <v>575000</v>
      </c>
      <c r="AA6" s="14">
        <f>(8400*Product_Catalog!D6)</f>
        <v>3175200</v>
      </c>
      <c r="AB6" s="14">
        <f>VLOOKUP(Tbl_Price_List[[#This Row],[Class_Type]],Tbl_Class_Pricelist[[Class_Type]:[SEMARANG]],26,0)</f>
        <v>328000</v>
      </c>
      <c r="AC6" s="14">
        <f>VLOOKUP(Tbl_Price_List[[#This Row],[Class_Type]],Tbl_Class_Pricelist[[Class_Type]:[SOLO]],27,0)</f>
        <v>402500</v>
      </c>
      <c r="AD6" s="14">
        <f>VLOOKUP(Tbl_Price_List[[#This Row],[Class_Type]],Tbl_Class_Pricelist[[Class_Type]:[SURABAYA]],28,0)</f>
        <v>413600</v>
      </c>
      <c r="AE6" s="14" t="str">
        <f>"Jakarta + Real Cost"</f>
        <v>Jakarta + Real Cost</v>
      </c>
      <c r="AF6" s="14">
        <f>VLOOKUP(Tbl_Price_List[[#This Row],[Class_Type]],Tbl_Class_Pricelist[[Class_Type]:[YOGYAKARTA]],30,0)</f>
        <v>328000</v>
      </c>
    </row>
    <row r="7" spans="1:32" ht="15" customHeight="1" x14ac:dyDescent="0.25">
      <c r="A7" s="6">
        <v>5</v>
      </c>
      <c r="B7" s="27" t="str">
        <f>VLOOKUP(Tbl_Price_List[[#This Row],[Product_Name]],Tbl_Prod_Catalog[[#This Row],[Product_Name]:[Class_Type]],8,0)</f>
        <v>Piano</v>
      </c>
      <c r="C7" s="25" t="s">
        <v>241</v>
      </c>
      <c r="D7" s="14">
        <f>VLOOKUP(Tbl_Price_List[[#This Row],[Class_Type]],Tbl_Class_Pricelist[[Class_Type]:[BALI]],2,0)</f>
        <v>1102500</v>
      </c>
      <c r="E7" s="14">
        <f>(7350*Product_Catalog!D7)</f>
        <v>3381000</v>
      </c>
      <c r="F7" s="14">
        <f>VLOOKUP(Tbl_Price_List[[#This Row],[Class_Type]],Tbl_Class_Pricelist[[Class_Type]:[BANDAR LAMPUNG]],4,0)</f>
        <v>834000</v>
      </c>
      <c r="G7" s="14">
        <f>VLOOKUP(Tbl_Price_List[[#This Row],[Class_Type]],Tbl_Class_Pricelist[[Class_Type]:[BANDUNG]],5,0)</f>
        <v>284600</v>
      </c>
      <c r="H7" s="14">
        <f>VLOOKUP(Tbl_Price_List[[#This Row],[Class_Type]],Tbl_Class_Pricelist[[Class_Type]:[BANGKA]],6,0)</f>
        <v>1062650</v>
      </c>
      <c r="I7" s="14">
        <f>(4725*Product_Catalog!D7)</f>
        <v>2173500</v>
      </c>
      <c r="J7" s="14">
        <f>VLOOKUP(Tbl_Price_List[[#This Row],[Class_Type]],Tbl_Class_Pricelist[[Class_Type]:[BATAM]],8,0)</f>
        <v>818500</v>
      </c>
      <c r="K7" s="14">
        <f>VLOOKUP(Tbl_Price_List[[#This Row],[Class_Type]],Tbl_Class_Pricelist[[Class_Type]:[BOGOR]],9,0)</f>
        <v>179500</v>
      </c>
      <c r="L7" s="14">
        <f>VLOOKUP(Tbl_Price_List[[#This Row],[Class_Type]],Tbl_Class_Pricelist[[Class_Type]:[CIREBON]],10,0)</f>
        <v>351900</v>
      </c>
      <c r="M7" s="14">
        <f>VLOOKUP(Tbl_Price_List[[#This Row],[Class_Type]],Tbl_Class_Pricelist[[Class_Type]:[JAMBI]],11,0)</f>
        <v>960000</v>
      </c>
      <c r="N7" s="14">
        <f>VLOOKUP(Tbl_Price_List[[#This Row],[Class_Type]],Tbl_Class_Pricelist[[Class_Type]:[JOMBANG]],12,0)</f>
        <v>769000</v>
      </c>
      <c r="O7" s="14">
        <f>VLOOKUP(Tbl_Price_List[[#This Row],[Class_Type]],Tbl_Class_Pricelist[[Class_Type]:[KUDUS]],13,0)</f>
        <v>575000</v>
      </c>
      <c r="P7" s="14">
        <f>VLOOKUP(Tbl_Price_List[[#This Row],[Class_Type]],Tbl_Class_Pricelist[[Class_Type]:[MAGELANG]],14,0)</f>
        <v>328000</v>
      </c>
      <c r="Q7" s="14">
        <f>VLOOKUP(Tbl_Price_List[[#This Row],[Class_Type]],Tbl_Class_Pricelist[[Class_Type]:[MAKASSAR]],15,0)</f>
        <v>1311750</v>
      </c>
      <c r="R7" s="14">
        <f>VLOOKUP(Tbl_Price_List[[#This Row],[Class_Type]],Tbl_Class_Pricelist[[Class_Type]:[MALANG]],16,0)</f>
        <v>570000</v>
      </c>
      <c r="S7" s="14">
        <f>VLOOKUP(Tbl_Price_List[[#This Row],[Class_Type]],Tbl_Class_Pricelist[[Class_Type]:[MANADO]],17,0)</f>
        <v>1311750</v>
      </c>
      <c r="T7" s="14">
        <f>VLOOKUP(Tbl_Price_List[[#This Row],[Class_Type]],Tbl_Class_Pricelist[[Class_Type]:[MEDAN]],18,0)</f>
        <v>1311750</v>
      </c>
      <c r="U7" s="14">
        <f>VLOOKUP(Tbl_Price_List[[#This Row],[Class_Type]],Tbl_Class_Pricelist[[Class_Type]:[PADANG]],19,0)</f>
        <v>960000</v>
      </c>
      <c r="V7" s="14">
        <f>(12000*Product_Catalog!D7)</f>
        <v>5520000</v>
      </c>
      <c r="W7" s="14">
        <f>VLOOKUP(Tbl_Price_List[[#This Row],[Class_Type]],Tbl_Class_Pricelist[[Class_Type]:[PALEMBANG]],21,0)</f>
        <v>924000</v>
      </c>
      <c r="X7" s="14">
        <f>VLOOKUP(Tbl_Price_List[[#This Row],[Class_Type]],Tbl_Class_Pricelist[[Class_Type]:[PEKANBARU]],22,0)</f>
        <v>1062650</v>
      </c>
      <c r="Y7" s="14">
        <f>(5250*Product_Catalog!D7)</f>
        <v>2415000</v>
      </c>
      <c r="Z7" s="14">
        <f>VLOOKUP(Tbl_Price_List[[#This Row],[Class_Type]],Tbl_Class_Pricelist[[Class_Type]:[PURWOKERTO]],24,0)</f>
        <v>575000</v>
      </c>
      <c r="AA7" s="14">
        <f>(8400*Product_Catalog!D7)</f>
        <v>3864000</v>
      </c>
      <c r="AB7" s="14">
        <f>VLOOKUP(Tbl_Price_List[[#This Row],[Class_Type]],Tbl_Class_Pricelist[[Class_Type]:[SEMARANG]],26,0)</f>
        <v>328000</v>
      </c>
      <c r="AC7" s="14">
        <f>VLOOKUP(Tbl_Price_List[[#This Row],[Class_Type]],Tbl_Class_Pricelist[[Class_Type]:[SOLO]],27,0)</f>
        <v>402500</v>
      </c>
      <c r="AD7" s="14">
        <f>VLOOKUP(Tbl_Price_List[[#This Row],[Class_Type]],Tbl_Class_Pricelist[[Class_Type]:[SURABAYA]],28,0)</f>
        <v>413600</v>
      </c>
      <c r="AE7" s="14" t="str">
        <f>"Jakarta + Real Cost"</f>
        <v>Jakarta + Real Cost</v>
      </c>
      <c r="AF7" s="14">
        <f>VLOOKUP(Tbl_Price_List[[#This Row],[Class_Type]],Tbl_Class_Pricelist[[Class_Type]:[YOGYAKARTA]],30,0)</f>
        <v>328000</v>
      </c>
    </row>
    <row r="8" spans="1:32" ht="15" customHeight="1" x14ac:dyDescent="0.25">
      <c r="A8" s="6">
        <v>6</v>
      </c>
      <c r="B8" s="27" t="str">
        <f>VLOOKUP(Tbl_Price_List[[#This Row],[Product_Name]],Tbl_Prod_Catalog[[#This Row],[Product_Name]:[Class_Type]],8,0)</f>
        <v>Piano</v>
      </c>
      <c r="C8" s="25" t="s">
        <v>244</v>
      </c>
      <c r="D8" s="14">
        <f>VLOOKUP(Tbl_Price_List[[#This Row],[Class_Type]],Tbl_Class_Pricelist[[Class_Type]:[BALI]],2,0)</f>
        <v>1102500</v>
      </c>
      <c r="E8" s="14">
        <f>(7350*Product_Catalog!D8)</f>
        <v>3961650</v>
      </c>
      <c r="F8" s="14">
        <f>VLOOKUP(Tbl_Price_List[[#This Row],[Class_Type]],Tbl_Class_Pricelist[[Class_Type]:[BANDAR LAMPUNG]],4,0)</f>
        <v>834000</v>
      </c>
      <c r="G8" s="14">
        <f>VLOOKUP(Tbl_Price_List[[#This Row],[Class_Type]],Tbl_Class_Pricelist[[Class_Type]:[BANDUNG]],5,0)</f>
        <v>284600</v>
      </c>
      <c r="H8" s="14">
        <f>VLOOKUP(Tbl_Price_List[[#This Row],[Class_Type]],Tbl_Class_Pricelist[[Class_Type]:[BANGKA]],6,0)</f>
        <v>1062650</v>
      </c>
      <c r="I8" s="14">
        <f>(4725*Product_Catalog!D8)</f>
        <v>2546775</v>
      </c>
      <c r="J8" s="14">
        <f>VLOOKUP(Tbl_Price_List[[#This Row],[Class_Type]],Tbl_Class_Pricelist[[Class_Type]:[BATAM]],8,0)</f>
        <v>818500</v>
      </c>
      <c r="K8" s="14">
        <f>VLOOKUP(Tbl_Price_List[[#This Row],[Class_Type]],Tbl_Class_Pricelist[[Class_Type]:[BOGOR]],9,0)</f>
        <v>179500</v>
      </c>
      <c r="L8" s="14">
        <f>VLOOKUP(Tbl_Price_List[[#This Row],[Class_Type]],Tbl_Class_Pricelist[[Class_Type]:[CIREBON]],10,0)</f>
        <v>351900</v>
      </c>
      <c r="M8" s="14">
        <f>VLOOKUP(Tbl_Price_List[[#This Row],[Class_Type]],Tbl_Class_Pricelist[[Class_Type]:[JAMBI]],11,0)</f>
        <v>960000</v>
      </c>
      <c r="N8" s="14">
        <f>VLOOKUP(Tbl_Price_List[[#This Row],[Class_Type]],Tbl_Class_Pricelist[[Class_Type]:[JOMBANG]],12,0)</f>
        <v>769000</v>
      </c>
      <c r="O8" s="14">
        <f>VLOOKUP(Tbl_Price_List[[#This Row],[Class_Type]],Tbl_Class_Pricelist[[Class_Type]:[KUDUS]],13,0)</f>
        <v>575000</v>
      </c>
      <c r="P8" s="14">
        <f>VLOOKUP(Tbl_Price_List[[#This Row],[Class_Type]],Tbl_Class_Pricelist[[Class_Type]:[MAGELANG]],14,0)</f>
        <v>328000</v>
      </c>
      <c r="Q8" s="14">
        <f>VLOOKUP(Tbl_Price_List[[#This Row],[Class_Type]],Tbl_Class_Pricelist[[Class_Type]:[MAKASSAR]],15,0)</f>
        <v>1311750</v>
      </c>
      <c r="R8" s="14">
        <f>VLOOKUP(Tbl_Price_List[[#This Row],[Class_Type]],Tbl_Class_Pricelist[[Class_Type]:[MALANG]],16,0)</f>
        <v>570000</v>
      </c>
      <c r="S8" s="14">
        <f>VLOOKUP(Tbl_Price_List[[#This Row],[Class_Type]],Tbl_Class_Pricelist[[Class_Type]:[MANADO]],17,0)</f>
        <v>1311750</v>
      </c>
      <c r="T8" s="14">
        <f>VLOOKUP(Tbl_Price_List[[#This Row],[Class_Type]],Tbl_Class_Pricelist[[Class_Type]:[MEDAN]],18,0)</f>
        <v>1311750</v>
      </c>
      <c r="U8" s="14">
        <f>VLOOKUP(Tbl_Price_List[[#This Row],[Class_Type]],Tbl_Class_Pricelist[[Class_Type]:[PADANG]],19,0)</f>
        <v>960000</v>
      </c>
      <c r="V8" s="14">
        <f>(12000*Product_Catalog!D8)</f>
        <v>6468000</v>
      </c>
      <c r="W8" s="14">
        <f>VLOOKUP(Tbl_Price_List[[#This Row],[Class_Type]],Tbl_Class_Pricelist[[Class_Type]:[PALEMBANG]],21,0)</f>
        <v>924000</v>
      </c>
      <c r="X8" s="14">
        <f>VLOOKUP(Tbl_Price_List[[#This Row],[Class_Type]],Tbl_Class_Pricelist[[Class_Type]:[PEKANBARU]],22,0)</f>
        <v>1062650</v>
      </c>
      <c r="Y8" s="14">
        <f>(5250*Product_Catalog!D8)</f>
        <v>2829750</v>
      </c>
      <c r="Z8" s="14">
        <f>VLOOKUP(Tbl_Price_List[[#This Row],[Class_Type]],Tbl_Class_Pricelist[[Class_Type]:[PURWOKERTO]],24,0)</f>
        <v>575000</v>
      </c>
      <c r="AA8" s="14">
        <f>(8400*Product_Catalog!D8)</f>
        <v>4527600</v>
      </c>
      <c r="AB8" s="14">
        <f>VLOOKUP(Tbl_Price_List[[#This Row],[Class_Type]],Tbl_Class_Pricelist[[Class_Type]:[SEMARANG]],26,0)</f>
        <v>328000</v>
      </c>
      <c r="AC8" s="14">
        <f>VLOOKUP(Tbl_Price_List[[#This Row],[Class_Type]],Tbl_Class_Pricelist[[Class_Type]:[SOLO]],27,0)</f>
        <v>402500</v>
      </c>
      <c r="AD8" s="14">
        <f>VLOOKUP(Tbl_Price_List[[#This Row],[Class_Type]],Tbl_Class_Pricelist[[Class_Type]:[SURABAYA]],28,0)</f>
        <v>413600</v>
      </c>
      <c r="AE8" s="14" t="str">
        <f>"Jakarta + Real Cost"</f>
        <v>Jakarta + Real Cost</v>
      </c>
      <c r="AF8" s="14">
        <f>VLOOKUP(Tbl_Price_List[[#This Row],[Class_Type]],Tbl_Class_Pricelist[[Class_Type]:[YOGYAKARTA]],30,0)</f>
        <v>328000</v>
      </c>
    </row>
    <row r="9" spans="1:32" ht="15" customHeight="1" x14ac:dyDescent="0.25">
      <c r="A9" s="6">
        <v>7</v>
      </c>
      <c r="B9" s="27" t="str">
        <f>VLOOKUP(Tbl_Price_List[[#This Row],[Product_Name]],Tbl_Prod_Catalog[[#This Row],[Product_Name]:[Class_Type]],8,0)</f>
        <v>Keyboard B (25kg less)</v>
      </c>
      <c r="C9" s="20" t="s">
        <v>253</v>
      </c>
      <c r="D9" s="21">
        <f>IF(Tbl_Price_List[[#This Row],[Class_Type]]="Keyboard B (25kg less)",VLOOKUP(Tbl_Price_List[[#This Row],[Class_Type]],Tbl_Class_Pricelist[[Class_Type]:[BALI]],2,0),9578*Tbl_Prod_Catalog[[#This Row],[Weight (kg)]])</f>
        <v>182000</v>
      </c>
      <c r="E9" s="21">
        <f>(7350*Product_Catalog!D9)</f>
        <v>271950</v>
      </c>
      <c r="F9" s="21">
        <f>IF(Tbl_Price_List[[#This Row],[Class_Type]]="Keyboard B (25kg less)",VLOOKUP(Tbl_Price_List[[#This Row],[Class_Type]],Tbl_Class_Pricelist[[Class_Type]:[BANDAR LAMPUNG]],4,0),4421*Tbl_Prod_Catalog[[#This Row],[Weight (kg)]])</f>
        <v>84000</v>
      </c>
      <c r="G9" s="21">
        <f>IF(Tbl_Price_List[[#This Row],[Class_Type]]="Keyboard B (25kg less)",VLOOKUP(Tbl_Price_List[[#This Row],[Class_Type]],Tbl_Class_Pricelist[[Class_Type]:[BANDUNG]],5,0),2460*Tbl_Prod_Catalog[[#This Row],[Weight (kg)]])</f>
        <v>46750</v>
      </c>
      <c r="H9" s="21">
        <f>IF(Tbl_Price_List[[#This Row],[Class_Type]]="Keyboard B (25kg less)",VLOOKUP(Tbl_Price_List[[#This Row],[Class_Type]],Tbl_Class_Pricelist[[Class_Type]:[BANGKA]],6,0),6736*Tbl_Prod_Catalog[[#This Row],[Weight (kg)]])</f>
        <v>128000</v>
      </c>
      <c r="I9" s="21">
        <f>(4725*Product_Catalog!D9)</f>
        <v>174825</v>
      </c>
      <c r="J9" s="21">
        <f>IF(Tbl_Price_List[[#This Row],[Class_Type]]="Keyboard B (25kg less)",VLOOKUP(Tbl_Price_List[[#This Row],[Class_Type]],Tbl_Class_Pricelist[[Class_Type]:[BATAM]],8,0),6736*Tbl_Prod_Catalog[[#This Row],[Weight (kg)]])</f>
        <v>128000</v>
      </c>
      <c r="K9" s="21">
        <f>IF(Tbl_Price_List[[#This Row],[Class_Type]]="Keyboard B (25kg less)",VLOOKUP(Tbl_Price_List[[#This Row],[Class_Type]],Tbl_Class_Pricelist[[Class_Type]:[BOGOR]],9,0),1921*Tbl_Prod_Catalog[[#This Row],[Weight (kg)]])</f>
        <v>36500</v>
      </c>
      <c r="L9" s="21">
        <f>IF(Tbl_Price_List[[#This Row],[Class_Type]]="Keyboard B (25kg less)",VLOOKUP(Tbl_Price_List[[#This Row],[Class_Type]],Tbl_Class_Pricelist[[Class_Type]:[CIREBON]],10,0),2815*Tbl_Prod_Catalog[[#This Row],[Weight (kg)]])</f>
        <v>51500</v>
      </c>
      <c r="M9" s="21">
        <f>IF(Tbl_Price_List[[#This Row],[Class_Type]]="Keyboard B (25kg less)",VLOOKUP(Tbl_Price_List[[#This Row],[Class_Type]],Tbl_Class_Pricelist[[Class_Type]:[JAMBI]],11,0),5857*Tbl_Prod_Catalog[[#This Row],[Weight (kg)]])</f>
        <v>107500</v>
      </c>
      <c r="N9" s="21">
        <f>IF(Tbl_Price_List[[#This Row],[Class_Type]]="Keyboard B (25kg less)",VLOOKUP(Tbl_Price_List[[#This Row],[Class_Type]],Tbl_Class_Pricelist[[Class_Type]:[JOMBANG]],12,0),6078*Tbl_Prod_Catalog[[#This Row],[Weight (kg)]])</f>
        <v>115500</v>
      </c>
      <c r="O9" s="21">
        <f>IF(Tbl_Price_List[[#This Row],[Class_Type]]="Keyboard B (25kg less)",VLOOKUP(Tbl_Price_List[[#This Row],[Class_Type]],Tbl_Class_Pricelist[[Class_Type]:[KUDUS]],13,0),4473*Tbl_Prod_Catalog[[#This Row],[Weight (kg)]])</f>
        <v>85000</v>
      </c>
      <c r="P9" s="21">
        <f>IF(Tbl_Price_List[[#This Row],[Class_Type]]="Keyboard B (25kg less)",VLOOKUP(Tbl_Price_List[[#This Row],[Class_Type]],Tbl_Class_Pricelist[[Class_Type]:[MAGELANG]],14,0),3078*Tbl_Prod_Catalog[[#This Row],[Weight (kg)]])</f>
        <v>58500</v>
      </c>
      <c r="Q9" s="21">
        <f>IF(Tbl_Price_List[[#This Row],[Class_Type]]="Keyboard B (25kg less)",VLOOKUP(Tbl_Price_List[[#This Row],[Class_Type]],Tbl_Class_Pricelist[[Class_Type]:[MAKASSAR]],15,0),7142*Tbl_Prod_Catalog[[#This Row],[Weight (kg)]])</f>
        <v>135700</v>
      </c>
      <c r="R9" s="21">
        <f>IF(Tbl_Price_List[[#This Row],[Class_Type]]="Keyboard B (25kg less)",VLOOKUP(Tbl_Price_List[[#This Row],[Class_Type]],Tbl_Class_Pricelist[[Class_Type]:[MALANG]],16,0),5868*Tbl_Prod_Catalog[[#This Row],[Weight (kg)]])</f>
        <v>111500</v>
      </c>
      <c r="S9" s="21">
        <f>IF(Tbl_Price_List[[#This Row],[Class_Type]]="Keyboard B (25kg less)",VLOOKUP(Tbl_Price_List[[#This Row],[Class_Type]],Tbl_Class_Pricelist[[Class_Type]:[MANADO]],17,0),7142*Tbl_Prod_Catalog[[#This Row],[Weight (kg)]])</f>
        <v>135700</v>
      </c>
      <c r="T9" s="21">
        <f>IF(Tbl_Price_List[[#This Row],[Class_Type]]="Keyboard B (25kg less)",VLOOKUP(Tbl_Price_List[[#This Row],[Class_Type]],Tbl_Class_Pricelist[[Class_Type]:[MEDAN]],18,0),7142*Tbl_Prod_Catalog[[#This Row],[Weight (kg)]])</f>
        <v>135700</v>
      </c>
      <c r="U9" s="21">
        <f>IF(Tbl_Price_List[[#This Row],[Class_Type]]="Keyboard B (25kg less)",VLOOKUP(Tbl_Price_List[[#This Row],[Class_Type]],Tbl_Class_Pricelist[[Class_Type]:[PADANG]],19,0),5657*Tbl_Prod_Catalog[[#This Row],[Weight (kg)]])</f>
        <v>107500</v>
      </c>
      <c r="V9" s="21">
        <f>(12000*Product_Catalog!D9)</f>
        <v>444000</v>
      </c>
      <c r="W9" s="21">
        <f>IF(Tbl_Price_List[[#This Row],[Class_Type]]="Keyboard B (25kg less)",VLOOKUP(Tbl_Price_List[[#This Row],[Class_Type]],Tbl_Class_Pricelist[[Class_Type]:[PALEMBANG]],21,0),5084*Tbl_Prod_Catalog[[#This Row],[Weight (kg)]])</f>
        <v>96600</v>
      </c>
      <c r="X9" s="21">
        <f>IF(Tbl_Price_List[[#This Row],[Class_Type]]="Keyboard B (25kg less)",VLOOKUP(Tbl_Price_List[[#This Row],[Class_Type]],Tbl_Class_Pricelist[[Class_Type]:[PEKANBARU]],22,0),6736*Tbl_Prod_Catalog[[#This Row],[Weight (kg)]])</f>
        <v>128000</v>
      </c>
      <c r="Y9" s="21">
        <f>(5250*Product_Catalog!D9)</f>
        <v>194250</v>
      </c>
      <c r="Z9" s="21">
        <f>IF(Tbl_Price_List[[#This Row],[Class_Type]]="Keyboard B (25kg less)",VLOOKUP(Tbl_Price_List[[#This Row],[Class_Type]],Tbl_Class_Pricelist[[Class_Type]:[PURWOKERTO]],24,0),4473*Tbl_Prod_Catalog[[#This Row],[Weight (kg)]])</f>
        <v>85000</v>
      </c>
      <c r="AA9" s="21">
        <f>(8400*Product_Catalog!D9)</f>
        <v>310800</v>
      </c>
      <c r="AB9" s="21">
        <f>IF(Tbl_Price_List[[#This Row],[Class_Type]]="Keyboard B (25kg less)",VLOOKUP(Tbl_Price_List[[#This Row],[Class_Type]],Tbl_Class_Pricelist[[Class_Type]:[SEMARANG]],26,0),3078*Tbl_Prod_Catalog[[#This Row],[Weight (kg)]])</f>
        <v>58500</v>
      </c>
      <c r="AC9" s="21">
        <f>IF(Tbl_Price_List[[#This Row],[Class_Type]]="Keyboard B (25kg less)",VLOOKUP(Tbl_Price_List[[#This Row],[Class_Type]],Tbl_Class_Pricelist[[Class_Type]:[SOLO]],27,0),3155*Tbl_Prod_Catalog[[#This Row],[Weight (kg)]])</f>
        <v>60000</v>
      </c>
      <c r="AD9" s="21">
        <f>IF(Tbl_Price_List[[#This Row],[Class_Type]]="Keyboard B (25kg less)",VLOOKUP(Tbl_Price_List[[#This Row],[Class_Type]],Tbl_Class_Pricelist[[Class_Type]:[SURABAYA]],28,0),3657*Tbl_Prod_Catalog[[#This Row],[Weight (kg)]])</f>
        <v>69500</v>
      </c>
      <c r="AE9" s="21" t="str">
        <f>"Jakarta + Real Cost"</f>
        <v>Jakarta + Real Cost</v>
      </c>
      <c r="AF9" s="21">
        <f>IF(Tbl_Price_List[[#This Row],[Class_Type]]="Keyboard B (25kg less)",VLOOKUP(Tbl_Price_List[[#This Row],[Class_Type]],Tbl_Class_Pricelist[[Class_Type]:[YOGYAKARTA]],30,0),3078*Tbl_Prod_Catalog[[#This Row],[Weight (kg)]])</f>
        <v>58500</v>
      </c>
    </row>
    <row r="10" spans="1:32" ht="15" customHeight="1" x14ac:dyDescent="0.25">
      <c r="A10" s="6">
        <v>8</v>
      </c>
      <c r="B10" s="27" t="str">
        <f>VLOOKUP(Tbl_Price_List[[#This Row],[Product_Name]],Tbl_Prod_Catalog[[#This Row],[Product_Name]:[Class_Type]],8,0)</f>
        <v>Keyboard B (25kg less)</v>
      </c>
      <c r="C10" t="s">
        <v>256</v>
      </c>
      <c r="D10" s="21">
        <f>IF(Tbl_Price_List[[#This Row],[Class_Type]]="Keyboard B (25kg less)",VLOOKUP(Tbl_Price_List[[#This Row],[Class_Type]],Tbl_Class_Pricelist[[Class_Type]:[BALI]],2,0),9578*Tbl_Prod_Catalog[[#This Row],[Weight (kg)]])</f>
        <v>182000</v>
      </c>
      <c r="E10" s="21">
        <f>(7350*Product_Catalog!D10)</f>
        <v>271950</v>
      </c>
      <c r="F10" s="21">
        <f>IF(Tbl_Price_List[[#This Row],[Class_Type]]="Keyboard B (25kg less)",VLOOKUP(Tbl_Price_List[[#This Row],[Class_Type]],Tbl_Class_Pricelist[[Class_Type]:[BANDAR LAMPUNG]],4,0),4421*Tbl_Prod_Catalog[[#This Row],[Weight (kg)]])</f>
        <v>84000</v>
      </c>
      <c r="G10" s="21">
        <f>IF(Tbl_Price_List[[#This Row],[Class_Type]]="Keyboard B (25kg less)",VLOOKUP(Tbl_Price_List[[#This Row],[Class_Type]],Tbl_Class_Pricelist[[Class_Type]:[BANDUNG]],5,0),2460*Tbl_Prod_Catalog[[#This Row],[Weight (kg)]])</f>
        <v>46750</v>
      </c>
      <c r="H10" s="21">
        <f>IF(Tbl_Price_List[[#This Row],[Class_Type]]="Keyboard B (25kg less)",VLOOKUP(Tbl_Price_List[[#This Row],[Class_Type]],Tbl_Class_Pricelist[[Class_Type]:[BANGKA]],6,0),6736*Tbl_Prod_Catalog[[#This Row],[Weight (kg)]])</f>
        <v>128000</v>
      </c>
      <c r="I10" s="21">
        <f>(4725*Product_Catalog!D10)</f>
        <v>174825</v>
      </c>
      <c r="J10" s="21">
        <f>IF(Tbl_Price_List[[#This Row],[Class_Type]]="Keyboard B (25kg less)",VLOOKUP(Tbl_Price_List[[#This Row],[Class_Type]],Tbl_Class_Pricelist[[Class_Type]:[BATAM]],8,0),6736*Tbl_Prod_Catalog[[#This Row],[Weight (kg)]])</f>
        <v>128000</v>
      </c>
      <c r="K10" s="21">
        <f>IF(Tbl_Price_List[[#This Row],[Class_Type]]="Keyboard B (25kg less)",VLOOKUP(Tbl_Price_List[[#This Row],[Class_Type]],Tbl_Class_Pricelist[[Class_Type]:[BOGOR]],9,0),1921*Tbl_Prod_Catalog[[#This Row],[Weight (kg)]])</f>
        <v>36500</v>
      </c>
      <c r="L10" s="21">
        <f>IF(Tbl_Price_List[[#This Row],[Class_Type]]="Keyboard B (25kg less)",VLOOKUP(Tbl_Price_List[[#This Row],[Class_Type]],Tbl_Class_Pricelist[[Class_Type]:[CIREBON]],10,0),2815*Tbl_Prod_Catalog[[#This Row],[Weight (kg)]])</f>
        <v>51500</v>
      </c>
      <c r="M10" s="21">
        <f>IF(Tbl_Price_List[[#This Row],[Class_Type]]="Keyboard B (25kg less)",VLOOKUP(Tbl_Price_List[[#This Row],[Class_Type]],Tbl_Class_Pricelist[[Class_Type]:[JAMBI]],11,0),5857*Tbl_Prod_Catalog[[#This Row],[Weight (kg)]])</f>
        <v>107500</v>
      </c>
      <c r="N10" s="21">
        <f>IF(Tbl_Price_List[[#This Row],[Class_Type]]="Keyboard B (25kg less)",VLOOKUP(Tbl_Price_List[[#This Row],[Class_Type]],Tbl_Class_Pricelist[[Class_Type]:[JOMBANG]],12,0),6078*Tbl_Prod_Catalog[[#This Row],[Weight (kg)]])</f>
        <v>115500</v>
      </c>
      <c r="O10" s="21">
        <f>IF(Tbl_Price_List[[#This Row],[Class_Type]]="Keyboard B (25kg less)",VLOOKUP(Tbl_Price_List[[#This Row],[Class_Type]],Tbl_Class_Pricelist[[Class_Type]:[KUDUS]],13,0),4473*Tbl_Prod_Catalog[[#This Row],[Weight (kg)]])</f>
        <v>85000</v>
      </c>
      <c r="P10" s="21">
        <f>IF(Tbl_Price_List[[#This Row],[Class_Type]]="Keyboard B (25kg less)",VLOOKUP(Tbl_Price_List[[#This Row],[Class_Type]],Tbl_Class_Pricelist[[Class_Type]:[MAGELANG]],14,0),3078*Tbl_Prod_Catalog[[#This Row],[Weight (kg)]])</f>
        <v>58500</v>
      </c>
      <c r="Q10" s="21">
        <f>IF(Tbl_Price_List[[#This Row],[Class_Type]]="Keyboard B (25kg less)",VLOOKUP(Tbl_Price_List[[#This Row],[Class_Type]],Tbl_Class_Pricelist[[Class_Type]:[MAKASSAR]],15,0),7142*Tbl_Prod_Catalog[[#This Row],[Weight (kg)]])</f>
        <v>135700</v>
      </c>
      <c r="R10" s="21">
        <f>IF(Tbl_Price_List[[#This Row],[Class_Type]]="Keyboard B (25kg less)",VLOOKUP(Tbl_Price_List[[#This Row],[Class_Type]],Tbl_Class_Pricelist[[Class_Type]:[MALANG]],16,0),5868*Tbl_Prod_Catalog[[#This Row],[Weight (kg)]])</f>
        <v>111500</v>
      </c>
      <c r="S10" s="21">
        <f>IF(Tbl_Price_List[[#This Row],[Class_Type]]="Keyboard B (25kg less)",VLOOKUP(Tbl_Price_List[[#This Row],[Class_Type]],Tbl_Class_Pricelist[[Class_Type]:[MANADO]],17,0),7142*Tbl_Prod_Catalog[[#This Row],[Weight (kg)]])</f>
        <v>135700</v>
      </c>
      <c r="T10" s="21">
        <f>IF(Tbl_Price_List[[#This Row],[Class_Type]]="Keyboard B (25kg less)",VLOOKUP(Tbl_Price_List[[#This Row],[Class_Type]],Tbl_Class_Pricelist[[Class_Type]:[MEDAN]],18,0),7142*Tbl_Prod_Catalog[[#This Row],[Weight (kg)]])</f>
        <v>135700</v>
      </c>
      <c r="U10" s="21">
        <f>IF(Tbl_Price_List[[#This Row],[Class_Type]]="Keyboard B (25kg less)",VLOOKUP(Tbl_Price_List[[#This Row],[Class_Type]],Tbl_Class_Pricelist[[Class_Type]:[PADANG]],19,0),5657*Tbl_Prod_Catalog[[#This Row],[Weight (kg)]])</f>
        <v>107500</v>
      </c>
      <c r="V10" s="21">
        <f>(12000*Product_Catalog!D10)</f>
        <v>444000</v>
      </c>
      <c r="W10" s="21">
        <f>IF(Tbl_Price_List[[#This Row],[Class_Type]]="Keyboard B (25kg less)",VLOOKUP(Tbl_Price_List[[#This Row],[Class_Type]],Tbl_Class_Pricelist[[Class_Type]:[PALEMBANG]],21,0),5084*Tbl_Prod_Catalog[[#This Row],[Weight (kg)]])</f>
        <v>96600</v>
      </c>
      <c r="X10" s="21">
        <f>IF(Tbl_Price_List[[#This Row],[Class_Type]]="Keyboard B (25kg less)",VLOOKUP(Tbl_Price_List[[#This Row],[Class_Type]],Tbl_Class_Pricelist[[Class_Type]:[PEKANBARU]],22,0),6736*Tbl_Prod_Catalog[[#This Row],[Weight (kg)]])</f>
        <v>128000</v>
      </c>
      <c r="Y10" s="21">
        <f>(5250*Product_Catalog!D10)</f>
        <v>194250</v>
      </c>
      <c r="Z10" s="21">
        <f>IF(Tbl_Price_List[[#This Row],[Class_Type]]="Keyboard B (25kg less)",VLOOKUP(Tbl_Price_List[[#This Row],[Class_Type]],Tbl_Class_Pricelist[[Class_Type]:[PURWOKERTO]],24,0),4473*Tbl_Prod_Catalog[[#This Row],[Weight (kg)]])</f>
        <v>85000</v>
      </c>
      <c r="AA10" s="21">
        <f>(8400*Product_Catalog!D10)</f>
        <v>310800</v>
      </c>
      <c r="AB10" s="21">
        <f>IF(Tbl_Price_List[[#This Row],[Class_Type]]="Keyboard B (25kg less)",VLOOKUP(Tbl_Price_List[[#This Row],[Class_Type]],Tbl_Class_Pricelist[[Class_Type]:[SEMARANG]],26,0),3078*Tbl_Prod_Catalog[[#This Row],[Weight (kg)]])</f>
        <v>58500</v>
      </c>
      <c r="AC10" s="21">
        <f>IF(Tbl_Price_List[[#This Row],[Class_Type]]="Keyboard B (25kg less)",VLOOKUP(Tbl_Price_List[[#This Row],[Class_Type]],Tbl_Class_Pricelist[[Class_Type]:[SOLO]],27,0),3155*Tbl_Prod_Catalog[[#This Row],[Weight (kg)]])</f>
        <v>60000</v>
      </c>
      <c r="AD10" s="21">
        <f>IF(Tbl_Price_List[[#This Row],[Class_Type]]="Keyboard B (25kg less)",VLOOKUP(Tbl_Price_List[[#This Row],[Class_Type]],Tbl_Class_Pricelist[[Class_Type]:[SURABAYA]],28,0),3657*Tbl_Prod_Catalog[[#This Row],[Weight (kg)]])</f>
        <v>69500</v>
      </c>
      <c r="AE10" s="21" t="str">
        <f>"Jakarta + Real Cost"</f>
        <v>Jakarta + Real Cost</v>
      </c>
      <c r="AF10" s="21">
        <f>IF(Tbl_Price_List[[#This Row],[Class_Type]]="Keyboard B (25kg less)",VLOOKUP(Tbl_Price_List[[#This Row],[Class_Type]],Tbl_Class_Pricelist[[Class_Type]:[YOGYAKARTA]],30,0),3078*Tbl_Prod_Catalog[[#This Row],[Weight (kg)]])</f>
        <v>58500</v>
      </c>
    </row>
    <row r="11" spans="1:32" ht="15" customHeight="1" x14ac:dyDescent="0.25">
      <c r="A11" s="6">
        <v>9</v>
      </c>
      <c r="B11" s="27" t="str">
        <f>VLOOKUP(Tbl_Price_List[[#This Row],[Product_Name]],Tbl_Prod_Catalog[[#This Row],[Product_Name]:[Class_Type]],8,0)</f>
        <v>Keyboard B (25kg less)</v>
      </c>
      <c r="C11" t="s">
        <v>257</v>
      </c>
      <c r="D11" s="21">
        <f>IF(Tbl_Price_List[[#This Row],[Class_Type]]="Keyboard B (25kg less)",VLOOKUP(Tbl_Price_List[[#This Row],[Class_Type]],Tbl_Class_Pricelist[[Class_Type]:[BALI]],2,0),9578*Tbl_Prod_Catalog[[#This Row],[Weight (kg)]])</f>
        <v>182000</v>
      </c>
      <c r="E11" s="21">
        <f>(7350*Product_Catalog!D11)</f>
        <v>205800</v>
      </c>
      <c r="F11" s="21">
        <f>IF(Tbl_Price_List[[#This Row],[Class_Type]]="Keyboard B (25kg less)",VLOOKUP(Tbl_Price_List[[#This Row],[Class_Type]],Tbl_Class_Pricelist[[Class_Type]:[BANDAR LAMPUNG]],4,0),4421*Tbl_Prod_Catalog[[#This Row],[Weight (kg)]])</f>
        <v>84000</v>
      </c>
      <c r="G11" s="21">
        <f>IF(Tbl_Price_List[[#This Row],[Class_Type]]="Keyboard B (25kg less)",VLOOKUP(Tbl_Price_List[[#This Row],[Class_Type]],Tbl_Class_Pricelist[[Class_Type]:[BANDUNG]],5,0),2460*Tbl_Prod_Catalog[[#This Row],[Weight (kg)]])</f>
        <v>46750</v>
      </c>
      <c r="H11" s="21">
        <f>IF(Tbl_Price_List[[#This Row],[Class_Type]]="Keyboard B (25kg less)",VLOOKUP(Tbl_Price_List[[#This Row],[Class_Type]],Tbl_Class_Pricelist[[Class_Type]:[BANGKA]],6,0),6736*Tbl_Prod_Catalog[[#This Row],[Weight (kg)]])</f>
        <v>128000</v>
      </c>
      <c r="I11" s="21">
        <f>(4725*Product_Catalog!D11)</f>
        <v>132300</v>
      </c>
      <c r="J11" s="21">
        <f>IF(Tbl_Price_List[[#This Row],[Class_Type]]="Keyboard B (25kg less)",VLOOKUP(Tbl_Price_List[[#This Row],[Class_Type]],Tbl_Class_Pricelist[[Class_Type]:[BATAM]],8,0),6736*Tbl_Prod_Catalog[[#This Row],[Weight (kg)]])</f>
        <v>128000</v>
      </c>
      <c r="K11" s="21">
        <f>IF(Tbl_Price_List[[#This Row],[Class_Type]]="Keyboard B (25kg less)",VLOOKUP(Tbl_Price_List[[#This Row],[Class_Type]],Tbl_Class_Pricelist[[Class_Type]:[BOGOR]],9,0),1921*Tbl_Prod_Catalog[[#This Row],[Weight (kg)]])</f>
        <v>36500</v>
      </c>
      <c r="L11" s="21">
        <f>IF(Tbl_Price_List[[#This Row],[Class_Type]]="Keyboard B (25kg less)",VLOOKUP(Tbl_Price_List[[#This Row],[Class_Type]],Tbl_Class_Pricelist[[Class_Type]:[CIREBON]],10,0),2815*Tbl_Prod_Catalog[[#This Row],[Weight (kg)]])</f>
        <v>51500</v>
      </c>
      <c r="M11" s="21">
        <f>IF(Tbl_Price_List[[#This Row],[Class_Type]]="Keyboard B (25kg less)",VLOOKUP(Tbl_Price_List[[#This Row],[Class_Type]],Tbl_Class_Pricelist[[Class_Type]:[JAMBI]],11,0),5857*Tbl_Prod_Catalog[[#This Row],[Weight (kg)]])</f>
        <v>107500</v>
      </c>
      <c r="N11" s="21">
        <f>IF(Tbl_Price_List[[#This Row],[Class_Type]]="Keyboard B (25kg less)",VLOOKUP(Tbl_Price_List[[#This Row],[Class_Type]],Tbl_Class_Pricelist[[Class_Type]:[JOMBANG]],12,0),6078*Tbl_Prod_Catalog[[#This Row],[Weight (kg)]])</f>
        <v>115500</v>
      </c>
      <c r="O11" s="21">
        <f>IF(Tbl_Price_List[[#This Row],[Class_Type]]="Keyboard B (25kg less)",VLOOKUP(Tbl_Price_List[[#This Row],[Class_Type]],Tbl_Class_Pricelist[[Class_Type]:[KUDUS]],13,0),4473*Tbl_Prod_Catalog[[#This Row],[Weight (kg)]])</f>
        <v>85000</v>
      </c>
      <c r="P11" s="21">
        <f>IF(Tbl_Price_List[[#This Row],[Class_Type]]="Keyboard B (25kg less)",VLOOKUP(Tbl_Price_List[[#This Row],[Class_Type]],Tbl_Class_Pricelist[[Class_Type]:[MAGELANG]],14,0),3078*Tbl_Prod_Catalog[[#This Row],[Weight (kg)]])</f>
        <v>58500</v>
      </c>
      <c r="Q11" s="21">
        <f>IF(Tbl_Price_List[[#This Row],[Class_Type]]="Keyboard B (25kg less)",VLOOKUP(Tbl_Price_List[[#This Row],[Class_Type]],Tbl_Class_Pricelist[[Class_Type]:[MAKASSAR]],15,0),7142*Tbl_Prod_Catalog[[#This Row],[Weight (kg)]])</f>
        <v>135700</v>
      </c>
      <c r="R11" s="21">
        <f>IF(Tbl_Price_List[[#This Row],[Class_Type]]="Keyboard B (25kg less)",VLOOKUP(Tbl_Price_List[[#This Row],[Class_Type]],Tbl_Class_Pricelist[[Class_Type]:[MALANG]],16,0),5868*Tbl_Prod_Catalog[[#This Row],[Weight (kg)]])</f>
        <v>111500</v>
      </c>
      <c r="S11" s="21">
        <f>IF(Tbl_Price_List[[#This Row],[Class_Type]]="Keyboard B (25kg less)",VLOOKUP(Tbl_Price_List[[#This Row],[Class_Type]],Tbl_Class_Pricelist[[Class_Type]:[MANADO]],17,0),7142*Tbl_Prod_Catalog[[#This Row],[Weight (kg)]])</f>
        <v>135700</v>
      </c>
      <c r="T11" s="21">
        <f>IF(Tbl_Price_List[[#This Row],[Class_Type]]="Keyboard B (25kg less)",VLOOKUP(Tbl_Price_List[[#This Row],[Class_Type]],Tbl_Class_Pricelist[[Class_Type]:[MEDAN]],18,0),7142*Tbl_Prod_Catalog[[#This Row],[Weight (kg)]])</f>
        <v>135700</v>
      </c>
      <c r="U11" s="21">
        <f>IF(Tbl_Price_List[[#This Row],[Class_Type]]="Keyboard B (25kg less)",VLOOKUP(Tbl_Price_List[[#This Row],[Class_Type]],Tbl_Class_Pricelist[[Class_Type]:[PADANG]],19,0),5657*Tbl_Prod_Catalog[[#This Row],[Weight (kg)]])</f>
        <v>107500</v>
      </c>
      <c r="V11" s="21">
        <f>(12000*Product_Catalog!D11)</f>
        <v>336000</v>
      </c>
      <c r="W11" s="21">
        <f>IF(Tbl_Price_List[[#This Row],[Class_Type]]="Keyboard B (25kg less)",VLOOKUP(Tbl_Price_List[[#This Row],[Class_Type]],Tbl_Class_Pricelist[[Class_Type]:[PALEMBANG]],21,0),5084*Tbl_Prod_Catalog[[#This Row],[Weight (kg)]])</f>
        <v>96600</v>
      </c>
      <c r="X11" s="21">
        <f>IF(Tbl_Price_List[[#This Row],[Class_Type]]="Keyboard B (25kg less)",VLOOKUP(Tbl_Price_List[[#This Row],[Class_Type]],Tbl_Class_Pricelist[[Class_Type]:[PEKANBARU]],22,0),6736*Tbl_Prod_Catalog[[#This Row],[Weight (kg)]])</f>
        <v>128000</v>
      </c>
      <c r="Y11" s="21">
        <f>(5250*Product_Catalog!D11)</f>
        <v>147000</v>
      </c>
      <c r="Z11" s="21">
        <f>IF(Tbl_Price_List[[#This Row],[Class_Type]]="Keyboard B (25kg less)",VLOOKUP(Tbl_Price_List[[#This Row],[Class_Type]],Tbl_Class_Pricelist[[Class_Type]:[PURWOKERTO]],24,0),4473*Tbl_Prod_Catalog[[#This Row],[Weight (kg)]])</f>
        <v>85000</v>
      </c>
      <c r="AA11" s="21">
        <f>(8400*Product_Catalog!D11)</f>
        <v>235200</v>
      </c>
      <c r="AB11" s="21">
        <f>IF(Tbl_Price_List[[#This Row],[Class_Type]]="Keyboard B (25kg less)",VLOOKUP(Tbl_Price_List[[#This Row],[Class_Type]],Tbl_Class_Pricelist[[Class_Type]:[SEMARANG]],26,0),3078*Tbl_Prod_Catalog[[#This Row],[Weight (kg)]])</f>
        <v>58500</v>
      </c>
      <c r="AC11" s="21">
        <f>IF(Tbl_Price_List[[#This Row],[Class_Type]]="Keyboard B (25kg less)",VLOOKUP(Tbl_Price_List[[#This Row],[Class_Type]],Tbl_Class_Pricelist[[Class_Type]:[SOLO]],27,0),3155*Tbl_Prod_Catalog[[#This Row],[Weight (kg)]])</f>
        <v>60000</v>
      </c>
      <c r="AD11" s="21">
        <f>IF(Tbl_Price_List[[#This Row],[Class_Type]]="Keyboard B (25kg less)",VLOOKUP(Tbl_Price_List[[#This Row],[Class_Type]],Tbl_Class_Pricelist[[Class_Type]:[SURABAYA]],28,0),3657*Tbl_Prod_Catalog[[#This Row],[Weight (kg)]])</f>
        <v>69500</v>
      </c>
      <c r="AE11" s="21" t="str">
        <f>"Jakarta + Real Cost"</f>
        <v>Jakarta + Real Cost</v>
      </c>
      <c r="AF11" s="21">
        <f>IF(Tbl_Price_List[[#This Row],[Class_Type]]="Keyboard B (25kg less)",VLOOKUP(Tbl_Price_List[[#This Row],[Class_Type]],Tbl_Class_Pricelist[[Class_Type]:[YOGYAKARTA]],30,0),3078*Tbl_Prod_Catalog[[#This Row],[Weight (kg)]])</f>
        <v>58500</v>
      </c>
    </row>
    <row r="12" spans="1:32" ht="15" customHeight="1" x14ac:dyDescent="0.25">
      <c r="A12" s="6">
        <v>10</v>
      </c>
      <c r="B12" s="27" t="str">
        <f>VLOOKUP(Tbl_Price_List[[#This Row],[Product_Name]],Tbl_Prod_Catalog[[#This Row],[Product_Name]:[Class_Type]],8,0)</f>
        <v>Keyboard B (25kg less)</v>
      </c>
      <c r="C12" t="s">
        <v>258</v>
      </c>
      <c r="D12" s="21">
        <f>IF(Tbl_Price_List[[#This Row],[Class_Type]]="Keyboard B (25kg less)",VLOOKUP(Tbl_Price_List[[#This Row],[Class_Type]],Tbl_Class_Pricelist[[Class_Type]:[BALI]],2,0),9578*Tbl_Prod_Catalog[[#This Row],[Weight (kg)]])</f>
        <v>182000</v>
      </c>
      <c r="E12" s="21">
        <f>(7350*Product_Catalog!D12)</f>
        <v>271950</v>
      </c>
      <c r="F12" s="21">
        <f>IF(Tbl_Price_List[[#This Row],[Class_Type]]="Keyboard B (25kg less)",VLOOKUP(Tbl_Price_List[[#This Row],[Class_Type]],Tbl_Class_Pricelist[[Class_Type]:[BANDAR LAMPUNG]],4,0),4421*Tbl_Prod_Catalog[[#This Row],[Weight (kg)]])</f>
        <v>84000</v>
      </c>
      <c r="G12" s="21">
        <f>IF(Tbl_Price_List[[#This Row],[Class_Type]]="Keyboard B (25kg less)",VLOOKUP(Tbl_Price_List[[#This Row],[Class_Type]],Tbl_Class_Pricelist[[Class_Type]:[BANDUNG]],5,0),2460*Tbl_Prod_Catalog[[#This Row],[Weight (kg)]])</f>
        <v>46750</v>
      </c>
      <c r="H12" s="21">
        <f>IF(Tbl_Price_List[[#This Row],[Class_Type]]="Keyboard B (25kg less)",VLOOKUP(Tbl_Price_List[[#This Row],[Class_Type]],Tbl_Class_Pricelist[[Class_Type]:[BANGKA]],6,0),6736*Tbl_Prod_Catalog[[#This Row],[Weight (kg)]])</f>
        <v>128000</v>
      </c>
      <c r="I12" s="21">
        <f>(4725*Product_Catalog!D12)</f>
        <v>174825</v>
      </c>
      <c r="J12" s="21">
        <f>IF(Tbl_Price_List[[#This Row],[Class_Type]]="Keyboard B (25kg less)",VLOOKUP(Tbl_Price_List[[#This Row],[Class_Type]],Tbl_Class_Pricelist[[Class_Type]:[BATAM]],8,0),6736*Tbl_Prod_Catalog[[#This Row],[Weight (kg)]])</f>
        <v>128000</v>
      </c>
      <c r="K12" s="21">
        <f>IF(Tbl_Price_List[[#This Row],[Class_Type]]="Keyboard B (25kg less)",VLOOKUP(Tbl_Price_List[[#This Row],[Class_Type]],Tbl_Class_Pricelist[[Class_Type]:[BOGOR]],9,0),1921*Tbl_Prod_Catalog[[#This Row],[Weight (kg)]])</f>
        <v>36500</v>
      </c>
      <c r="L12" s="21">
        <f>IF(Tbl_Price_List[[#This Row],[Class_Type]]="Keyboard B (25kg less)",VLOOKUP(Tbl_Price_List[[#This Row],[Class_Type]],Tbl_Class_Pricelist[[Class_Type]:[CIREBON]],10,0),2815*Tbl_Prod_Catalog[[#This Row],[Weight (kg)]])</f>
        <v>51500</v>
      </c>
      <c r="M12" s="21">
        <f>IF(Tbl_Price_List[[#This Row],[Class_Type]]="Keyboard B (25kg less)",VLOOKUP(Tbl_Price_List[[#This Row],[Class_Type]],Tbl_Class_Pricelist[[Class_Type]:[JAMBI]],11,0),5857*Tbl_Prod_Catalog[[#This Row],[Weight (kg)]])</f>
        <v>107500</v>
      </c>
      <c r="N12" s="21">
        <f>IF(Tbl_Price_List[[#This Row],[Class_Type]]="Keyboard B (25kg less)",VLOOKUP(Tbl_Price_List[[#This Row],[Class_Type]],Tbl_Class_Pricelist[[Class_Type]:[JOMBANG]],12,0),6078*Tbl_Prod_Catalog[[#This Row],[Weight (kg)]])</f>
        <v>115500</v>
      </c>
      <c r="O12" s="21">
        <f>IF(Tbl_Price_List[[#This Row],[Class_Type]]="Keyboard B (25kg less)",VLOOKUP(Tbl_Price_List[[#This Row],[Class_Type]],Tbl_Class_Pricelist[[Class_Type]:[KUDUS]],13,0),4473*Tbl_Prod_Catalog[[#This Row],[Weight (kg)]])</f>
        <v>85000</v>
      </c>
      <c r="P12" s="21">
        <f>IF(Tbl_Price_List[[#This Row],[Class_Type]]="Keyboard B (25kg less)",VLOOKUP(Tbl_Price_List[[#This Row],[Class_Type]],Tbl_Class_Pricelist[[Class_Type]:[MAGELANG]],14,0),3078*Tbl_Prod_Catalog[[#This Row],[Weight (kg)]])</f>
        <v>58500</v>
      </c>
      <c r="Q12" s="21">
        <f>IF(Tbl_Price_List[[#This Row],[Class_Type]]="Keyboard B (25kg less)",VLOOKUP(Tbl_Price_List[[#This Row],[Class_Type]],Tbl_Class_Pricelist[[Class_Type]:[MAKASSAR]],15,0),7142*Tbl_Prod_Catalog[[#This Row],[Weight (kg)]])</f>
        <v>135700</v>
      </c>
      <c r="R12" s="21">
        <f>IF(Tbl_Price_List[[#This Row],[Class_Type]]="Keyboard B (25kg less)",VLOOKUP(Tbl_Price_List[[#This Row],[Class_Type]],Tbl_Class_Pricelist[[Class_Type]:[MALANG]],16,0),5868*Tbl_Prod_Catalog[[#This Row],[Weight (kg)]])</f>
        <v>111500</v>
      </c>
      <c r="S12" s="21">
        <f>IF(Tbl_Price_List[[#This Row],[Class_Type]]="Keyboard B (25kg less)",VLOOKUP(Tbl_Price_List[[#This Row],[Class_Type]],Tbl_Class_Pricelist[[Class_Type]:[MANADO]],17,0),7142*Tbl_Prod_Catalog[[#This Row],[Weight (kg)]])</f>
        <v>135700</v>
      </c>
      <c r="T12" s="21">
        <f>IF(Tbl_Price_List[[#This Row],[Class_Type]]="Keyboard B (25kg less)",VLOOKUP(Tbl_Price_List[[#This Row],[Class_Type]],Tbl_Class_Pricelist[[Class_Type]:[MEDAN]],18,0),7142*Tbl_Prod_Catalog[[#This Row],[Weight (kg)]])</f>
        <v>135700</v>
      </c>
      <c r="U12" s="21">
        <f>IF(Tbl_Price_List[[#This Row],[Class_Type]]="Keyboard B (25kg less)",VLOOKUP(Tbl_Price_List[[#This Row],[Class_Type]],Tbl_Class_Pricelist[[Class_Type]:[PADANG]],19,0),5657*Tbl_Prod_Catalog[[#This Row],[Weight (kg)]])</f>
        <v>107500</v>
      </c>
      <c r="V12" s="21">
        <f>(12000*Product_Catalog!D12)</f>
        <v>444000</v>
      </c>
      <c r="W12" s="21">
        <f>IF(Tbl_Price_List[[#This Row],[Class_Type]]="Keyboard B (25kg less)",VLOOKUP(Tbl_Price_List[[#This Row],[Class_Type]],Tbl_Class_Pricelist[[Class_Type]:[PALEMBANG]],21,0),5084*Tbl_Prod_Catalog[[#This Row],[Weight (kg)]])</f>
        <v>96600</v>
      </c>
      <c r="X12" s="21">
        <f>IF(Tbl_Price_List[[#This Row],[Class_Type]]="Keyboard B (25kg less)",VLOOKUP(Tbl_Price_List[[#This Row],[Class_Type]],Tbl_Class_Pricelist[[Class_Type]:[PEKANBARU]],22,0),6736*Tbl_Prod_Catalog[[#This Row],[Weight (kg)]])</f>
        <v>128000</v>
      </c>
      <c r="Y12" s="21">
        <f>(5250*Product_Catalog!D12)</f>
        <v>194250</v>
      </c>
      <c r="Z12" s="21">
        <f>IF(Tbl_Price_List[[#This Row],[Class_Type]]="Keyboard B (25kg less)",VLOOKUP(Tbl_Price_List[[#This Row],[Class_Type]],Tbl_Class_Pricelist[[Class_Type]:[PURWOKERTO]],24,0),4473*Tbl_Prod_Catalog[[#This Row],[Weight (kg)]])</f>
        <v>85000</v>
      </c>
      <c r="AA12" s="21">
        <f>(8400*Product_Catalog!D12)</f>
        <v>310800</v>
      </c>
      <c r="AB12" s="21">
        <f>IF(Tbl_Price_List[[#This Row],[Class_Type]]="Keyboard B (25kg less)",VLOOKUP(Tbl_Price_List[[#This Row],[Class_Type]],Tbl_Class_Pricelist[[Class_Type]:[SEMARANG]],26,0),3078*Tbl_Prod_Catalog[[#This Row],[Weight (kg)]])</f>
        <v>58500</v>
      </c>
      <c r="AC12" s="21">
        <f>IF(Tbl_Price_List[[#This Row],[Class_Type]]="Keyboard B (25kg less)",VLOOKUP(Tbl_Price_List[[#This Row],[Class_Type]],Tbl_Class_Pricelist[[Class_Type]:[SOLO]],27,0),3155*Tbl_Prod_Catalog[[#This Row],[Weight (kg)]])</f>
        <v>60000</v>
      </c>
      <c r="AD12" s="21">
        <f>IF(Tbl_Price_List[[#This Row],[Class_Type]]="Keyboard B (25kg less)",VLOOKUP(Tbl_Price_List[[#This Row],[Class_Type]],Tbl_Class_Pricelist[[Class_Type]:[SURABAYA]],28,0),3657*Tbl_Prod_Catalog[[#This Row],[Weight (kg)]])</f>
        <v>69500</v>
      </c>
      <c r="AE12" s="21" t="str">
        <f>"Jakarta + Real Cost"</f>
        <v>Jakarta + Real Cost</v>
      </c>
      <c r="AF12" s="21">
        <f>IF(Tbl_Price_List[[#This Row],[Class_Type]]="Keyboard B (25kg less)",VLOOKUP(Tbl_Price_List[[#This Row],[Class_Type]],Tbl_Class_Pricelist[[Class_Type]:[YOGYAKARTA]],30,0),3078*Tbl_Prod_Catalog[[#This Row],[Weight (kg)]])</f>
        <v>58500</v>
      </c>
    </row>
    <row r="13" spans="1:32" ht="15" customHeight="1" x14ac:dyDescent="0.25">
      <c r="A13" s="6">
        <v>11</v>
      </c>
      <c r="B13" s="27" t="str">
        <f>VLOOKUP(Tbl_Price_List[[#This Row],[Product_Name]],Tbl_Prod_Catalog[[#This Row],[Product_Name]:[Class_Type]],8,0)</f>
        <v>Keyboard B (25kg less)</v>
      </c>
      <c r="C13" t="s">
        <v>259</v>
      </c>
      <c r="D13" s="21">
        <f>IF(Tbl_Price_List[[#This Row],[Class_Type]]="Keyboard B (25kg less)",VLOOKUP(Tbl_Price_List[[#This Row],[Class_Type]],Tbl_Class_Pricelist[[Class_Type]:[BALI]],2,0),9578*Tbl_Prod_Catalog[[#This Row],[Weight (kg)]])</f>
        <v>182000</v>
      </c>
      <c r="E13" s="21">
        <f>(7350*Product_Catalog!D13)</f>
        <v>132300</v>
      </c>
      <c r="F13" s="21">
        <f>IF(Tbl_Price_List[[#This Row],[Class_Type]]="Keyboard B (25kg less)",VLOOKUP(Tbl_Price_List[[#This Row],[Class_Type]],Tbl_Class_Pricelist[[Class_Type]:[BANDAR LAMPUNG]],4,0),4421*Tbl_Prod_Catalog[[#This Row],[Weight (kg)]])</f>
        <v>84000</v>
      </c>
      <c r="G13" s="21">
        <f>IF(Tbl_Price_List[[#This Row],[Class_Type]]="Keyboard B (25kg less)",VLOOKUP(Tbl_Price_List[[#This Row],[Class_Type]],Tbl_Class_Pricelist[[Class_Type]:[BANDUNG]],5,0),2460*Tbl_Prod_Catalog[[#This Row],[Weight (kg)]])</f>
        <v>46750</v>
      </c>
      <c r="H13" s="21">
        <f>IF(Tbl_Price_List[[#This Row],[Class_Type]]="Keyboard B (25kg less)",VLOOKUP(Tbl_Price_List[[#This Row],[Class_Type]],Tbl_Class_Pricelist[[Class_Type]:[BANGKA]],6,0),6736*Tbl_Prod_Catalog[[#This Row],[Weight (kg)]])</f>
        <v>128000</v>
      </c>
      <c r="I13" s="21">
        <f>(4725*Product_Catalog!D13)</f>
        <v>85050</v>
      </c>
      <c r="J13" s="21">
        <f>IF(Tbl_Price_List[[#This Row],[Class_Type]]="Keyboard B (25kg less)",VLOOKUP(Tbl_Price_List[[#This Row],[Class_Type]],Tbl_Class_Pricelist[[Class_Type]:[BATAM]],8,0),6736*Tbl_Prod_Catalog[[#This Row],[Weight (kg)]])</f>
        <v>128000</v>
      </c>
      <c r="K13" s="21">
        <f>IF(Tbl_Price_List[[#This Row],[Class_Type]]="Keyboard B (25kg less)",VLOOKUP(Tbl_Price_List[[#This Row],[Class_Type]],Tbl_Class_Pricelist[[Class_Type]:[BOGOR]],9,0),1921*Tbl_Prod_Catalog[[#This Row],[Weight (kg)]])</f>
        <v>36500</v>
      </c>
      <c r="L13" s="21">
        <f>IF(Tbl_Price_List[[#This Row],[Class_Type]]="Keyboard B (25kg less)",VLOOKUP(Tbl_Price_List[[#This Row],[Class_Type]],Tbl_Class_Pricelist[[Class_Type]:[CIREBON]],10,0),2815*Tbl_Prod_Catalog[[#This Row],[Weight (kg)]])</f>
        <v>51500</v>
      </c>
      <c r="M13" s="21">
        <f>IF(Tbl_Price_List[[#This Row],[Class_Type]]="Keyboard B (25kg less)",VLOOKUP(Tbl_Price_List[[#This Row],[Class_Type]],Tbl_Class_Pricelist[[Class_Type]:[JAMBI]],11,0),5857*Tbl_Prod_Catalog[[#This Row],[Weight (kg)]])</f>
        <v>107500</v>
      </c>
      <c r="N13" s="21">
        <f>IF(Tbl_Price_List[[#This Row],[Class_Type]]="Keyboard B (25kg less)",VLOOKUP(Tbl_Price_List[[#This Row],[Class_Type]],Tbl_Class_Pricelist[[Class_Type]:[JOMBANG]],12,0),6078*Tbl_Prod_Catalog[[#This Row],[Weight (kg)]])</f>
        <v>115500</v>
      </c>
      <c r="O13" s="21">
        <f>IF(Tbl_Price_List[[#This Row],[Class_Type]]="Keyboard B (25kg less)",VLOOKUP(Tbl_Price_List[[#This Row],[Class_Type]],Tbl_Class_Pricelist[[Class_Type]:[KUDUS]],13,0),4473*Tbl_Prod_Catalog[[#This Row],[Weight (kg)]])</f>
        <v>85000</v>
      </c>
      <c r="P13" s="21">
        <f>IF(Tbl_Price_List[[#This Row],[Class_Type]]="Keyboard B (25kg less)",VLOOKUP(Tbl_Price_List[[#This Row],[Class_Type]],Tbl_Class_Pricelist[[Class_Type]:[MAGELANG]],14,0),3078*Tbl_Prod_Catalog[[#This Row],[Weight (kg)]])</f>
        <v>58500</v>
      </c>
      <c r="Q13" s="21">
        <f>IF(Tbl_Price_List[[#This Row],[Class_Type]]="Keyboard B (25kg less)",VLOOKUP(Tbl_Price_List[[#This Row],[Class_Type]],Tbl_Class_Pricelist[[Class_Type]:[MAKASSAR]],15,0),7142*Tbl_Prod_Catalog[[#This Row],[Weight (kg)]])</f>
        <v>135700</v>
      </c>
      <c r="R13" s="21">
        <f>IF(Tbl_Price_List[[#This Row],[Class_Type]]="Keyboard B (25kg less)",VLOOKUP(Tbl_Price_List[[#This Row],[Class_Type]],Tbl_Class_Pricelist[[Class_Type]:[MALANG]],16,0),5868*Tbl_Prod_Catalog[[#This Row],[Weight (kg)]])</f>
        <v>111500</v>
      </c>
      <c r="S13" s="21">
        <f>IF(Tbl_Price_List[[#This Row],[Class_Type]]="Keyboard B (25kg less)",VLOOKUP(Tbl_Price_List[[#This Row],[Class_Type]],Tbl_Class_Pricelist[[Class_Type]:[MANADO]],17,0),7142*Tbl_Prod_Catalog[[#This Row],[Weight (kg)]])</f>
        <v>135700</v>
      </c>
      <c r="T13" s="21">
        <f>IF(Tbl_Price_List[[#This Row],[Class_Type]]="Keyboard B (25kg less)",VLOOKUP(Tbl_Price_List[[#This Row],[Class_Type]],Tbl_Class_Pricelist[[Class_Type]:[MEDAN]],18,0),7142*Tbl_Prod_Catalog[[#This Row],[Weight (kg)]])</f>
        <v>135700</v>
      </c>
      <c r="U13" s="21">
        <f>IF(Tbl_Price_List[[#This Row],[Class_Type]]="Keyboard B (25kg less)",VLOOKUP(Tbl_Price_List[[#This Row],[Class_Type]],Tbl_Class_Pricelist[[Class_Type]:[PADANG]],19,0),5657*Tbl_Prod_Catalog[[#This Row],[Weight (kg)]])</f>
        <v>107500</v>
      </c>
      <c r="V13" s="21">
        <f>(12000*Product_Catalog!D13)</f>
        <v>216000</v>
      </c>
      <c r="W13" s="21">
        <f>IF(Tbl_Price_List[[#This Row],[Class_Type]]="Keyboard B (25kg less)",VLOOKUP(Tbl_Price_List[[#This Row],[Class_Type]],Tbl_Class_Pricelist[[Class_Type]:[PALEMBANG]],21,0),5084*Tbl_Prod_Catalog[[#This Row],[Weight (kg)]])</f>
        <v>96600</v>
      </c>
      <c r="X13" s="21">
        <f>IF(Tbl_Price_List[[#This Row],[Class_Type]]="Keyboard B (25kg less)",VLOOKUP(Tbl_Price_List[[#This Row],[Class_Type]],Tbl_Class_Pricelist[[Class_Type]:[PEKANBARU]],22,0),6736*Tbl_Prod_Catalog[[#This Row],[Weight (kg)]])</f>
        <v>128000</v>
      </c>
      <c r="Y13" s="21">
        <f>(5250*Product_Catalog!D13)</f>
        <v>94500</v>
      </c>
      <c r="Z13" s="21">
        <f>IF(Tbl_Price_List[[#This Row],[Class_Type]]="Keyboard B (25kg less)",VLOOKUP(Tbl_Price_List[[#This Row],[Class_Type]],Tbl_Class_Pricelist[[Class_Type]:[PURWOKERTO]],24,0),4473*Tbl_Prod_Catalog[[#This Row],[Weight (kg)]])</f>
        <v>85000</v>
      </c>
      <c r="AA13" s="21">
        <f>(8400*Product_Catalog!D13)</f>
        <v>151200</v>
      </c>
      <c r="AB13" s="21">
        <f>IF(Tbl_Price_List[[#This Row],[Class_Type]]="Keyboard B (25kg less)",VLOOKUP(Tbl_Price_List[[#This Row],[Class_Type]],Tbl_Class_Pricelist[[Class_Type]:[SEMARANG]],26,0),3078*Tbl_Prod_Catalog[[#This Row],[Weight (kg)]])</f>
        <v>58500</v>
      </c>
      <c r="AC13" s="21">
        <f>IF(Tbl_Price_List[[#This Row],[Class_Type]]="Keyboard B (25kg less)",VLOOKUP(Tbl_Price_List[[#This Row],[Class_Type]],Tbl_Class_Pricelist[[Class_Type]:[SOLO]],27,0),3155*Tbl_Prod_Catalog[[#This Row],[Weight (kg)]])</f>
        <v>60000</v>
      </c>
      <c r="AD13" s="21">
        <f>IF(Tbl_Price_List[[#This Row],[Class_Type]]="Keyboard B (25kg less)",VLOOKUP(Tbl_Price_List[[#This Row],[Class_Type]],Tbl_Class_Pricelist[[Class_Type]:[SURABAYA]],28,0),3657*Tbl_Prod_Catalog[[#This Row],[Weight (kg)]])</f>
        <v>69500</v>
      </c>
      <c r="AE13" s="21" t="str">
        <f>"Jakarta + Real Cost"</f>
        <v>Jakarta + Real Cost</v>
      </c>
      <c r="AF13" s="21">
        <f>IF(Tbl_Price_List[[#This Row],[Class_Type]]="Keyboard B (25kg less)",VLOOKUP(Tbl_Price_List[[#This Row],[Class_Type]],Tbl_Class_Pricelist[[Class_Type]:[YOGYAKARTA]],30,0),3078*Tbl_Prod_Catalog[[#This Row],[Weight (kg)]])</f>
        <v>58500</v>
      </c>
    </row>
    <row r="14" spans="1:32" ht="15" customHeight="1" x14ac:dyDescent="0.25">
      <c r="A14" s="6">
        <v>12</v>
      </c>
      <c r="B14" s="27" t="str">
        <f>VLOOKUP(Tbl_Price_List[[#This Row],[Product_Name]],Tbl_Prod_Catalog[[#This Row],[Product_Name]:[Class_Type]],8,0)</f>
        <v>Keyboard B (25kg less)</v>
      </c>
      <c r="C14" t="s">
        <v>260</v>
      </c>
      <c r="D14" s="21">
        <f>IF(Tbl_Price_List[[#This Row],[Class_Type]]="Keyboard B (25kg less)",VLOOKUP(Tbl_Price_List[[#This Row],[Class_Type]],Tbl_Class_Pricelist[[Class_Type]:[BALI]],2,0),9578*Tbl_Prod_Catalog[[#This Row],[Weight (kg)]])</f>
        <v>182000</v>
      </c>
      <c r="E14" s="21">
        <f>(7350*Product_Catalog!D14)</f>
        <v>139650</v>
      </c>
      <c r="F14" s="21">
        <f>IF(Tbl_Price_List[[#This Row],[Class_Type]]="Keyboard B (25kg less)",VLOOKUP(Tbl_Price_List[[#This Row],[Class_Type]],Tbl_Class_Pricelist[[Class_Type]:[BANDAR LAMPUNG]],4,0),4421*Tbl_Prod_Catalog[[#This Row],[Weight (kg)]])</f>
        <v>84000</v>
      </c>
      <c r="G14" s="21">
        <f>IF(Tbl_Price_List[[#This Row],[Class_Type]]="Keyboard B (25kg less)",VLOOKUP(Tbl_Price_List[[#This Row],[Class_Type]],Tbl_Class_Pricelist[[Class_Type]:[BANDUNG]],5,0),2460*Tbl_Prod_Catalog[[#This Row],[Weight (kg)]])</f>
        <v>46750</v>
      </c>
      <c r="H14" s="21">
        <f>IF(Tbl_Price_List[[#This Row],[Class_Type]]="Keyboard B (25kg less)",VLOOKUP(Tbl_Price_List[[#This Row],[Class_Type]],Tbl_Class_Pricelist[[Class_Type]:[BANGKA]],6,0),6736*Tbl_Prod_Catalog[[#This Row],[Weight (kg)]])</f>
        <v>128000</v>
      </c>
      <c r="I14" s="21">
        <f>(4725*Product_Catalog!D14)</f>
        <v>89775</v>
      </c>
      <c r="J14" s="21">
        <f>IF(Tbl_Price_List[[#This Row],[Class_Type]]="Keyboard B (25kg less)",VLOOKUP(Tbl_Price_List[[#This Row],[Class_Type]],Tbl_Class_Pricelist[[Class_Type]:[BATAM]],8,0),6736*Tbl_Prod_Catalog[[#This Row],[Weight (kg)]])</f>
        <v>128000</v>
      </c>
      <c r="K14" s="21">
        <f>IF(Tbl_Price_List[[#This Row],[Class_Type]]="Keyboard B (25kg less)",VLOOKUP(Tbl_Price_List[[#This Row],[Class_Type]],Tbl_Class_Pricelist[[Class_Type]:[BOGOR]],9,0),1921*Tbl_Prod_Catalog[[#This Row],[Weight (kg)]])</f>
        <v>36500</v>
      </c>
      <c r="L14" s="21">
        <f>IF(Tbl_Price_List[[#This Row],[Class_Type]]="Keyboard B (25kg less)",VLOOKUP(Tbl_Price_List[[#This Row],[Class_Type]],Tbl_Class_Pricelist[[Class_Type]:[CIREBON]],10,0),2815*Tbl_Prod_Catalog[[#This Row],[Weight (kg)]])</f>
        <v>51500</v>
      </c>
      <c r="M14" s="21">
        <f>IF(Tbl_Price_List[[#This Row],[Class_Type]]="Keyboard B (25kg less)",VLOOKUP(Tbl_Price_List[[#This Row],[Class_Type]],Tbl_Class_Pricelist[[Class_Type]:[JAMBI]],11,0),5857*Tbl_Prod_Catalog[[#This Row],[Weight (kg)]])</f>
        <v>107500</v>
      </c>
      <c r="N14" s="21">
        <f>IF(Tbl_Price_List[[#This Row],[Class_Type]]="Keyboard B (25kg less)",VLOOKUP(Tbl_Price_List[[#This Row],[Class_Type]],Tbl_Class_Pricelist[[Class_Type]:[JOMBANG]],12,0),6078*Tbl_Prod_Catalog[[#This Row],[Weight (kg)]])</f>
        <v>115500</v>
      </c>
      <c r="O14" s="21">
        <f>IF(Tbl_Price_List[[#This Row],[Class_Type]]="Keyboard B (25kg less)",VLOOKUP(Tbl_Price_List[[#This Row],[Class_Type]],Tbl_Class_Pricelist[[Class_Type]:[KUDUS]],13,0),4473*Tbl_Prod_Catalog[[#This Row],[Weight (kg)]])</f>
        <v>85000</v>
      </c>
      <c r="P14" s="21">
        <f>IF(Tbl_Price_List[[#This Row],[Class_Type]]="Keyboard B (25kg less)",VLOOKUP(Tbl_Price_List[[#This Row],[Class_Type]],Tbl_Class_Pricelist[[Class_Type]:[MAGELANG]],14,0),3078*Tbl_Prod_Catalog[[#This Row],[Weight (kg)]])</f>
        <v>58500</v>
      </c>
      <c r="Q14" s="21">
        <f>IF(Tbl_Price_List[[#This Row],[Class_Type]]="Keyboard B (25kg less)",VLOOKUP(Tbl_Price_List[[#This Row],[Class_Type]],Tbl_Class_Pricelist[[Class_Type]:[MAKASSAR]],15,0),7142*Tbl_Prod_Catalog[[#This Row],[Weight (kg)]])</f>
        <v>135700</v>
      </c>
      <c r="R14" s="21">
        <f>IF(Tbl_Price_List[[#This Row],[Class_Type]]="Keyboard B (25kg less)",VLOOKUP(Tbl_Price_List[[#This Row],[Class_Type]],Tbl_Class_Pricelist[[Class_Type]:[MALANG]],16,0),5868*Tbl_Prod_Catalog[[#This Row],[Weight (kg)]])</f>
        <v>111500</v>
      </c>
      <c r="S14" s="21">
        <f>IF(Tbl_Price_List[[#This Row],[Class_Type]]="Keyboard B (25kg less)",VLOOKUP(Tbl_Price_List[[#This Row],[Class_Type]],Tbl_Class_Pricelist[[Class_Type]:[MANADO]],17,0),7142*Tbl_Prod_Catalog[[#This Row],[Weight (kg)]])</f>
        <v>135700</v>
      </c>
      <c r="T14" s="21">
        <f>IF(Tbl_Price_List[[#This Row],[Class_Type]]="Keyboard B (25kg less)",VLOOKUP(Tbl_Price_List[[#This Row],[Class_Type]],Tbl_Class_Pricelist[[Class_Type]:[MEDAN]],18,0),7142*Tbl_Prod_Catalog[[#This Row],[Weight (kg)]])</f>
        <v>135700</v>
      </c>
      <c r="U14" s="21">
        <f>IF(Tbl_Price_List[[#This Row],[Class_Type]]="Keyboard B (25kg less)",VLOOKUP(Tbl_Price_List[[#This Row],[Class_Type]],Tbl_Class_Pricelist[[Class_Type]:[PADANG]],19,0),5657*Tbl_Prod_Catalog[[#This Row],[Weight (kg)]])</f>
        <v>107500</v>
      </c>
      <c r="V14" s="21">
        <f>(12000*Product_Catalog!D14)</f>
        <v>228000</v>
      </c>
      <c r="W14" s="21">
        <f>IF(Tbl_Price_List[[#This Row],[Class_Type]]="Keyboard B (25kg less)",VLOOKUP(Tbl_Price_List[[#This Row],[Class_Type]],Tbl_Class_Pricelist[[Class_Type]:[PALEMBANG]],21,0),5084*Tbl_Prod_Catalog[[#This Row],[Weight (kg)]])</f>
        <v>96600</v>
      </c>
      <c r="X14" s="21">
        <f>IF(Tbl_Price_List[[#This Row],[Class_Type]]="Keyboard B (25kg less)",VLOOKUP(Tbl_Price_List[[#This Row],[Class_Type]],Tbl_Class_Pricelist[[Class_Type]:[PEKANBARU]],22,0),6736*Tbl_Prod_Catalog[[#This Row],[Weight (kg)]])</f>
        <v>128000</v>
      </c>
      <c r="Y14" s="21">
        <f>(5250*Product_Catalog!D14)</f>
        <v>99750</v>
      </c>
      <c r="Z14" s="21">
        <f>IF(Tbl_Price_List[[#This Row],[Class_Type]]="Keyboard B (25kg less)",VLOOKUP(Tbl_Price_List[[#This Row],[Class_Type]],Tbl_Class_Pricelist[[Class_Type]:[PURWOKERTO]],24,0),4473*Tbl_Prod_Catalog[[#This Row],[Weight (kg)]])</f>
        <v>85000</v>
      </c>
      <c r="AA14" s="21">
        <f>(8400*Product_Catalog!D14)</f>
        <v>159600</v>
      </c>
      <c r="AB14" s="21">
        <f>IF(Tbl_Price_List[[#This Row],[Class_Type]]="Keyboard B (25kg less)",VLOOKUP(Tbl_Price_List[[#This Row],[Class_Type]],Tbl_Class_Pricelist[[Class_Type]:[SEMARANG]],26,0),3078*Tbl_Prod_Catalog[[#This Row],[Weight (kg)]])</f>
        <v>58500</v>
      </c>
      <c r="AC14" s="21">
        <f>IF(Tbl_Price_List[[#This Row],[Class_Type]]="Keyboard B (25kg less)",VLOOKUP(Tbl_Price_List[[#This Row],[Class_Type]],Tbl_Class_Pricelist[[Class_Type]:[SOLO]],27,0),3155*Tbl_Prod_Catalog[[#This Row],[Weight (kg)]])</f>
        <v>60000</v>
      </c>
      <c r="AD14" s="21">
        <f>IF(Tbl_Price_List[[#This Row],[Class_Type]]="Keyboard B (25kg less)",VLOOKUP(Tbl_Price_List[[#This Row],[Class_Type]],Tbl_Class_Pricelist[[Class_Type]:[SURABAYA]],28,0),3657*Tbl_Prod_Catalog[[#This Row],[Weight (kg)]])</f>
        <v>69500</v>
      </c>
      <c r="AE14" s="21" t="str">
        <f>"Jakarta + Real Cost"</f>
        <v>Jakarta + Real Cost</v>
      </c>
      <c r="AF14" s="21">
        <f>IF(Tbl_Price_List[[#This Row],[Class_Type]]="Keyboard B (25kg less)",VLOOKUP(Tbl_Price_List[[#This Row],[Class_Type]],Tbl_Class_Pricelist[[Class_Type]:[YOGYAKARTA]],30,0),3078*Tbl_Prod_Catalog[[#This Row],[Weight (kg)]])</f>
        <v>58500</v>
      </c>
    </row>
    <row r="15" spans="1:32" ht="15" customHeight="1" x14ac:dyDescent="0.25">
      <c r="A15" s="6">
        <v>13</v>
      </c>
      <c r="B15" s="27" t="str">
        <f>VLOOKUP(Tbl_Price_List[[#This Row],[Product_Name]],Tbl_Prod_Catalog[[#This Row],[Product_Name]:[Class_Type]],8,0)</f>
        <v>Keyboard B (25kg less)</v>
      </c>
      <c r="C15" t="s">
        <v>261</v>
      </c>
      <c r="D15" s="21">
        <f>IF(Tbl_Price_List[[#This Row],[Class_Type]]="Keyboard B (25kg less)",VLOOKUP(Tbl_Price_List[[#This Row],[Class_Type]],Tbl_Class_Pricelist[[Class_Type]:[BALI]],2,0),9578*Tbl_Prod_Catalog[[#This Row],[Weight (kg)]])</f>
        <v>182000</v>
      </c>
      <c r="E15" s="21">
        <f>(7350*Product_Catalog!D15)</f>
        <v>198450</v>
      </c>
      <c r="F15" s="21">
        <f>IF(Tbl_Price_List[[#This Row],[Class_Type]]="Keyboard B (25kg less)",VLOOKUP(Tbl_Price_List[[#This Row],[Class_Type]],Tbl_Class_Pricelist[[Class_Type]:[BANDAR LAMPUNG]],4,0),4421*Tbl_Prod_Catalog[[#This Row],[Weight (kg)]])</f>
        <v>84000</v>
      </c>
      <c r="G15" s="21">
        <f>IF(Tbl_Price_List[[#This Row],[Class_Type]]="Keyboard B (25kg less)",VLOOKUP(Tbl_Price_List[[#This Row],[Class_Type]],Tbl_Class_Pricelist[[Class_Type]:[BANDUNG]],5,0),2460*Tbl_Prod_Catalog[[#This Row],[Weight (kg)]])</f>
        <v>46750</v>
      </c>
      <c r="H15" s="21">
        <f>IF(Tbl_Price_List[[#This Row],[Class_Type]]="Keyboard B (25kg less)",VLOOKUP(Tbl_Price_List[[#This Row],[Class_Type]],Tbl_Class_Pricelist[[Class_Type]:[BANGKA]],6,0),6736*Tbl_Prod_Catalog[[#This Row],[Weight (kg)]])</f>
        <v>128000</v>
      </c>
      <c r="I15" s="21">
        <f>(4725*Product_Catalog!D15)</f>
        <v>127575</v>
      </c>
      <c r="J15" s="21">
        <f>IF(Tbl_Price_List[[#This Row],[Class_Type]]="Keyboard B (25kg less)",VLOOKUP(Tbl_Price_List[[#This Row],[Class_Type]],Tbl_Class_Pricelist[[Class_Type]:[BATAM]],8,0),6736*Tbl_Prod_Catalog[[#This Row],[Weight (kg)]])</f>
        <v>128000</v>
      </c>
      <c r="K15" s="21">
        <f>IF(Tbl_Price_List[[#This Row],[Class_Type]]="Keyboard B (25kg less)",VLOOKUP(Tbl_Price_List[[#This Row],[Class_Type]],Tbl_Class_Pricelist[[Class_Type]:[BOGOR]],9,0),1921*Tbl_Prod_Catalog[[#This Row],[Weight (kg)]])</f>
        <v>36500</v>
      </c>
      <c r="L15" s="21">
        <f>IF(Tbl_Price_List[[#This Row],[Class_Type]]="Keyboard B (25kg less)",VLOOKUP(Tbl_Price_List[[#This Row],[Class_Type]],Tbl_Class_Pricelist[[Class_Type]:[CIREBON]],10,0),2815*Tbl_Prod_Catalog[[#This Row],[Weight (kg)]])</f>
        <v>51500</v>
      </c>
      <c r="M15" s="21">
        <f>IF(Tbl_Price_List[[#This Row],[Class_Type]]="Keyboard B (25kg less)",VLOOKUP(Tbl_Price_List[[#This Row],[Class_Type]],Tbl_Class_Pricelist[[Class_Type]:[JAMBI]],11,0),5857*Tbl_Prod_Catalog[[#This Row],[Weight (kg)]])</f>
        <v>107500</v>
      </c>
      <c r="N15" s="21">
        <f>IF(Tbl_Price_List[[#This Row],[Class_Type]]="Keyboard B (25kg less)",VLOOKUP(Tbl_Price_List[[#This Row],[Class_Type]],Tbl_Class_Pricelist[[Class_Type]:[JOMBANG]],12,0),6078*Tbl_Prod_Catalog[[#This Row],[Weight (kg)]])</f>
        <v>115500</v>
      </c>
      <c r="O15" s="21">
        <f>IF(Tbl_Price_List[[#This Row],[Class_Type]]="Keyboard B (25kg less)",VLOOKUP(Tbl_Price_List[[#This Row],[Class_Type]],Tbl_Class_Pricelist[[Class_Type]:[KUDUS]],13,0),4473*Tbl_Prod_Catalog[[#This Row],[Weight (kg)]])</f>
        <v>85000</v>
      </c>
      <c r="P15" s="21">
        <f>IF(Tbl_Price_List[[#This Row],[Class_Type]]="Keyboard B (25kg less)",VLOOKUP(Tbl_Price_List[[#This Row],[Class_Type]],Tbl_Class_Pricelist[[Class_Type]:[MAGELANG]],14,0),3078*Tbl_Prod_Catalog[[#This Row],[Weight (kg)]])</f>
        <v>58500</v>
      </c>
      <c r="Q15" s="21">
        <f>IF(Tbl_Price_List[[#This Row],[Class_Type]]="Keyboard B (25kg less)",VLOOKUP(Tbl_Price_List[[#This Row],[Class_Type]],Tbl_Class_Pricelist[[Class_Type]:[MAKASSAR]],15,0),7142*Tbl_Prod_Catalog[[#This Row],[Weight (kg)]])</f>
        <v>135700</v>
      </c>
      <c r="R15" s="21">
        <f>IF(Tbl_Price_List[[#This Row],[Class_Type]]="Keyboard B (25kg less)",VLOOKUP(Tbl_Price_List[[#This Row],[Class_Type]],Tbl_Class_Pricelist[[Class_Type]:[MALANG]],16,0),5868*Tbl_Prod_Catalog[[#This Row],[Weight (kg)]])</f>
        <v>111500</v>
      </c>
      <c r="S15" s="21">
        <f>IF(Tbl_Price_List[[#This Row],[Class_Type]]="Keyboard B (25kg less)",VLOOKUP(Tbl_Price_List[[#This Row],[Class_Type]],Tbl_Class_Pricelist[[Class_Type]:[MANADO]],17,0),7142*Tbl_Prod_Catalog[[#This Row],[Weight (kg)]])</f>
        <v>135700</v>
      </c>
      <c r="T15" s="21">
        <f>IF(Tbl_Price_List[[#This Row],[Class_Type]]="Keyboard B (25kg less)",VLOOKUP(Tbl_Price_List[[#This Row],[Class_Type]],Tbl_Class_Pricelist[[Class_Type]:[MEDAN]],18,0),7142*Tbl_Prod_Catalog[[#This Row],[Weight (kg)]])</f>
        <v>135700</v>
      </c>
      <c r="U15" s="21">
        <f>IF(Tbl_Price_List[[#This Row],[Class_Type]]="Keyboard B (25kg less)",VLOOKUP(Tbl_Price_List[[#This Row],[Class_Type]],Tbl_Class_Pricelist[[Class_Type]:[PADANG]],19,0),5657*Tbl_Prod_Catalog[[#This Row],[Weight (kg)]])</f>
        <v>107500</v>
      </c>
      <c r="V15" s="21">
        <f>(12000*Product_Catalog!D15)</f>
        <v>324000</v>
      </c>
      <c r="W15" s="21">
        <f>IF(Tbl_Price_List[[#This Row],[Class_Type]]="Keyboard B (25kg less)",VLOOKUP(Tbl_Price_List[[#This Row],[Class_Type]],Tbl_Class_Pricelist[[Class_Type]:[PALEMBANG]],21,0),5084*Tbl_Prod_Catalog[[#This Row],[Weight (kg)]])</f>
        <v>96600</v>
      </c>
      <c r="X15" s="21">
        <f>IF(Tbl_Price_List[[#This Row],[Class_Type]]="Keyboard B (25kg less)",VLOOKUP(Tbl_Price_List[[#This Row],[Class_Type]],Tbl_Class_Pricelist[[Class_Type]:[PEKANBARU]],22,0),6736*Tbl_Prod_Catalog[[#This Row],[Weight (kg)]])</f>
        <v>128000</v>
      </c>
      <c r="Y15" s="21">
        <f>(5250*Product_Catalog!D15)</f>
        <v>141750</v>
      </c>
      <c r="Z15" s="21">
        <f>IF(Tbl_Price_List[[#This Row],[Class_Type]]="Keyboard B (25kg less)",VLOOKUP(Tbl_Price_List[[#This Row],[Class_Type]],Tbl_Class_Pricelist[[Class_Type]:[PURWOKERTO]],24,0),4473*Tbl_Prod_Catalog[[#This Row],[Weight (kg)]])</f>
        <v>85000</v>
      </c>
      <c r="AA15" s="21">
        <f>(8400*Product_Catalog!D15)</f>
        <v>226800</v>
      </c>
      <c r="AB15" s="21">
        <f>IF(Tbl_Price_List[[#This Row],[Class_Type]]="Keyboard B (25kg less)",VLOOKUP(Tbl_Price_List[[#This Row],[Class_Type]],Tbl_Class_Pricelist[[Class_Type]:[SEMARANG]],26,0),3078*Tbl_Prod_Catalog[[#This Row],[Weight (kg)]])</f>
        <v>58500</v>
      </c>
      <c r="AC15" s="21">
        <f>IF(Tbl_Price_List[[#This Row],[Class_Type]]="Keyboard B (25kg less)",VLOOKUP(Tbl_Price_List[[#This Row],[Class_Type]],Tbl_Class_Pricelist[[Class_Type]:[SOLO]],27,0),3155*Tbl_Prod_Catalog[[#This Row],[Weight (kg)]])</f>
        <v>60000</v>
      </c>
      <c r="AD15" s="21">
        <f>IF(Tbl_Price_List[[#This Row],[Class_Type]]="Keyboard B (25kg less)",VLOOKUP(Tbl_Price_List[[#This Row],[Class_Type]],Tbl_Class_Pricelist[[Class_Type]:[SURABAYA]],28,0),3657*Tbl_Prod_Catalog[[#This Row],[Weight (kg)]])</f>
        <v>69500</v>
      </c>
      <c r="AE15" s="21" t="str">
        <f>"Jakarta + Real Cost"</f>
        <v>Jakarta + Real Cost</v>
      </c>
      <c r="AF15" s="21">
        <f>IF(Tbl_Price_List[[#This Row],[Class_Type]]="Keyboard B (25kg less)",VLOOKUP(Tbl_Price_List[[#This Row],[Class_Type]],Tbl_Class_Pricelist[[Class_Type]:[YOGYAKARTA]],30,0),3078*Tbl_Prod_Catalog[[#This Row],[Weight (kg)]])</f>
        <v>58500</v>
      </c>
    </row>
    <row r="16" spans="1:32" ht="15" customHeight="1" x14ac:dyDescent="0.25">
      <c r="A16" s="6">
        <v>14</v>
      </c>
      <c r="B16" s="27" t="str">
        <f>VLOOKUP(Tbl_Price_List[[#This Row],[Product_Name]],Tbl_Prod_Catalog[[#This Row],[Product_Name]:[Class_Type]],8,0)</f>
        <v>Keyboard B (25kg less)</v>
      </c>
      <c r="C16" t="s">
        <v>262</v>
      </c>
      <c r="D16" s="21">
        <f>IF(Tbl_Price_List[[#This Row],[Class_Type]]="Keyboard B (25kg less)",VLOOKUP(Tbl_Price_List[[#This Row],[Class_Type]],Tbl_Class_Pricelist[[Class_Type]:[BALI]],2,0),9578*Tbl_Prod_Catalog[[#This Row],[Weight (kg)]])</f>
        <v>182000</v>
      </c>
      <c r="E16" s="21">
        <f>(7350*Product_Catalog!D16)</f>
        <v>205800</v>
      </c>
      <c r="F16" s="21">
        <f>IF(Tbl_Price_List[[#This Row],[Class_Type]]="Keyboard B (25kg less)",VLOOKUP(Tbl_Price_List[[#This Row],[Class_Type]],Tbl_Class_Pricelist[[Class_Type]:[BANDAR LAMPUNG]],4,0),4421*Tbl_Prod_Catalog[[#This Row],[Weight (kg)]])</f>
        <v>84000</v>
      </c>
      <c r="G16" s="21">
        <f>IF(Tbl_Price_List[[#This Row],[Class_Type]]="Keyboard B (25kg less)",VLOOKUP(Tbl_Price_List[[#This Row],[Class_Type]],Tbl_Class_Pricelist[[Class_Type]:[BANDUNG]],5,0),2460*Tbl_Prod_Catalog[[#This Row],[Weight (kg)]])</f>
        <v>46750</v>
      </c>
      <c r="H16" s="21">
        <f>IF(Tbl_Price_List[[#This Row],[Class_Type]]="Keyboard B (25kg less)",VLOOKUP(Tbl_Price_List[[#This Row],[Class_Type]],Tbl_Class_Pricelist[[Class_Type]:[BANGKA]],6,0),6736*Tbl_Prod_Catalog[[#This Row],[Weight (kg)]])</f>
        <v>128000</v>
      </c>
      <c r="I16" s="21">
        <f>(4725*Product_Catalog!D16)</f>
        <v>132300</v>
      </c>
      <c r="J16" s="21">
        <f>IF(Tbl_Price_List[[#This Row],[Class_Type]]="Keyboard B (25kg less)",VLOOKUP(Tbl_Price_List[[#This Row],[Class_Type]],Tbl_Class_Pricelist[[Class_Type]:[BATAM]],8,0),6736*Tbl_Prod_Catalog[[#This Row],[Weight (kg)]])</f>
        <v>128000</v>
      </c>
      <c r="K16" s="21">
        <f>IF(Tbl_Price_List[[#This Row],[Class_Type]]="Keyboard B (25kg less)",VLOOKUP(Tbl_Price_List[[#This Row],[Class_Type]],Tbl_Class_Pricelist[[Class_Type]:[BOGOR]],9,0),1921*Tbl_Prod_Catalog[[#This Row],[Weight (kg)]])</f>
        <v>36500</v>
      </c>
      <c r="L16" s="21">
        <f>IF(Tbl_Price_List[[#This Row],[Class_Type]]="Keyboard B (25kg less)",VLOOKUP(Tbl_Price_List[[#This Row],[Class_Type]],Tbl_Class_Pricelist[[Class_Type]:[CIREBON]],10,0),2815*Tbl_Prod_Catalog[[#This Row],[Weight (kg)]])</f>
        <v>51500</v>
      </c>
      <c r="M16" s="21">
        <f>IF(Tbl_Price_List[[#This Row],[Class_Type]]="Keyboard B (25kg less)",VLOOKUP(Tbl_Price_List[[#This Row],[Class_Type]],Tbl_Class_Pricelist[[Class_Type]:[JAMBI]],11,0),5857*Tbl_Prod_Catalog[[#This Row],[Weight (kg)]])</f>
        <v>107500</v>
      </c>
      <c r="N16" s="21">
        <f>IF(Tbl_Price_List[[#This Row],[Class_Type]]="Keyboard B (25kg less)",VLOOKUP(Tbl_Price_List[[#This Row],[Class_Type]],Tbl_Class_Pricelist[[Class_Type]:[JOMBANG]],12,0),6078*Tbl_Prod_Catalog[[#This Row],[Weight (kg)]])</f>
        <v>115500</v>
      </c>
      <c r="O16" s="21">
        <f>IF(Tbl_Price_List[[#This Row],[Class_Type]]="Keyboard B (25kg less)",VLOOKUP(Tbl_Price_List[[#This Row],[Class_Type]],Tbl_Class_Pricelist[[Class_Type]:[KUDUS]],13,0),4473*Tbl_Prod_Catalog[[#This Row],[Weight (kg)]])</f>
        <v>85000</v>
      </c>
      <c r="P16" s="21">
        <f>IF(Tbl_Price_List[[#This Row],[Class_Type]]="Keyboard B (25kg less)",VLOOKUP(Tbl_Price_List[[#This Row],[Class_Type]],Tbl_Class_Pricelist[[Class_Type]:[MAGELANG]],14,0),3078*Tbl_Prod_Catalog[[#This Row],[Weight (kg)]])</f>
        <v>58500</v>
      </c>
      <c r="Q16" s="21">
        <f>IF(Tbl_Price_List[[#This Row],[Class_Type]]="Keyboard B (25kg less)",VLOOKUP(Tbl_Price_List[[#This Row],[Class_Type]],Tbl_Class_Pricelist[[Class_Type]:[MAKASSAR]],15,0),7142*Tbl_Prod_Catalog[[#This Row],[Weight (kg)]])</f>
        <v>135700</v>
      </c>
      <c r="R16" s="21">
        <f>IF(Tbl_Price_List[[#This Row],[Class_Type]]="Keyboard B (25kg less)",VLOOKUP(Tbl_Price_List[[#This Row],[Class_Type]],Tbl_Class_Pricelist[[Class_Type]:[MALANG]],16,0),5868*Tbl_Prod_Catalog[[#This Row],[Weight (kg)]])</f>
        <v>111500</v>
      </c>
      <c r="S16" s="21">
        <f>IF(Tbl_Price_List[[#This Row],[Class_Type]]="Keyboard B (25kg less)",VLOOKUP(Tbl_Price_List[[#This Row],[Class_Type]],Tbl_Class_Pricelist[[Class_Type]:[MANADO]],17,0),7142*Tbl_Prod_Catalog[[#This Row],[Weight (kg)]])</f>
        <v>135700</v>
      </c>
      <c r="T16" s="21">
        <f>IF(Tbl_Price_List[[#This Row],[Class_Type]]="Keyboard B (25kg less)",VLOOKUP(Tbl_Price_List[[#This Row],[Class_Type]],Tbl_Class_Pricelist[[Class_Type]:[MEDAN]],18,0),7142*Tbl_Prod_Catalog[[#This Row],[Weight (kg)]])</f>
        <v>135700</v>
      </c>
      <c r="U16" s="21">
        <f>IF(Tbl_Price_List[[#This Row],[Class_Type]]="Keyboard B (25kg less)",VLOOKUP(Tbl_Price_List[[#This Row],[Class_Type]],Tbl_Class_Pricelist[[Class_Type]:[PADANG]],19,0),5657*Tbl_Prod_Catalog[[#This Row],[Weight (kg)]])</f>
        <v>107500</v>
      </c>
      <c r="V16" s="21">
        <f>(12000*Product_Catalog!D16)</f>
        <v>336000</v>
      </c>
      <c r="W16" s="21">
        <f>IF(Tbl_Price_List[[#This Row],[Class_Type]]="Keyboard B (25kg less)",VLOOKUP(Tbl_Price_List[[#This Row],[Class_Type]],Tbl_Class_Pricelist[[Class_Type]:[PALEMBANG]],21,0),5084*Tbl_Prod_Catalog[[#This Row],[Weight (kg)]])</f>
        <v>96600</v>
      </c>
      <c r="X16" s="21">
        <f>IF(Tbl_Price_List[[#This Row],[Class_Type]]="Keyboard B (25kg less)",VLOOKUP(Tbl_Price_List[[#This Row],[Class_Type]],Tbl_Class_Pricelist[[Class_Type]:[PEKANBARU]],22,0),6736*Tbl_Prod_Catalog[[#This Row],[Weight (kg)]])</f>
        <v>128000</v>
      </c>
      <c r="Y16" s="21">
        <f>(5250*Product_Catalog!D16)</f>
        <v>147000</v>
      </c>
      <c r="Z16" s="21">
        <f>IF(Tbl_Price_List[[#This Row],[Class_Type]]="Keyboard B (25kg less)",VLOOKUP(Tbl_Price_List[[#This Row],[Class_Type]],Tbl_Class_Pricelist[[Class_Type]:[PURWOKERTO]],24,0),4473*Tbl_Prod_Catalog[[#This Row],[Weight (kg)]])</f>
        <v>85000</v>
      </c>
      <c r="AA16" s="21">
        <f>(8400*Product_Catalog!D16)</f>
        <v>235200</v>
      </c>
      <c r="AB16" s="21">
        <f>IF(Tbl_Price_List[[#This Row],[Class_Type]]="Keyboard B (25kg less)",VLOOKUP(Tbl_Price_List[[#This Row],[Class_Type]],Tbl_Class_Pricelist[[Class_Type]:[SEMARANG]],26,0),3078*Tbl_Prod_Catalog[[#This Row],[Weight (kg)]])</f>
        <v>58500</v>
      </c>
      <c r="AC16" s="21">
        <f>IF(Tbl_Price_List[[#This Row],[Class_Type]]="Keyboard B (25kg less)",VLOOKUP(Tbl_Price_List[[#This Row],[Class_Type]],Tbl_Class_Pricelist[[Class_Type]:[SOLO]],27,0),3155*Tbl_Prod_Catalog[[#This Row],[Weight (kg)]])</f>
        <v>60000</v>
      </c>
      <c r="AD16" s="21">
        <f>IF(Tbl_Price_List[[#This Row],[Class_Type]]="Keyboard B (25kg less)",VLOOKUP(Tbl_Price_List[[#This Row],[Class_Type]],Tbl_Class_Pricelist[[Class_Type]:[SURABAYA]],28,0),3657*Tbl_Prod_Catalog[[#This Row],[Weight (kg)]])</f>
        <v>69500</v>
      </c>
      <c r="AE16" s="21" t="str">
        <f>"Jakarta + Real Cost"</f>
        <v>Jakarta + Real Cost</v>
      </c>
      <c r="AF16" s="21">
        <f>IF(Tbl_Price_List[[#This Row],[Class_Type]]="Keyboard B (25kg less)",VLOOKUP(Tbl_Price_List[[#This Row],[Class_Type]],Tbl_Class_Pricelist[[Class_Type]:[YOGYAKARTA]],30,0),3078*Tbl_Prod_Catalog[[#This Row],[Weight (kg)]])</f>
        <v>58500</v>
      </c>
    </row>
    <row r="17" spans="1:32" ht="15" customHeight="1" x14ac:dyDescent="0.25">
      <c r="A17" s="6">
        <v>15</v>
      </c>
      <c r="B17" s="27" t="str">
        <f>VLOOKUP(Tbl_Price_List[[#This Row],[Product_Name]],Tbl_Prod_Catalog[[#This Row],[Product_Name]:[Class_Type]],8,0)</f>
        <v>Keyboard B (25kg less)</v>
      </c>
      <c r="C17" t="s">
        <v>263</v>
      </c>
      <c r="D17" s="21">
        <f>IF(Tbl_Price_List[[#This Row],[Class_Type]]="Keyboard B (25kg less)",VLOOKUP(Tbl_Price_List[[#This Row],[Class_Type]],Tbl_Class_Pricelist[[Class_Type]:[BALI]],2,0),9578*Tbl_Prod_Catalog[[#This Row],[Weight (kg)]])</f>
        <v>182000</v>
      </c>
      <c r="E17" s="21">
        <f>(7350*Product_Catalog!D17)</f>
        <v>330750</v>
      </c>
      <c r="F17" s="21">
        <f>IF(Tbl_Price_List[[#This Row],[Class_Type]]="Keyboard B (25kg less)",VLOOKUP(Tbl_Price_List[[#This Row],[Class_Type]],Tbl_Class_Pricelist[[Class_Type]:[BANDAR LAMPUNG]],4,0),4421*Tbl_Prod_Catalog[[#This Row],[Weight (kg)]])</f>
        <v>84000</v>
      </c>
      <c r="G17" s="21">
        <f>IF(Tbl_Price_List[[#This Row],[Class_Type]]="Keyboard B (25kg less)",VLOOKUP(Tbl_Price_List[[#This Row],[Class_Type]],Tbl_Class_Pricelist[[Class_Type]:[BANDUNG]],5,0),2460*Tbl_Prod_Catalog[[#This Row],[Weight (kg)]])</f>
        <v>46750</v>
      </c>
      <c r="H17" s="21">
        <f>IF(Tbl_Price_List[[#This Row],[Class_Type]]="Keyboard B (25kg less)",VLOOKUP(Tbl_Price_List[[#This Row],[Class_Type]],Tbl_Class_Pricelist[[Class_Type]:[BANGKA]],6,0),6736*Tbl_Prod_Catalog[[#This Row],[Weight (kg)]])</f>
        <v>128000</v>
      </c>
      <c r="I17" s="21">
        <f>(4725*Product_Catalog!D17)</f>
        <v>212625</v>
      </c>
      <c r="J17" s="21">
        <f>IF(Tbl_Price_List[[#This Row],[Class_Type]]="Keyboard B (25kg less)",VLOOKUP(Tbl_Price_List[[#This Row],[Class_Type]],Tbl_Class_Pricelist[[Class_Type]:[BATAM]],8,0),6736*Tbl_Prod_Catalog[[#This Row],[Weight (kg)]])</f>
        <v>128000</v>
      </c>
      <c r="K17" s="21">
        <f>IF(Tbl_Price_List[[#This Row],[Class_Type]]="Keyboard B (25kg less)",VLOOKUP(Tbl_Price_List[[#This Row],[Class_Type]],Tbl_Class_Pricelist[[Class_Type]:[BOGOR]],9,0),1921*Tbl_Prod_Catalog[[#This Row],[Weight (kg)]])</f>
        <v>36500</v>
      </c>
      <c r="L17" s="21">
        <f>IF(Tbl_Price_List[[#This Row],[Class_Type]]="Keyboard B (25kg less)",VLOOKUP(Tbl_Price_List[[#This Row],[Class_Type]],Tbl_Class_Pricelist[[Class_Type]:[CIREBON]],10,0),2815*Tbl_Prod_Catalog[[#This Row],[Weight (kg)]])</f>
        <v>51500</v>
      </c>
      <c r="M17" s="21">
        <f>IF(Tbl_Price_List[[#This Row],[Class_Type]]="Keyboard B (25kg less)",VLOOKUP(Tbl_Price_List[[#This Row],[Class_Type]],Tbl_Class_Pricelist[[Class_Type]:[JAMBI]],11,0),5857*Tbl_Prod_Catalog[[#This Row],[Weight (kg)]])</f>
        <v>107500</v>
      </c>
      <c r="N17" s="21">
        <f>IF(Tbl_Price_List[[#This Row],[Class_Type]]="Keyboard B (25kg less)",VLOOKUP(Tbl_Price_List[[#This Row],[Class_Type]],Tbl_Class_Pricelist[[Class_Type]:[JOMBANG]],12,0),6078*Tbl_Prod_Catalog[[#This Row],[Weight (kg)]])</f>
        <v>115500</v>
      </c>
      <c r="O17" s="21">
        <f>IF(Tbl_Price_List[[#This Row],[Class_Type]]="Keyboard B (25kg less)",VLOOKUP(Tbl_Price_List[[#This Row],[Class_Type]],Tbl_Class_Pricelist[[Class_Type]:[KUDUS]],13,0),4473*Tbl_Prod_Catalog[[#This Row],[Weight (kg)]])</f>
        <v>85000</v>
      </c>
      <c r="P17" s="21">
        <f>IF(Tbl_Price_List[[#This Row],[Class_Type]]="Keyboard B (25kg less)",VLOOKUP(Tbl_Price_List[[#This Row],[Class_Type]],Tbl_Class_Pricelist[[Class_Type]:[MAGELANG]],14,0),3078*Tbl_Prod_Catalog[[#This Row],[Weight (kg)]])</f>
        <v>58500</v>
      </c>
      <c r="Q17" s="21">
        <f>IF(Tbl_Price_List[[#This Row],[Class_Type]]="Keyboard B (25kg less)",VLOOKUP(Tbl_Price_List[[#This Row],[Class_Type]],Tbl_Class_Pricelist[[Class_Type]:[MAKASSAR]],15,0),7142*Tbl_Prod_Catalog[[#This Row],[Weight (kg)]])</f>
        <v>135700</v>
      </c>
      <c r="R17" s="21">
        <f>IF(Tbl_Price_List[[#This Row],[Class_Type]]="Keyboard B (25kg less)",VLOOKUP(Tbl_Price_List[[#This Row],[Class_Type]],Tbl_Class_Pricelist[[Class_Type]:[MALANG]],16,0),5868*Tbl_Prod_Catalog[[#This Row],[Weight (kg)]])</f>
        <v>111500</v>
      </c>
      <c r="S17" s="21">
        <f>IF(Tbl_Price_List[[#This Row],[Class_Type]]="Keyboard B (25kg less)",VLOOKUP(Tbl_Price_List[[#This Row],[Class_Type]],Tbl_Class_Pricelist[[Class_Type]:[MANADO]],17,0),7142*Tbl_Prod_Catalog[[#This Row],[Weight (kg)]])</f>
        <v>135700</v>
      </c>
      <c r="T17" s="21">
        <f>IF(Tbl_Price_List[[#This Row],[Class_Type]]="Keyboard B (25kg less)",VLOOKUP(Tbl_Price_List[[#This Row],[Class_Type]],Tbl_Class_Pricelist[[Class_Type]:[MEDAN]],18,0),7142*Tbl_Prod_Catalog[[#This Row],[Weight (kg)]])</f>
        <v>135700</v>
      </c>
      <c r="U17" s="21">
        <f>IF(Tbl_Price_List[[#This Row],[Class_Type]]="Keyboard B (25kg less)",VLOOKUP(Tbl_Price_List[[#This Row],[Class_Type]],Tbl_Class_Pricelist[[Class_Type]:[PADANG]],19,0),5657*Tbl_Prod_Catalog[[#This Row],[Weight (kg)]])</f>
        <v>107500</v>
      </c>
      <c r="V17" s="21">
        <f>(12000*Product_Catalog!D17)</f>
        <v>540000</v>
      </c>
      <c r="W17" s="21">
        <f>IF(Tbl_Price_List[[#This Row],[Class_Type]]="Keyboard B (25kg less)",VLOOKUP(Tbl_Price_List[[#This Row],[Class_Type]],Tbl_Class_Pricelist[[Class_Type]:[PALEMBANG]],21,0),5084*Tbl_Prod_Catalog[[#This Row],[Weight (kg)]])</f>
        <v>96600</v>
      </c>
      <c r="X17" s="21">
        <f>IF(Tbl_Price_List[[#This Row],[Class_Type]]="Keyboard B (25kg less)",VLOOKUP(Tbl_Price_List[[#This Row],[Class_Type]],Tbl_Class_Pricelist[[Class_Type]:[PEKANBARU]],22,0),6736*Tbl_Prod_Catalog[[#This Row],[Weight (kg)]])</f>
        <v>128000</v>
      </c>
      <c r="Y17" s="21">
        <f>(5250*Product_Catalog!D17)</f>
        <v>236250</v>
      </c>
      <c r="Z17" s="21">
        <f>IF(Tbl_Price_List[[#This Row],[Class_Type]]="Keyboard B (25kg less)",VLOOKUP(Tbl_Price_List[[#This Row],[Class_Type]],Tbl_Class_Pricelist[[Class_Type]:[PURWOKERTO]],24,0),4473*Tbl_Prod_Catalog[[#This Row],[Weight (kg)]])</f>
        <v>85000</v>
      </c>
      <c r="AA17" s="21">
        <f>(8400*Product_Catalog!D17)</f>
        <v>378000</v>
      </c>
      <c r="AB17" s="21">
        <f>IF(Tbl_Price_List[[#This Row],[Class_Type]]="Keyboard B (25kg less)",VLOOKUP(Tbl_Price_List[[#This Row],[Class_Type]],Tbl_Class_Pricelist[[Class_Type]:[SEMARANG]],26,0),3078*Tbl_Prod_Catalog[[#This Row],[Weight (kg)]])</f>
        <v>58500</v>
      </c>
      <c r="AC17" s="21">
        <f>IF(Tbl_Price_List[[#This Row],[Class_Type]]="Keyboard B (25kg less)",VLOOKUP(Tbl_Price_List[[#This Row],[Class_Type]],Tbl_Class_Pricelist[[Class_Type]:[SOLO]],27,0),3155*Tbl_Prod_Catalog[[#This Row],[Weight (kg)]])</f>
        <v>60000</v>
      </c>
      <c r="AD17" s="21">
        <f>IF(Tbl_Price_List[[#This Row],[Class_Type]]="Keyboard B (25kg less)",VLOOKUP(Tbl_Price_List[[#This Row],[Class_Type]],Tbl_Class_Pricelist[[Class_Type]:[SURABAYA]],28,0),3657*Tbl_Prod_Catalog[[#This Row],[Weight (kg)]])</f>
        <v>69500</v>
      </c>
      <c r="AE17" s="21" t="str">
        <f>"Jakarta + Real Cost"</f>
        <v>Jakarta + Real Cost</v>
      </c>
      <c r="AF17" s="21">
        <f>IF(Tbl_Price_List[[#This Row],[Class_Type]]="Keyboard B (25kg less)",VLOOKUP(Tbl_Price_List[[#This Row],[Class_Type]],Tbl_Class_Pricelist[[Class_Type]:[YOGYAKARTA]],30,0),3078*Tbl_Prod_Catalog[[#This Row],[Weight (kg)]])</f>
        <v>58500</v>
      </c>
    </row>
    <row r="18" spans="1:32" ht="15" customHeight="1" x14ac:dyDescent="0.25">
      <c r="A18" s="6">
        <v>16</v>
      </c>
      <c r="B18" s="27" t="str">
        <f>VLOOKUP(Tbl_Price_List[[#This Row],[Product_Name]],Tbl_Prod_Catalog[[#This Row],[Product_Name]:[Class_Type]],8,0)</f>
        <v>Keyboard A (25kg more)</v>
      </c>
      <c r="C18" t="s">
        <v>264</v>
      </c>
      <c r="D18" s="21">
        <f>IF(Tbl_Price_List[[#This Row],[Class_Type]]="Keyboard B (25kg less)",VLOOKUP(Tbl_Price_List[[#This Row],[Class_Type]],Tbl_Class_Pricelist[[Class_Type]:[BALI]],2,0),9578*Tbl_Prod_Catalog[[#This Row],[Weight (kg)]])</f>
        <v>287340</v>
      </c>
      <c r="E18" s="21">
        <f>(7350*Product_Catalog!D18)</f>
        <v>477750</v>
      </c>
      <c r="F18" s="21">
        <f>IF(Tbl_Price_List[[#This Row],[Class_Type]]="Keyboard B (25kg less)",VLOOKUP(Tbl_Price_List[[#This Row],[Class_Type]],Tbl_Class_Pricelist[[Class_Type]:[BANDAR LAMPUNG]],4,0),4421*Tbl_Prod_Catalog[[#This Row],[Weight (kg)]])</f>
        <v>132630</v>
      </c>
      <c r="G18" s="21">
        <f>IF(Tbl_Price_List[[#This Row],[Class_Type]]="Keyboard B (25kg less)",VLOOKUP(Tbl_Price_List[[#This Row],[Class_Type]],Tbl_Class_Pricelist[[Class_Type]:[BANDUNG]],5,0),2460*Tbl_Prod_Catalog[[#This Row],[Weight (kg)]])</f>
        <v>73800</v>
      </c>
      <c r="H18" s="21">
        <f>IF(Tbl_Price_List[[#This Row],[Class_Type]]="Keyboard B (25kg less)",VLOOKUP(Tbl_Price_List[[#This Row],[Class_Type]],Tbl_Class_Pricelist[[Class_Type]:[BANGKA]],6,0),6736*Tbl_Prod_Catalog[[#This Row],[Weight (kg)]])</f>
        <v>202080</v>
      </c>
      <c r="I18" s="21">
        <f>(4725*Product_Catalog!D18)</f>
        <v>307125</v>
      </c>
      <c r="J18" s="21">
        <f>IF(Tbl_Price_List[[#This Row],[Class_Type]]="Keyboard B (25kg less)",VLOOKUP(Tbl_Price_List[[#This Row],[Class_Type]],Tbl_Class_Pricelist[[Class_Type]:[BATAM]],8,0),6736*Tbl_Prod_Catalog[[#This Row],[Weight (kg)]])</f>
        <v>202080</v>
      </c>
      <c r="K18" s="21">
        <f>IF(Tbl_Price_List[[#This Row],[Class_Type]]="Keyboard B (25kg less)",VLOOKUP(Tbl_Price_List[[#This Row],[Class_Type]],Tbl_Class_Pricelist[[Class_Type]:[BOGOR]],9,0),1921*Tbl_Prod_Catalog[[#This Row],[Weight (kg)]])</f>
        <v>57630</v>
      </c>
      <c r="L18" s="21">
        <f>IF(Tbl_Price_List[[#This Row],[Class_Type]]="Keyboard B (25kg less)",VLOOKUP(Tbl_Price_List[[#This Row],[Class_Type]],Tbl_Class_Pricelist[[Class_Type]:[CIREBON]],10,0),2815*Tbl_Prod_Catalog[[#This Row],[Weight (kg)]])</f>
        <v>84450</v>
      </c>
      <c r="M18" s="21">
        <f>IF(Tbl_Price_List[[#This Row],[Class_Type]]="Keyboard B (25kg less)",VLOOKUP(Tbl_Price_List[[#This Row],[Class_Type]],Tbl_Class_Pricelist[[Class_Type]:[JAMBI]],11,0),5857*Tbl_Prod_Catalog[[#This Row],[Weight (kg)]])</f>
        <v>175710</v>
      </c>
      <c r="N18" s="21">
        <f>IF(Tbl_Price_List[[#This Row],[Class_Type]]="Keyboard B (25kg less)",VLOOKUP(Tbl_Price_List[[#This Row],[Class_Type]],Tbl_Class_Pricelist[[Class_Type]:[JOMBANG]],12,0),6078*Tbl_Prod_Catalog[[#This Row],[Weight (kg)]])</f>
        <v>182340</v>
      </c>
      <c r="O18" s="21">
        <f>IF(Tbl_Price_List[[#This Row],[Class_Type]]="Keyboard B (25kg less)",VLOOKUP(Tbl_Price_List[[#This Row],[Class_Type]],Tbl_Class_Pricelist[[Class_Type]:[KUDUS]],13,0),4473*Tbl_Prod_Catalog[[#This Row],[Weight (kg)]])</f>
        <v>134190</v>
      </c>
      <c r="P18" s="21">
        <f>IF(Tbl_Price_List[[#This Row],[Class_Type]]="Keyboard B (25kg less)",VLOOKUP(Tbl_Price_List[[#This Row],[Class_Type]],Tbl_Class_Pricelist[[Class_Type]:[MAGELANG]],14,0),3078*Tbl_Prod_Catalog[[#This Row],[Weight (kg)]])</f>
        <v>92340</v>
      </c>
      <c r="Q18" s="21">
        <f>IF(Tbl_Price_List[[#This Row],[Class_Type]]="Keyboard B (25kg less)",VLOOKUP(Tbl_Price_List[[#This Row],[Class_Type]],Tbl_Class_Pricelist[[Class_Type]:[MAKASSAR]],15,0),7142*Tbl_Prod_Catalog[[#This Row],[Weight (kg)]])</f>
        <v>214260</v>
      </c>
      <c r="R18" s="21">
        <f>IF(Tbl_Price_List[[#This Row],[Class_Type]]="Keyboard B (25kg less)",VLOOKUP(Tbl_Price_List[[#This Row],[Class_Type]],Tbl_Class_Pricelist[[Class_Type]:[MALANG]],16,0),5868*Tbl_Prod_Catalog[[#This Row],[Weight (kg)]])</f>
        <v>176040</v>
      </c>
      <c r="S18" s="21">
        <f>IF(Tbl_Price_List[[#This Row],[Class_Type]]="Keyboard B (25kg less)",VLOOKUP(Tbl_Price_List[[#This Row],[Class_Type]],Tbl_Class_Pricelist[[Class_Type]:[MANADO]],17,0),7142*Tbl_Prod_Catalog[[#This Row],[Weight (kg)]])</f>
        <v>214260</v>
      </c>
      <c r="T18" s="21">
        <f>IF(Tbl_Price_List[[#This Row],[Class_Type]]="Keyboard B (25kg less)",VLOOKUP(Tbl_Price_List[[#This Row],[Class_Type]],Tbl_Class_Pricelist[[Class_Type]:[MEDAN]],18,0),7142*Tbl_Prod_Catalog[[#This Row],[Weight (kg)]])</f>
        <v>214260</v>
      </c>
      <c r="U18" s="21">
        <f>IF(Tbl_Price_List[[#This Row],[Class_Type]]="Keyboard B (25kg less)",VLOOKUP(Tbl_Price_List[[#This Row],[Class_Type]],Tbl_Class_Pricelist[[Class_Type]:[PADANG]],19,0),5657*Tbl_Prod_Catalog[[#This Row],[Weight (kg)]])</f>
        <v>169710</v>
      </c>
      <c r="V18" s="21">
        <f>(12000*Product_Catalog!D18)</f>
        <v>780000</v>
      </c>
      <c r="W18" s="21">
        <f>IF(Tbl_Price_List[[#This Row],[Class_Type]]="Keyboard B (25kg less)",VLOOKUP(Tbl_Price_List[[#This Row],[Class_Type]],Tbl_Class_Pricelist[[Class_Type]:[PALEMBANG]],21,0),5084*Tbl_Prod_Catalog[[#This Row],[Weight (kg)]])</f>
        <v>152520</v>
      </c>
      <c r="X18" s="21">
        <f>IF(Tbl_Price_List[[#This Row],[Class_Type]]="Keyboard B (25kg less)",VLOOKUP(Tbl_Price_List[[#This Row],[Class_Type]],Tbl_Class_Pricelist[[Class_Type]:[PEKANBARU]],22,0),6736*Tbl_Prod_Catalog[[#This Row],[Weight (kg)]])</f>
        <v>202080</v>
      </c>
      <c r="Y18" s="21">
        <f>(5250*Product_Catalog!D18)</f>
        <v>341250</v>
      </c>
      <c r="Z18" s="21">
        <f>IF(Tbl_Price_List[[#This Row],[Class_Type]]="Keyboard B (25kg less)",VLOOKUP(Tbl_Price_List[[#This Row],[Class_Type]],Tbl_Class_Pricelist[[Class_Type]:[PURWOKERTO]],24,0),4473*Tbl_Prod_Catalog[[#This Row],[Weight (kg)]])</f>
        <v>134190</v>
      </c>
      <c r="AA18" s="21">
        <f>(8400*Product_Catalog!D18)</f>
        <v>546000</v>
      </c>
      <c r="AB18" s="21">
        <f>IF(Tbl_Price_List[[#This Row],[Class_Type]]="Keyboard B (25kg less)",VLOOKUP(Tbl_Price_List[[#This Row],[Class_Type]],Tbl_Class_Pricelist[[Class_Type]:[SEMARANG]],26,0),3078*Tbl_Prod_Catalog[[#This Row],[Weight (kg)]])</f>
        <v>92340</v>
      </c>
      <c r="AC18" s="21">
        <f>IF(Tbl_Price_List[[#This Row],[Class_Type]]="Keyboard B (25kg less)",VLOOKUP(Tbl_Price_List[[#This Row],[Class_Type]],Tbl_Class_Pricelist[[Class_Type]:[SOLO]],27,0),3155*Tbl_Prod_Catalog[[#This Row],[Weight (kg)]])</f>
        <v>94650</v>
      </c>
      <c r="AD18" s="21">
        <f>IF(Tbl_Price_List[[#This Row],[Class_Type]]="Keyboard B (25kg less)",VLOOKUP(Tbl_Price_List[[#This Row],[Class_Type]],Tbl_Class_Pricelist[[Class_Type]:[SURABAYA]],28,0),3657*Tbl_Prod_Catalog[[#This Row],[Weight (kg)]])</f>
        <v>109710</v>
      </c>
      <c r="AE18" s="21" t="str">
        <f>"Jakarta + Real Cost"</f>
        <v>Jakarta + Real Cost</v>
      </c>
      <c r="AF18" s="21">
        <f>IF(Tbl_Price_List[[#This Row],[Class_Type]]="Keyboard B (25kg less)",VLOOKUP(Tbl_Price_List[[#This Row],[Class_Type]],Tbl_Class_Pricelist[[Class_Type]:[YOGYAKARTA]],30,0),3078*Tbl_Prod_Catalog[[#This Row],[Weight (kg)]])</f>
        <v>92340</v>
      </c>
    </row>
    <row r="19" spans="1:32" ht="15" customHeight="1" x14ac:dyDescent="0.25">
      <c r="A19" s="6">
        <v>17</v>
      </c>
      <c r="B19" s="27" t="str">
        <f>VLOOKUP(Tbl_Price_List[[#This Row],[Product_Name]],Tbl_Prod_Catalog[[#This Row],[Product_Name]:[Class_Type]],8,0)</f>
        <v>Keyboard A (25kg more)</v>
      </c>
      <c r="C19" t="s">
        <v>265</v>
      </c>
      <c r="D19" s="21">
        <f>IF(Tbl_Price_List[[#This Row],[Class_Type]]="Keyboard B (25kg less)",VLOOKUP(Tbl_Price_List[[#This Row],[Class_Type]],Tbl_Class_Pricelist[[Class_Type]:[BALI]],2,0),9578*Tbl_Prod_Catalog[[#This Row],[Weight (kg)]])</f>
        <v>363964</v>
      </c>
      <c r="E19" s="21">
        <f>(7350*Product_Catalog!D19)</f>
        <v>529200</v>
      </c>
      <c r="F19" s="21">
        <f>IF(Tbl_Price_List[[#This Row],[Class_Type]]="Keyboard B (25kg less)",VLOOKUP(Tbl_Price_List[[#This Row],[Class_Type]],Tbl_Class_Pricelist[[Class_Type]:[BANDAR LAMPUNG]],4,0),4421*Tbl_Prod_Catalog[[#This Row],[Weight (kg)]])</f>
        <v>167998</v>
      </c>
      <c r="G19" s="21">
        <f>IF(Tbl_Price_List[[#This Row],[Class_Type]]="Keyboard B (25kg less)",VLOOKUP(Tbl_Price_List[[#This Row],[Class_Type]],Tbl_Class_Pricelist[[Class_Type]:[BANDUNG]],5,0),2460*Tbl_Prod_Catalog[[#This Row],[Weight (kg)]])</f>
        <v>93480</v>
      </c>
      <c r="H19" s="21">
        <f>IF(Tbl_Price_List[[#This Row],[Class_Type]]="Keyboard B (25kg less)",VLOOKUP(Tbl_Price_List[[#This Row],[Class_Type]],Tbl_Class_Pricelist[[Class_Type]:[BANGKA]],6,0),6736*Tbl_Prod_Catalog[[#This Row],[Weight (kg)]])</f>
        <v>255968</v>
      </c>
      <c r="I19" s="21">
        <f>(4725*Product_Catalog!D19)</f>
        <v>340200</v>
      </c>
      <c r="J19" s="21">
        <f>IF(Tbl_Price_List[[#This Row],[Class_Type]]="Keyboard B (25kg less)",VLOOKUP(Tbl_Price_List[[#This Row],[Class_Type]],Tbl_Class_Pricelist[[Class_Type]:[BATAM]],8,0),6736*Tbl_Prod_Catalog[[#This Row],[Weight (kg)]])</f>
        <v>255968</v>
      </c>
      <c r="K19" s="21">
        <f>IF(Tbl_Price_List[[#This Row],[Class_Type]]="Keyboard B (25kg less)",VLOOKUP(Tbl_Price_List[[#This Row],[Class_Type]],Tbl_Class_Pricelist[[Class_Type]:[BOGOR]],9,0),1921*Tbl_Prod_Catalog[[#This Row],[Weight (kg)]])</f>
        <v>72998</v>
      </c>
      <c r="L19" s="21">
        <f>IF(Tbl_Price_List[[#This Row],[Class_Type]]="Keyboard B (25kg less)",VLOOKUP(Tbl_Price_List[[#This Row],[Class_Type]],Tbl_Class_Pricelist[[Class_Type]:[CIREBON]],10,0),2815*Tbl_Prod_Catalog[[#This Row],[Weight (kg)]])</f>
        <v>106970</v>
      </c>
      <c r="M19" s="21">
        <f>IF(Tbl_Price_List[[#This Row],[Class_Type]]="Keyboard B (25kg less)",VLOOKUP(Tbl_Price_List[[#This Row],[Class_Type]],Tbl_Class_Pricelist[[Class_Type]:[JAMBI]],11,0),5857*Tbl_Prod_Catalog[[#This Row],[Weight (kg)]])</f>
        <v>222566</v>
      </c>
      <c r="N19" s="21">
        <f>IF(Tbl_Price_List[[#This Row],[Class_Type]]="Keyboard B (25kg less)",VLOOKUP(Tbl_Price_List[[#This Row],[Class_Type]],Tbl_Class_Pricelist[[Class_Type]:[JOMBANG]],12,0),6078*Tbl_Prod_Catalog[[#This Row],[Weight (kg)]])</f>
        <v>230964</v>
      </c>
      <c r="O19" s="21">
        <f>IF(Tbl_Price_List[[#This Row],[Class_Type]]="Keyboard B (25kg less)",VLOOKUP(Tbl_Price_List[[#This Row],[Class_Type]],Tbl_Class_Pricelist[[Class_Type]:[KUDUS]],13,0),4473*Tbl_Prod_Catalog[[#This Row],[Weight (kg)]])</f>
        <v>169974</v>
      </c>
      <c r="P19" s="21">
        <f>IF(Tbl_Price_List[[#This Row],[Class_Type]]="Keyboard B (25kg less)",VLOOKUP(Tbl_Price_List[[#This Row],[Class_Type]],Tbl_Class_Pricelist[[Class_Type]:[MAGELANG]],14,0),3078*Tbl_Prod_Catalog[[#This Row],[Weight (kg)]])</f>
        <v>116964</v>
      </c>
      <c r="Q19" s="21">
        <f>IF(Tbl_Price_List[[#This Row],[Class_Type]]="Keyboard B (25kg less)",VLOOKUP(Tbl_Price_List[[#This Row],[Class_Type]],Tbl_Class_Pricelist[[Class_Type]:[MAKASSAR]],15,0),7142*Tbl_Prod_Catalog[[#This Row],[Weight (kg)]])</f>
        <v>271396</v>
      </c>
      <c r="R19" s="21">
        <f>IF(Tbl_Price_List[[#This Row],[Class_Type]]="Keyboard B (25kg less)",VLOOKUP(Tbl_Price_List[[#This Row],[Class_Type]],Tbl_Class_Pricelist[[Class_Type]:[MALANG]],16,0),5868*Tbl_Prod_Catalog[[#This Row],[Weight (kg)]])</f>
        <v>222984</v>
      </c>
      <c r="S19" s="21">
        <f>IF(Tbl_Price_List[[#This Row],[Class_Type]]="Keyboard B (25kg less)",VLOOKUP(Tbl_Price_List[[#This Row],[Class_Type]],Tbl_Class_Pricelist[[Class_Type]:[MANADO]],17,0),7142*Tbl_Prod_Catalog[[#This Row],[Weight (kg)]])</f>
        <v>271396</v>
      </c>
      <c r="T19" s="21">
        <f>IF(Tbl_Price_List[[#This Row],[Class_Type]]="Keyboard B (25kg less)",VLOOKUP(Tbl_Price_List[[#This Row],[Class_Type]],Tbl_Class_Pricelist[[Class_Type]:[MEDAN]],18,0),7142*Tbl_Prod_Catalog[[#This Row],[Weight (kg)]])</f>
        <v>271396</v>
      </c>
      <c r="U19" s="21">
        <f>IF(Tbl_Price_List[[#This Row],[Class_Type]]="Keyboard B (25kg less)",VLOOKUP(Tbl_Price_List[[#This Row],[Class_Type]],Tbl_Class_Pricelist[[Class_Type]:[PADANG]],19,0),5657*Tbl_Prod_Catalog[[#This Row],[Weight (kg)]])</f>
        <v>214966</v>
      </c>
      <c r="V19" s="21">
        <f>(12000*Product_Catalog!D19)</f>
        <v>864000</v>
      </c>
      <c r="W19" s="21">
        <f>IF(Tbl_Price_List[[#This Row],[Class_Type]]="Keyboard B (25kg less)",VLOOKUP(Tbl_Price_List[[#This Row],[Class_Type]],Tbl_Class_Pricelist[[Class_Type]:[PALEMBANG]],21,0),5084*Tbl_Prod_Catalog[[#This Row],[Weight (kg)]])</f>
        <v>193192</v>
      </c>
      <c r="X19" s="21">
        <f>IF(Tbl_Price_List[[#This Row],[Class_Type]]="Keyboard B (25kg less)",VLOOKUP(Tbl_Price_List[[#This Row],[Class_Type]],Tbl_Class_Pricelist[[Class_Type]:[PEKANBARU]],22,0),6736*Tbl_Prod_Catalog[[#This Row],[Weight (kg)]])</f>
        <v>255968</v>
      </c>
      <c r="Y19" s="21">
        <f>(5250*Product_Catalog!D19)</f>
        <v>378000</v>
      </c>
      <c r="Z19" s="21">
        <f>IF(Tbl_Price_List[[#This Row],[Class_Type]]="Keyboard B (25kg less)",VLOOKUP(Tbl_Price_List[[#This Row],[Class_Type]],Tbl_Class_Pricelist[[Class_Type]:[PURWOKERTO]],24,0),4473*Tbl_Prod_Catalog[[#This Row],[Weight (kg)]])</f>
        <v>169974</v>
      </c>
      <c r="AA19" s="21">
        <f>(8400*Product_Catalog!D19)</f>
        <v>604800</v>
      </c>
      <c r="AB19" s="21">
        <f>IF(Tbl_Price_List[[#This Row],[Class_Type]]="Keyboard B (25kg less)",VLOOKUP(Tbl_Price_List[[#This Row],[Class_Type]],Tbl_Class_Pricelist[[Class_Type]:[SEMARANG]],26,0),3078*Tbl_Prod_Catalog[[#This Row],[Weight (kg)]])</f>
        <v>116964</v>
      </c>
      <c r="AC19" s="21">
        <f>IF(Tbl_Price_List[[#This Row],[Class_Type]]="Keyboard B (25kg less)",VLOOKUP(Tbl_Price_List[[#This Row],[Class_Type]],Tbl_Class_Pricelist[[Class_Type]:[SOLO]],27,0),3155*Tbl_Prod_Catalog[[#This Row],[Weight (kg)]])</f>
        <v>119890</v>
      </c>
      <c r="AD19" s="21">
        <f>IF(Tbl_Price_List[[#This Row],[Class_Type]]="Keyboard B (25kg less)",VLOOKUP(Tbl_Price_List[[#This Row],[Class_Type]],Tbl_Class_Pricelist[[Class_Type]:[SURABAYA]],28,0),3657*Tbl_Prod_Catalog[[#This Row],[Weight (kg)]])</f>
        <v>138966</v>
      </c>
      <c r="AE19" s="21" t="str">
        <f>"Jakarta + Real Cost"</f>
        <v>Jakarta + Real Cost</v>
      </c>
      <c r="AF19" s="21">
        <f>IF(Tbl_Price_List[[#This Row],[Class_Type]]="Keyboard B (25kg less)",VLOOKUP(Tbl_Price_List[[#This Row],[Class_Type]],Tbl_Class_Pricelist[[Class_Type]:[YOGYAKARTA]],30,0),3078*Tbl_Prod_Catalog[[#This Row],[Weight (kg)]])</f>
        <v>116964</v>
      </c>
    </row>
    <row r="20" spans="1:32" ht="15" customHeight="1" x14ac:dyDescent="0.25">
      <c r="A20" s="6">
        <v>18</v>
      </c>
      <c r="B20" s="27" t="str">
        <f>VLOOKUP(Tbl_Price_List[[#This Row],[Product_Name]],Tbl_Prod_Catalog[[#This Row],[Product_Name]:[Class_Type]],8,0)</f>
        <v>Keyboard B (25kg less)</v>
      </c>
      <c r="C20" t="s">
        <v>266</v>
      </c>
      <c r="D20" s="21">
        <f>IF(Tbl_Price_List[[#This Row],[Class_Type]]="Keyboard B (25kg less)",VLOOKUP(Tbl_Price_List[[#This Row],[Class_Type]],Tbl_Class_Pricelist[[Class_Type]:[BALI]],2,0),9578*Tbl_Prod_Catalog[[#This Row],[Weight (kg)]])</f>
        <v>182000</v>
      </c>
      <c r="E20" s="21">
        <f>(7350*Product_Catalog!D20)</f>
        <v>389550</v>
      </c>
      <c r="F20" s="21">
        <f>IF(Tbl_Price_List[[#This Row],[Class_Type]]="Keyboard B (25kg less)",VLOOKUP(Tbl_Price_List[[#This Row],[Class_Type]],Tbl_Class_Pricelist[[Class_Type]:[BANDAR LAMPUNG]],4,0),4421*Tbl_Prod_Catalog[[#This Row],[Weight (kg)]])</f>
        <v>84000</v>
      </c>
      <c r="G20" s="21">
        <f>IF(Tbl_Price_List[[#This Row],[Class_Type]]="Keyboard B (25kg less)",VLOOKUP(Tbl_Price_List[[#This Row],[Class_Type]],Tbl_Class_Pricelist[[Class_Type]:[BANDUNG]],5,0),2460*Tbl_Prod_Catalog[[#This Row],[Weight (kg)]])</f>
        <v>46750</v>
      </c>
      <c r="H20" s="21">
        <f>IF(Tbl_Price_List[[#This Row],[Class_Type]]="Keyboard B (25kg less)",VLOOKUP(Tbl_Price_List[[#This Row],[Class_Type]],Tbl_Class_Pricelist[[Class_Type]:[BANGKA]],6,0),6736*Tbl_Prod_Catalog[[#This Row],[Weight (kg)]])</f>
        <v>128000</v>
      </c>
      <c r="I20" s="21">
        <f>(4725*Product_Catalog!D20)</f>
        <v>250425</v>
      </c>
      <c r="J20" s="21">
        <f>IF(Tbl_Price_List[[#This Row],[Class_Type]]="Keyboard B (25kg less)",VLOOKUP(Tbl_Price_List[[#This Row],[Class_Type]],Tbl_Class_Pricelist[[Class_Type]:[BATAM]],8,0),6736*Tbl_Prod_Catalog[[#This Row],[Weight (kg)]])</f>
        <v>128000</v>
      </c>
      <c r="K20" s="21">
        <f>IF(Tbl_Price_List[[#This Row],[Class_Type]]="Keyboard B (25kg less)",VLOOKUP(Tbl_Price_List[[#This Row],[Class_Type]],Tbl_Class_Pricelist[[Class_Type]:[BOGOR]],9,0),1921*Tbl_Prod_Catalog[[#This Row],[Weight (kg)]])</f>
        <v>36500</v>
      </c>
      <c r="L20" s="21">
        <f>IF(Tbl_Price_List[[#This Row],[Class_Type]]="Keyboard B (25kg less)",VLOOKUP(Tbl_Price_List[[#This Row],[Class_Type]],Tbl_Class_Pricelist[[Class_Type]:[CIREBON]],10,0),2815*Tbl_Prod_Catalog[[#This Row],[Weight (kg)]])</f>
        <v>51500</v>
      </c>
      <c r="M20" s="21">
        <f>IF(Tbl_Price_List[[#This Row],[Class_Type]]="Keyboard B (25kg less)",VLOOKUP(Tbl_Price_List[[#This Row],[Class_Type]],Tbl_Class_Pricelist[[Class_Type]:[JAMBI]],11,0),5857*Tbl_Prod_Catalog[[#This Row],[Weight (kg)]])</f>
        <v>107500</v>
      </c>
      <c r="N20" s="21">
        <f>IF(Tbl_Price_List[[#This Row],[Class_Type]]="Keyboard B (25kg less)",VLOOKUP(Tbl_Price_List[[#This Row],[Class_Type]],Tbl_Class_Pricelist[[Class_Type]:[JOMBANG]],12,0),6078*Tbl_Prod_Catalog[[#This Row],[Weight (kg)]])</f>
        <v>115500</v>
      </c>
      <c r="O20" s="21">
        <f>IF(Tbl_Price_List[[#This Row],[Class_Type]]="Keyboard B (25kg less)",VLOOKUP(Tbl_Price_List[[#This Row],[Class_Type]],Tbl_Class_Pricelist[[Class_Type]:[KUDUS]],13,0),4473*Tbl_Prod_Catalog[[#This Row],[Weight (kg)]])</f>
        <v>85000</v>
      </c>
      <c r="P20" s="21">
        <f>IF(Tbl_Price_List[[#This Row],[Class_Type]]="Keyboard B (25kg less)",VLOOKUP(Tbl_Price_List[[#This Row],[Class_Type]],Tbl_Class_Pricelist[[Class_Type]:[MAGELANG]],14,0),3078*Tbl_Prod_Catalog[[#This Row],[Weight (kg)]])</f>
        <v>58500</v>
      </c>
      <c r="Q20" s="21">
        <f>IF(Tbl_Price_List[[#This Row],[Class_Type]]="Keyboard B (25kg less)",VLOOKUP(Tbl_Price_List[[#This Row],[Class_Type]],Tbl_Class_Pricelist[[Class_Type]:[MAKASSAR]],15,0),7142*Tbl_Prod_Catalog[[#This Row],[Weight (kg)]])</f>
        <v>135700</v>
      </c>
      <c r="R20" s="21">
        <f>IF(Tbl_Price_List[[#This Row],[Class_Type]]="Keyboard B (25kg less)",VLOOKUP(Tbl_Price_List[[#This Row],[Class_Type]],Tbl_Class_Pricelist[[Class_Type]:[MALANG]],16,0),5868*Tbl_Prod_Catalog[[#This Row],[Weight (kg)]])</f>
        <v>111500</v>
      </c>
      <c r="S20" s="21">
        <f>IF(Tbl_Price_List[[#This Row],[Class_Type]]="Keyboard B (25kg less)",VLOOKUP(Tbl_Price_List[[#This Row],[Class_Type]],Tbl_Class_Pricelist[[Class_Type]:[MANADO]],17,0),7142*Tbl_Prod_Catalog[[#This Row],[Weight (kg)]])</f>
        <v>135700</v>
      </c>
      <c r="T20" s="21">
        <f>IF(Tbl_Price_List[[#This Row],[Class_Type]]="Keyboard B (25kg less)",VLOOKUP(Tbl_Price_List[[#This Row],[Class_Type]],Tbl_Class_Pricelist[[Class_Type]:[MEDAN]],18,0),7142*Tbl_Prod_Catalog[[#This Row],[Weight (kg)]])</f>
        <v>135700</v>
      </c>
      <c r="U20" s="21">
        <f>IF(Tbl_Price_List[[#This Row],[Class_Type]]="Keyboard B (25kg less)",VLOOKUP(Tbl_Price_List[[#This Row],[Class_Type]],Tbl_Class_Pricelist[[Class_Type]:[PADANG]],19,0),5657*Tbl_Prod_Catalog[[#This Row],[Weight (kg)]])</f>
        <v>107500</v>
      </c>
      <c r="V20" s="21">
        <f>(12000*Product_Catalog!D20)</f>
        <v>636000</v>
      </c>
      <c r="W20" s="21">
        <f>IF(Tbl_Price_List[[#This Row],[Class_Type]]="Keyboard B (25kg less)",VLOOKUP(Tbl_Price_List[[#This Row],[Class_Type]],Tbl_Class_Pricelist[[Class_Type]:[PALEMBANG]],21,0),5084*Tbl_Prod_Catalog[[#This Row],[Weight (kg)]])</f>
        <v>96600</v>
      </c>
      <c r="X20" s="21">
        <f>IF(Tbl_Price_List[[#This Row],[Class_Type]]="Keyboard B (25kg less)",VLOOKUP(Tbl_Price_List[[#This Row],[Class_Type]],Tbl_Class_Pricelist[[Class_Type]:[PEKANBARU]],22,0),6736*Tbl_Prod_Catalog[[#This Row],[Weight (kg)]])</f>
        <v>128000</v>
      </c>
      <c r="Y20" s="21">
        <f>(5250*Product_Catalog!D20)</f>
        <v>278250</v>
      </c>
      <c r="Z20" s="21">
        <f>IF(Tbl_Price_List[[#This Row],[Class_Type]]="Keyboard B (25kg less)",VLOOKUP(Tbl_Price_List[[#This Row],[Class_Type]],Tbl_Class_Pricelist[[Class_Type]:[PURWOKERTO]],24,0),4473*Tbl_Prod_Catalog[[#This Row],[Weight (kg)]])</f>
        <v>85000</v>
      </c>
      <c r="AA20" s="21">
        <f>(8400*Product_Catalog!D20)</f>
        <v>445200</v>
      </c>
      <c r="AB20" s="21">
        <f>IF(Tbl_Price_List[[#This Row],[Class_Type]]="Keyboard B (25kg less)",VLOOKUP(Tbl_Price_List[[#This Row],[Class_Type]],Tbl_Class_Pricelist[[Class_Type]:[SEMARANG]],26,0),3078*Tbl_Prod_Catalog[[#This Row],[Weight (kg)]])</f>
        <v>58500</v>
      </c>
      <c r="AC20" s="21">
        <f>IF(Tbl_Price_List[[#This Row],[Class_Type]]="Keyboard B (25kg less)",VLOOKUP(Tbl_Price_List[[#This Row],[Class_Type]],Tbl_Class_Pricelist[[Class_Type]:[SOLO]],27,0),3155*Tbl_Prod_Catalog[[#This Row],[Weight (kg)]])</f>
        <v>60000</v>
      </c>
      <c r="AD20" s="21">
        <f>IF(Tbl_Price_List[[#This Row],[Class_Type]]="Keyboard B (25kg less)",VLOOKUP(Tbl_Price_List[[#This Row],[Class_Type]],Tbl_Class_Pricelist[[Class_Type]:[SURABAYA]],28,0),3657*Tbl_Prod_Catalog[[#This Row],[Weight (kg)]])</f>
        <v>69500</v>
      </c>
      <c r="AE20" s="21" t="str">
        <f>"Jakarta + Real Cost"</f>
        <v>Jakarta + Real Cost</v>
      </c>
      <c r="AF20" s="21">
        <f>IF(Tbl_Price_List[[#This Row],[Class_Type]]="Keyboard B (25kg less)",VLOOKUP(Tbl_Price_List[[#This Row],[Class_Type]],Tbl_Class_Pricelist[[Class_Type]:[YOGYAKARTA]],30,0),3078*Tbl_Prod_Catalog[[#This Row],[Weight (kg)]])</f>
        <v>58500</v>
      </c>
    </row>
    <row r="21" spans="1:32" ht="15" customHeight="1" x14ac:dyDescent="0.25">
      <c r="A21" s="6">
        <v>19</v>
      </c>
      <c r="B21" s="27" t="str">
        <f>VLOOKUP(Tbl_Price_List[[#This Row],[Product_Name]],Tbl_Prod_Catalog[[#This Row],[Product_Name]:[Class_Type]],8,0)</f>
        <v>Keyboard B (25kg less)</v>
      </c>
      <c r="C21" t="s">
        <v>267</v>
      </c>
      <c r="D21" s="21">
        <f>IF(Tbl_Price_List[[#This Row],[Class_Type]]="Keyboard B (25kg less)",VLOOKUP(Tbl_Price_List[[#This Row],[Class_Type]],Tbl_Class_Pricelist[[Class_Type]:[BALI]],2,0),9578*Tbl_Prod_Catalog[[#This Row],[Weight (kg)]])</f>
        <v>182000</v>
      </c>
      <c r="E21" s="21">
        <f>(7350*Product_Catalog!D21)</f>
        <v>242550</v>
      </c>
      <c r="F21" s="21">
        <f>IF(Tbl_Price_List[[#This Row],[Class_Type]]="Keyboard B (25kg less)",VLOOKUP(Tbl_Price_List[[#This Row],[Class_Type]],Tbl_Class_Pricelist[[Class_Type]:[BANDAR LAMPUNG]],4,0),4421*Tbl_Prod_Catalog[[#This Row],[Weight (kg)]])</f>
        <v>84000</v>
      </c>
      <c r="G21" s="21">
        <f>IF(Tbl_Price_List[[#This Row],[Class_Type]]="Keyboard B (25kg less)",VLOOKUP(Tbl_Price_List[[#This Row],[Class_Type]],Tbl_Class_Pricelist[[Class_Type]:[BANDUNG]],5,0),2460*Tbl_Prod_Catalog[[#This Row],[Weight (kg)]])</f>
        <v>46750</v>
      </c>
      <c r="H21" s="21">
        <f>IF(Tbl_Price_List[[#This Row],[Class_Type]]="Keyboard B (25kg less)",VLOOKUP(Tbl_Price_List[[#This Row],[Class_Type]],Tbl_Class_Pricelist[[Class_Type]:[BANGKA]],6,0),6736*Tbl_Prod_Catalog[[#This Row],[Weight (kg)]])</f>
        <v>128000</v>
      </c>
      <c r="I21" s="21">
        <f>(4725*Product_Catalog!D21)</f>
        <v>155925</v>
      </c>
      <c r="J21" s="21">
        <f>IF(Tbl_Price_List[[#This Row],[Class_Type]]="Keyboard B (25kg less)",VLOOKUP(Tbl_Price_List[[#This Row],[Class_Type]],Tbl_Class_Pricelist[[Class_Type]:[BATAM]],8,0),6736*Tbl_Prod_Catalog[[#This Row],[Weight (kg)]])</f>
        <v>128000</v>
      </c>
      <c r="K21" s="21">
        <f>IF(Tbl_Price_List[[#This Row],[Class_Type]]="Keyboard B (25kg less)",VLOOKUP(Tbl_Price_List[[#This Row],[Class_Type]],Tbl_Class_Pricelist[[Class_Type]:[BOGOR]],9,0),1921*Tbl_Prod_Catalog[[#This Row],[Weight (kg)]])</f>
        <v>36500</v>
      </c>
      <c r="L21" s="21">
        <f>IF(Tbl_Price_List[[#This Row],[Class_Type]]="Keyboard B (25kg less)",VLOOKUP(Tbl_Price_List[[#This Row],[Class_Type]],Tbl_Class_Pricelist[[Class_Type]:[CIREBON]],10,0),2815*Tbl_Prod_Catalog[[#This Row],[Weight (kg)]])</f>
        <v>51500</v>
      </c>
      <c r="M21" s="21">
        <f>IF(Tbl_Price_List[[#This Row],[Class_Type]]="Keyboard B (25kg less)",VLOOKUP(Tbl_Price_List[[#This Row],[Class_Type]],Tbl_Class_Pricelist[[Class_Type]:[JAMBI]],11,0),5857*Tbl_Prod_Catalog[[#This Row],[Weight (kg)]])</f>
        <v>107500</v>
      </c>
      <c r="N21" s="21">
        <f>IF(Tbl_Price_List[[#This Row],[Class_Type]]="Keyboard B (25kg less)",VLOOKUP(Tbl_Price_List[[#This Row],[Class_Type]],Tbl_Class_Pricelist[[Class_Type]:[JOMBANG]],12,0),6078*Tbl_Prod_Catalog[[#This Row],[Weight (kg)]])</f>
        <v>115500</v>
      </c>
      <c r="O21" s="21">
        <f>IF(Tbl_Price_List[[#This Row],[Class_Type]]="Keyboard B (25kg less)",VLOOKUP(Tbl_Price_List[[#This Row],[Class_Type]],Tbl_Class_Pricelist[[Class_Type]:[KUDUS]],13,0),4473*Tbl_Prod_Catalog[[#This Row],[Weight (kg)]])</f>
        <v>85000</v>
      </c>
      <c r="P21" s="21">
        <f>IF(Tbl_Price_List[[#This Row],[Class_Type]]="Keyboard B (25kg less)",VLOOKUP(Tbl_Price_List[[#This Row],[Class_Type]],Tbl_Class_Pricelist[[Class_Type]:[MAGELANG]],14,0),3078*Tbl_Prod_Catalog[[#This Row],[Weight (kg)]])</f>
        <v>58500</v>
      </c>
      <c r="Q21" s="21">
        <f>IF(Tbl_Price_List[[#This Row],[Class_Type]]="Keyboard B (25kg less)",VLOOKUP(Tbl_Price_List[[#This Row],[Class_Type]],Tbl_Class_Pricelist[[Class_Type]:[MAKASSAR]],15,0),7142*Tbl_Prod_Catalog[[#This Row],[Weight (kg)]])</f>
        <v>135700</v>
      </c>
      <c r="R21" s="21">
        <f>IF(Tbl_Price_List[[#This Row],[Class_Type]]="Keyboard B (25kg less)",VLOOKUP(Tbl_Price_List[[#This Row],[Class_Type]],Tbl_Class_Pricelist[[Class_Type]:[MALANG]],16,0),5868*Tbl_Prod_Catalog[[#This Row],[Weight (kg)]])</f>
        <v>111500</v>
      </c>
      <c r="S21" s="21">
        <f>IF(Tbl_Price_List[[#This Row],[Class_Type]]="Keyboard B (25kg less)",VLOOKUP(Tbl_Price_List[[#This Row],[Class_Type]],Tbl_Class_Pricelist[[Class_Type]:[MANADO]],17,0),7142*Tbl_Prod_Catalog[[#This Row],[Weight (kg)]])</f>
        <v>135700</v>
      </c>
      <c r="T21" s="21">
        <f>IF(Tbl_Price_List[[#This Row],[Class_Type]]="Keyboard B (25kg less)",VLOOKUP(Tbl_Price_List[[#This Row],[Class_Type]],Tbl_Class_Pricelist[[Class_Type]:[MEDAN]],18,0),7142*Tbl_Prod_Catalog[[#This Row],[Weight (kg)]])</f>
        <v>135700</v>
      </c>
      <c r="U21" s="21">
        <f>IF(Tbl_Price_List[[#This Row],[Class_Type]]="Keyboard B (25kg less)",VLOOKUP(Tbl_Price_List[[#This Row],[Class_Type]],Tbl_Class_Pricelist[[Class_Type]:[PADANG]],19,0),5657*Tbl_Prod_Catalog[[#This Row],[Weight (kg)]])</f>
        <v>107500</v>
      </c>
      <c r="V21" s="21">
        <f>(12000*Product_Catalog!D21)</f>
        <v>396000</v>
      </c>
      <c r="W21" s="21">
        <f>IF(Tbl_Price_List[[#This Row],[Class_Type]]="Keyboard B (25kg less)",VLOOKUP(Tbl_Price_List[[#This Row],[Class_Type]],Tbl_Class_Pricelist[[Class_Type]:[PALEMBANG]],21,0),5084*Tbl_Prod_Catalog[[#This Row],[Weight (kg)]])</f>
        <v>96600</v>
      </c>
      <c r="X21" s="21">
        <f>IF(Tbl_Price_List[[#This Row],[Class_Type]]="Keyboard B (25kg less)",VLOOKUP(Tbl_Price_List[[#This Row],[Class_Type]],Tbl_Class_Pricelist[[Class_Type]:[PEKANBARU]],22,0),6736*Tbl_Prod_Catalog[[#This Row],[Weight (kg)]])</f>
        <v>128000</v>
      </c>
      <c r="Y21" s="21">
        <f>(5250*Product_Catalog!D21)</f>
        <v>173250</v>
      </c>
      <c r="Z21" s="21">
        <f>IF(Tbl_Price_List[[#This Row],[Class_Type]]="Keyboard B (25kg less)",VLOOKUP(Tbl_Price_List[[#This Row],[Class_Type]],Tbl_Class_Pricelist[[Class_Type]:[PURWOKERTO]],24,0),4473*Tbl_Prod_Catalog[[#This Row],[Weight (kg)]])</f>
        <v>85000</v>
      </c>
      <c r="AA21" s="21">
        <f>(8400*Product_Catalog!D21)</f>
        <v>277200</v>
      </c>
      <c r="AB21" s="21">
        <f>IF(Tbl_Price_List[[#This Row],[Class_Type]]="Keyboard B (25kg less)",VLOOKUP(Tbl_Price_List[[#This Row],[Class_Type]],Tbl_Class_Pricelist[[Class_Type]:[SEMARANG]],26,0),3078*Tbl_Prod_Catalog[[#This Row],[Weight (kg)]])</f>
        <v>58500</v>
      </c>
      <c r="AC21" s="21">
        <f>IF(Tbl_Price_List[[#This Row],[Class_Type]]="Keyboard B (25kg less)",VLOOKUP(Tbl_Price_List[[#This Row],[Class_Type]],Tbl_Class_Pricelist[[Class_Type]:[SOLO]],27,0),3155*Tbl_Prod_Catalog[[#This Row],[Weight (kg)]])</f>
        <v>60000</v>
      </c>
      <c r="AD21" s="21">
        <f>IF(Tbl_Price_List[[#This Row],[Class_Type]]="Keyboard B (25kg less)",VLOOKUP(Tbl_Price_List[[#This Row],[Class_Type]],Tbl_Class_Pricelist[[Class_Type]:[SURABAYA]],28,0),3657*Tbl_Prod_Catalog[[#This Row],[Weight (kg)]])</f>
        <v>69500</v>
      </c>
      <c r="AE21" s="21" t="str">
        <f>"Jakarta + Real Cost"</f>
        <v>Jakarta + Real Cost</v>
      </c>
      <c r="AF21" s="21">
        <f>IF(Tbl_Price_List[[#This Row],[Class_Type]]="Keyboard B (25kg less)",VLOOKUP(Tbl_Price_List[[#This Row],[Class_Type]],Tbl_Class_Pricelist[[Class_Type]:[YOGYAKARTA]],30,0),3078*Tbl_Prod_Catalog[[#This Row],[Weight (kg)]])</f>
        <v>58500</v>
      </c>
    </row>
    <row r="22" spans="1:32" ht="15" customHeight="1" x14ac:dyDescent="0.25">
      <c r="A22" s="6">
        <v>20</v>
      </c>
      <c r="B22" s="27" t="str">
        <f>VLOOKUP(Tbl_Price_List[[#This Row],[Product_Name]],Tbl_Prod_Catalog[[#This Row],[Product_Name]:[Class_Type]],8,0)</f>
        <v>Keyboard B (25kg less)</v>
      </c>
      <c r="C22" t="s">
        <v>268</v>
      </c>
      <c r="D22" s="21">
        <f>IF(Tbl_Price_List[[#This Row],[Class_Type]]="Keyboard B (25kg less)",VLOOKUP(Tbl_Price_List[[#This Row],[Class_Type]],Tbl_Class_Pricelist[[Class_Type]:[BALI]],2,0),9578*Tbl_Prod_Catalog[[#This Row],[Weight (kg)]])</f>
        <v>182000</v>
      </c>
      <c r="E22" s="21">
        <f>(7350*Product_Catalog!D22)</f>
        <v>147000</v>
      </c>
      <c r="F22" s="21">
        <f>IF(Tbl_Price_List[[#This Row],[Class_Type]]="Keyboard B (25kg less)",VLOOKUP(Tbl_Price_List[[#This Row],[Class_Type]],Tbl_Class_Pricelist[[Class_Type]:[BANDAR LAMPUNG]],4,0),4421*Tbl_Prod_Catalog[[#This Row],[Weight (kg)]])</f>
        <v>84000</v>
      </c>
      <c r="G22" s="21">
        <f>IF(Tbl_Price_List[[#This Row],[Class_Type]]="Keyboard B (25kg less)",VLOOKUP(Tbl_Price_List[[#This Row],[Class_Type]],Tbl_Class_Pricelist[[Class_Type]:[BANDUNG]],5,0),2460*Tbl_Prod_Catalog[[#This Row],[Weight (kg)]])</f>
        <v>46750</v>
      </c>
      <c r="H22" s="21">
        <f>IF(Tbl_Price_List[[#This Row],[Class_Type]]="Keyboard B (25kg less)",VLOOKUP(Tbl_Price_List[[#This Row],[Class_Type]],Tbl_Class_Pricelist[[Class_Type]:[BANGKA]],6,0),6736*Tbl_Prod_Catalog[[#This Row],[Weight (kg)]])</f>
        <v>128000</v>
      </c>
      <c r="I22" s="21">
        <f>(4725*Product_Catalog!D22)</f>
        <v>94500</v>
      </c>
      <c r="J22" s="21">
        <f>IF(Tbl_Price_List[[#This Row],[Class_Type]]="Keyboard B (25kg less)",VLOOKUP(Tbl_Price_List[[#This Row],[Class_Type]],Tbl_Class_Pricelist[[Class_Type]:[BATAM]],8,0),6736*Tbl_Prod_Catalog[[#This Row],[Weight (kg)]])</f>
        <v>128000</v>
      </c>
      <c r="K22" s="21">
        <f>IF(Tbl_Price_List[[#This Row],[Class_Type]]="Keyboard B (25kg less)",VLOOKUP(Tbl_Price_List[[#This Row],[Class_Type]],Tbl_Class_Pricelist[[Class_Type]:[BOGOR]],9,0),1921*Tbl_Prod_Catalog[[#This Row],[Weight (kg)]])</f>
        <v>36500</v>
      </c>
      <c r="L22" s="21">
        <f>IF(Tbl_Price_List[[#This Row],[Class_Type]]="Keyboard B (25kg less)",VLOOKUP(Tbl_Price_List[[#This Row],[Class_Type]],Tbl_Class_Pricelist[[Class_Type]:[CIREBON]],10,0),2815*Tbl_Prod_Catalog[[#This Row],[Weight (kg)]])</f>
        <v>51500</v>
      </c>
      <c r="M22" s="21">
        <f>IF(Tbl_Price_List[[#This Row],[Class_Type]]="Keyboard B (25kg less)",VLOOKUP(Tbl_Price_List[[#This Row],[Class_Type]],Tbl_Class_Pricelist[[Class_Type]:[JAMBI]],11,0),5857*Tbl_Prod_Catalog[[#This Row],[Weight (kg)]])</f>
        <v>107500</v>
      </c>
      <c r="N22" s="21">
        <f>IF(Tbl_Price_List[[#This Row],[Class_Type]]="Keyboard B (25kg less)",VLOOKUP(Tbl_Price_List[[#This Row],[Class_Type]],Tbl_Class_Pricelist[[Class_Type]:[JOMBANG]],12,0),6078*Tbl_Prod_Catalog[[#This Row],[Weight (kg)]])</f>
        <v>115500</v>
      </c>
      <c r="O22" s="21">
        <f>IF(Tbl_Price_List[[#This Row],[Class_Type]]="Keyboard B (25kg less)",VLOOKUP(Tbl_Price_List[[#This Row],[Class_Type]],Tbl_Class_Pricelist[[Class_Type]:[KUDUS]],13,0),4473*Tbl_Prod_Catalog[[#This Row],[Weight (kg)]])</f>
        <v>85000</v>
      </c>
      <c r="P22" s="21">
        <f>IF(Tbl_Price_List[[#This Row],[Class_Type]]="Keyboard B (25kg less)",VLOOKUP(Tbl_Price_List[[#This Row],[Class_Type]],Tbl_Class_Pricelist[[Class_Type]:[MAGELANG]],14,0),3078*Tbl_Prod_Catalog[[#This Row],[Weight (kg)]])</f>
        <v>58500</v>
      </c>
      <c r="Q22" s="21">
        <f>IF(Tbl_Price_List[[#This Row],[Class_Type]]="Keyboard B (25kg less)",VLOOKUP(Tbl_Price_List[[#This Row],[Class_Type]],Tbl_Class_Pricelist[[Class_Type]:[MAKASSAR]],15,0),7142*Tbl_Prod_Catalog[[#This Row],[Weight (kg)]])</f>
        <v>135700</v>
      </c>
      <c r="R22" s="21">
        <f>IF(Tbl_Price_List[[#This Row],[Class_Type]]="Keyboard B (25kg less)",VLOOKUP(Tbl_Price_List[[#This Row],[Class_Type]],Tbl_Class_Pricelist[[Class_Type]:[MALANG]],16,0),5868*Tbl_Prod_Catalog[[#This Row],[Weight (kg)]])</f>
        <v>111500</v>
      </c>
      <c r="S22" s="21">
        <f>IF(Tbl_Price_List[[#This Row],[Class_Type]]="Keyboard B (25kg less)",VLOOKUP(Tbl_Price_List[[#This Row],[Class_Type]],Tbl_Class_Pricelist[[Class_Type]:[MANADO]],17,0),7142*Tbl_Prod_Catalog[[#This Row],[Weight (kg)]])</f>
        <v>135700</v>
      </c>
      <c r="T22" s="21">
        <f>IF(Tbl_Price_List[[#This Row],[Class_Type]]="Keyboard B (25kg less)",VLOOKUP(Tbl_Price_List[[#This Row],[Class_Type]],Tbl_Class_Pricelist[[Class_Type]:[MEDAN]],18,0),7142*Tbl_Prod_Catalog[[#This Row],[Weight (kg)]])</f>
        <v>135700</v>
      </c>
      <c r="U22" s="21">
        <f>IF(Tbl_Price_List[[#This Row],[Class_Type]]="Keyboard B (25kg less)",VLOOKUP(Tbl_Price_List[[#This Row],[Class_Type]],Tbl_Class_Pricelist[[Class_Type]:[PADANG]],19,0),5657*Tbl_Prod_Catalog[[#This Row],[Weight (kg)]])</f>
        <v>107500</v>
      </c>
      <c r="V22" s="21">
        <f>(12000*Product_Catalog!D22)</f>
        <v>240000</v>
      </c>
      <c r="W22" s="21">
        <f>IF(Tbl_Price_List[[#This Row],[Class_Type]]="Keyboard B (25kg less)",VLOOKUP(Tbl_Price_List[[#This Row],[Class_Type]],Tbl_Class_Pricelist[[Class_Type]:[PALEMBANG]],21,0),5084*Tbl_Prod_Catalog[[#This Row],[Weight (kg)]])</f>
        <v>96600</v>
      </c>
      <c r="X22" s="21">
        <f>IF(Tbl_Price_List[[#This Row],[Class_Type]]="Keyboard B (25kg less)",VLOOKUP(Tbl_Price_List[[#This Row],[Class_Type]],Tbl_Class_Pricelist[[Class_Type]:[PEKANBARU]],22,0),6736*Tbl_Prod_Catalog[[#This Row],[Weight (kg)]])</f>
        <v>128000</v>
      </c>
      <c r="Y22" s="21">
        <f>(5250*Product_Catalog!D22)</f>
        <v>105000</v>
      </c>
      <c r="Z22" s="21">
        <f>IF(Tbl_Price_List[[#This Row],[Class_Type]]="Keyboard B (25kg less)",VLOOKUP(Tbl_Price_List[[#This Row],[Class_Type]],Tbl_Class_Pricelist[[Class_Type]:[PURWOKERTO]],24,0),4473*Tbl_Prod_Catalog[[#This Row],[Weight (kg)]])</f>
        <v>85000</v>
      </c>
      <c r="AA22" s="21">
        <f>(8400*Product_Catalog!D22)</f>
        <v>168000</v>
      </c>
      <c r="AB22" s="21">
        <f>IF(Tbl_Price_List[[#This Row],[Class_Type]]="Keyboard B (25kg less)",VLOOKUP(Tbl_Price_List[[#This Row],[Class_Type]],Tbl_Class_Pricelist[[Class_Type]:[SEMARANG]],26,0),3078*Tbl_Prod_Catalog[[#This Row],[Weight (kg)]])</f>
        <v>58500</v>
      </c>
      <c r="AC22" s="21">
        <f>IF(Tbl_Price_List[[#This Row],[Class_Type]]="Keyboard B (25kg less)",VLOOKUP(Tbl_Price_List[[#This Row],[Class_Type]],Tbl_Class_Pricelist[[Class_Type]:[SOLO]],27,0),3155*Tbl_Prod_Catalog[[#This Row],[Weight (kg)]])</f>
        <v>60000</v>
      </c>
      <c r="AD22" s="21">
        <f>IF(Tbl_Price_List[[#This Row],[Class_Type]]="Keyboard B (25kg less)",VLOOKUP(Tbl_Price_List[[#This Row],[Class_Type]],Tbl_Class_Pricelist[[Class_Type]:[SURABAYA]],28,0),3657*Tbl_Prod_Catalog[[#This Row],[Weight (kg)]])</f>
        <v>69500</v>
      </c>
      <c r="AE22" s="21" t="str">
        <f>"Jakarta + Real Cost"</f>
        <v>Jakarta + Real Cost</v>
      </c>
      <c r="AF22" s="21">
        <f>IF(Tbl_Price_List[[#This Row],[Class_Type]]="Keyboard B (25kg less)",VLOOKUP(Tbl_Price_List[[#This Row],[Class_Type]],Tbl_Class_Pricelist[[Class_Type]:[YOGYAKARTA]],30,0),3078*Tbl_Prod_Catalog[[#This Row],[Weight (kg)]])</f>
        <v>58500</v>
      </c>
    </row>
    <row r="23" spans="1:32" ht="15" customHeight="1" x14ac:dyDescent="0.25">
      <c r="A23" s="6">
        <v>21</v>
      </c>
      <c r="B23" s="27" t="str">
        <f>VLOOKUP(Tbl_Price_List[[#This Row],[Product_Name]],Tbl_Prod_Catalog[[#This Row],[Product_Name]:[Class_Type]],8,0)</f>
        <v>Keyboard B (25kg less)</v>
      </c>
      <c r="C23" t="s">
        <v>269</v>
      </c>
      <c r="D23" s="21">
        <f>IF(Tbl_Price_List[[#This Row],[Class_Type]]="Keyboard B (25kg less)",VLOOKUP(Tbl_Price_List[[#This Row],[Class_Type]],Tbl_Class_Pricelist[[Class_Type]:[BALI]],2,0),9578*Tbl_Prod_Catalog[[#This Row],[Weight (kg)]])</f>
        <v>182000</v>
      </c>
      <c r="E23" s="21">
        <f>(7350*Product_Catalog!D23)</f>
        <v>132300</v>
      </c>
      <c r="F23" s="21">
        <f>IF(Tbl_Price_List[[#This Row],[Class_Type]]="Keyboard B (25kg less)",VLOOKUP(Tbl_Price_List[[#This Row],[Class_Type]],Tbl_Class_Pricelist[[Class_Type]:[BANDAR LAMPUNG]],4,0),4421*Tbl_Prod_Catalog[[#This Row],[Weight (kg)]])</f>
        <v>84000</v>
      </c>
      <c r="G23" s="21">
        <f>IF(Tbl_Price_List[[#This Row],[Class_Type]]="Keyboard B (25kg less)",VLOOKUP(Tbl_Price_List[[#This Row],[Class_Type]],Tbl_Class_Pricelist[[Class_Type]:[BANDUNG]],5,0),2460*Tbl_Prod_Catalog[[#This Row],[Weight (kg)]])</f>
        <v>46750</v>
      </c>
      <c r="H23" s="21">
        <f>IF(Tbl_Price_List[[#This Row],[Class_Type]]="Keyboard B (25kg less)",VLOOKUP(Tbl_Price_List[[#This Row],[Class_Type]],Tbl_Class_Pricelist[[Class_Type]:[BANGKA]],6,0),6736*Tbl_Prod_Catalog[[#This Row],[Weight (kg)]])</f>
        <v>128000</v>
      </c>
      <c r="I23" s="21">
        <f>(4725*Product_Catalog!D23)</f>
        <v>85050</v>
      </c>
      <c r="J23" s="21">
        <f>IF(Tbl_Price_List[[#This Row],[Class_Type]]="Keyboard B (25kg less)",VLOOKUP(Tbl_Price_List[[#This Row],[Class_Type]],Tbl_Class_Pricelist[[Class_Type]:[BATAM]],8,0),6736*Tbl_Prod_Catalog[[#This Row],[Weight (kg)]])</f>
        <v>128000</v>
      </c>
      <c r="K23" s="21">
        <f>IF(Tbl_Price_List[[#This Row],[Class_Type]]="Keyboard B (25kg less)",VLOOKUP(Tbl_Price_List[[#This Row],[Class_Type]],Tbl_Class_Pricelist[[Class_Type]:[BOGOR]],9,0),1921*Tbl_Prod_Catalog[[#This Row],[Weight (kg)]])</f>
        <v>36500</v>
      </c>
      <c r="L23" s="21">
        <f>IF(Tbl_Price_List[[#This Row],[Class_Type]]="Keyboard B (25kg less)",VLOOKUP(Tbl_Price_List[[#This Row],[Class_Type]],Tbl_Class_Pricelist[[Class_Type]:[CIREBON]],10,0),2815*Tbl_Prod_Catalog[[#This Row],[Weight (kg)]])</f>
        <v>51500</v>
      </c>
      <c r="M23" s="21">
        <f>IF(Tbl_Price_List[[#This Row],[Class_Type]]="Keyboard B (25kg less)",VLOOKUP(Tbl_Price_List[[#This Row],[Class_Type]],Tbl_Class_Pricelist[[Class_Type]:[JAMBI]],11,0),5857*Tbl_Prod_Catalog[[#This Row],[Weight (kg)]])</f>
        <v>107500</v>
      </c>
      <c r="N23" s="21">
        <f>IF(Tbl_Price_List[[#This Row],[Class_Type]]="Keyboard B (25kg less)",VLOOKUP(Tbl_Price_List[[#This Row],[Class_Type]],Tbl_Class_Pricelist[[Class_Type]:[JOMBANG]],12,0),6078*Tbl_Prod_Catalog[[#This Row],[Weight (kg)]])</f>
        <v>115500</v>
      </c>
      <c r="O23" s="21">
        <f>IF(Tbl_Price_List[[#This Row],[Class_Type]]="Keyboard B (25kg less)",VLOOKUP(Tbl_Price_List[[#This Row],[Class_Type]],Tbl_Class_Pricelist[[Class_Type]:[KUDUS]],13,0),4473*Tbl_Prod_Catalog[[#This Row],[Weight (kg)]])</f>
        <v>85000</v>
      </c>
      <c r="P23" s="21">
        <f>IF(Tbl_Price_List[[#This Row],[Class_Type]]="Keyboard B (25kg less)",VLOOKUP(Tbl_Price_List[[#This Row],[Class_Type]],Tbl_Class_Pricelist[[Class_Type]:[MAGELANG]],14,0),3078*Tbl_Prod_Catalog[[#This Row],[Weight (kg)]])</f>
        <v>58500</v>
      </c>
      <c r="Q23" s="21">
        <f>IF(Tbl_Price_List[[#This Row],[Class_Type]]="Keyboard B (25kg less)",VLOOKUP(Tbl_Price_List[[#This Row],[Class_Type]],Tbl_Class_Pricelist[[Class_Type]:[MAKASSAR]],15,0),7142*Tbl_Prod_Catalog[[#This Row],[Weight (kg)]])</f>
        <v>135700</v>
      </c>
      <c r="R23" s="21">
        <f>IF(Tbl_Price_List[[#This Row],[Class_Type]]="Keyboard B (25kg less)",VLOOKUP(Tbl_Price_List[[#This Row],[Class_Type]],Tbl_Class_Pricelist[[Class_Type]:[MALANG]],16,0),5868*Tbl_Prod_Catalog[[#This Row],[Weight (kg)]])</f>
        <v>111500</v>
      </c>
      <c r="S23" s="21">
        <f>IF(Tbl_Price_List[[#This Row],[Class_Type]]="Keyboard B (25kg less)",VLOOKUP(Tbl_Price_List[[#This Row],[Class_Type]],Tbl_Class_Pricelist[[Class_Type]:[MANADO]],17,0),7142*Tbl_Prod_Catalog[[#This Row],[Weight (kg)]])</f>
        <v>135700</v>
      </c>
      <c r="T23" s="21">
        <f>IF(Tbl_Price_List[[#This Row],[Class_Type]]="Keyboard B (25kg less)",VLOOKUP(Tbl_Price_List[[#This Row],[Class_Type]],Tbl_Class_Pricelist[[Class_Type]:[MEDAN]],18,0),7142*Tbl_Prod_Catalog[[#This Row],[Weight (kg)]])</f>
        <v>135700</v>
      </c>
      <c r="U23" s="21">
        <f>IF(Tbl_Price_List[[#This Row],[Class_Type]]="Keyboard B (25kg less)",VLOOKUP(Tbl_Price_List[[#This Row],[Class_Type]],Tbl_Class_Pricelist[[Class_Type]:[PADANG]],19,0),5657*Tbl_Prod_Catalog[[#This Row],[Weight (kg)]])</f>
        <v>107500</v>
      </c>
      <c r="V23" s="21">
        <f>(12000*Product_Catalog!D23)</f>
        <v>216000</v>
      </c>
      <c r="W23" s="21">
        <f>IF(Tbl_Price_List[[#This Row],[Class_Type]]="Keyboard B (25kg less)",VLOOKUP(Tbl_Price_List[[#This Row],[Class_Type]],Tbl_Class_Pricelist[[Class_Type]:[PALEMBANG]],21,0),5084*Tbl_Prod_Catalog[[#This Row],[Weight (kg)]])</f>
        <v>96600</v>
      </c>
      <c r="X23" s="21">
        <f>IF(Tbl_Price_List[[#This Row],[Class_Type]]="Keyboard B (25kg less)",VLOOKUP(Tbl_Price_List[[#This Row],[Class_Type]],Tbl_Class_Pricelist[[Class_Type]:[PEKANBARU]],22,0),6736*Tbl_Prod_Catalog[[#This Row],[Weight (kg)]])</f>
        <v>128000</v>
      </c>
      <c r="Y23" s="21">
        <f>(5250*Product_Catalog!D23)</f>
        <v>94500</v>
      </c>
      <c r="Z23" s="21">
        <f>IF(Tbl_Price_List[[#This Row],[Class_Type]]="Keyboard B (25kg less)",VLOOKUP(Tbl_Price_List[[#This Row],[Class_Type]],Tbl_Class_Pricelist[[Class_Type]:[PURWOKERTO]],24,0),4473*Tbl_Prod_Catalog[[#This Row],[Weight (kg)]])</f>
        <v>85000</v>
      </c>
      <c r="AA23" s="21">
        <f>(8400*Product_Catalog!D23)</f>
        <v>151200</v>
      </c>
      <c r="AB23" s="21">
        <f>IF(Tbl_Price_List[[#This Row],[Class_Type]]="Keyboard B (25kg less)",VLOOKUP(Tbl_Price_List[[#This Row],[Class_Type]],Tbl_Class_Pricelist[[Class_Type]:[SEMARANG]],26,0),3078*Tbl_Prod_Catalog[[#This Row],[Weight (kg)]])</f>
        <v>58500</v>
      </c>
      <c r="AC23" s="21">
        <f>IF(Tbl_Price_List[[#This Row],[Class_Type]]="Keyboard B (25kg less)",VLOOKUP(Tbl_Price_List[[#This Row],[Class_Type]],Tbl_Class_Pricelist[[Class_Type]:[SOLO]],27,0),3155*Tbl_Prod_Catalog[[#This Row],[Weight (kg)]])</f>
        <v>60000</v>
      </c>
      <c r="AD23" s="21">
        <f>IF(Tbl_Price_List[[#This Row],[Class_Type]]="Keyboard B (25kg less)",VLOOKUP(Tbl_Price_List[[#This Row],[Class_Type]],Tbl_Class_Pricelist[[Class_Type]:[SURABAYA]],28,0),3657*Tbl_Prod_Catalog[[#This Row],[Weight (kg)]])</f>
        <v>69500</v>
      </c>
      <c r="AE23" s="21" t="str">
        <f>"Jakarta + Real Cost"</f>
        <v>Jakarta + Real Cost</v>
      </c>
      <c r="AF23" s="21">
        <f>IF(Tbl_Price_List[[#This Row],[Class_Type]]="Keyboard B (25kg less)",VLOOKUP(Tbl_Price_List[[#This Row],[Class_Type]],Tbl_Class_Pricelist[[Class_Type]:[YOGYAKARTA]],30,0),3078*Tbl_Prod_Catalog[[#This Row],[Weight (kg)]])</f>
        <v>58500</v>
      </c>
    </row>
    <row r="24" spans="1:32" ht="15" customHeight="1" x14ac:dyDescent="0.25">
      <c r="A24" s="6">
        <v>22</v>
      </c>
      <c r="B24" s="27" t="str">
        <f>VLOOKUP(Tbl_Price_List[[#This Row],[Product_Name]],Tbl_Prod_Catalog[[#This Row],[Product_Name]:[Class_Type]],8,0)</f>
        <v>Keyboard B (25kg less)</v>
      </c>
      <c r="C24" t="s">
        <v>270</v>
      </c>
      <c r="D24" s="21">
        <f>IF(Tbl_Price_List[[#This Row],[Class_Type]]="Keyboard B (25kg less)",VLOOKUP(Tbl_Price_List[[#This Row],[Class_Type]],Tbl_Class_Pricelist[[Class_Type]:[BALI]],2,0),9578*Tbl_Prod_Catalog[[#This Row],[Weight (kg)]])</f>
        <v>182000</v>
      </c>
      <c r="E24" s="21">
        <f>(7350*Product_Catalog!D24)</f>
        <v>110250</v>
      </c>
      <c r="F24" s="21">
        <f>IF(Tbl_Price_List[[#This Row],[Class_Type]]="Keyboard B (25kg less)",VLOOKUP(Tbl_Price_List[[#This Row],[Class_Type]],Tbl_Class_Pricelist[[Class_Type]:[BANDAR LAMPUNG]],4,0),4421*Tbl_Prod_Catalog[[#This Row],[Weight (kg)]])</f>
        <v>84000</v>
      </c>
      <c r="G24" s="21">
        <f>IF(Tbl_Price_List[[#This Row],[Class_Type]]="Keyboard B (25kg less)",VLOOKUP(Tbl_Price_List[[#This Row],[Class_Type]],Tbl_Class_Pricelist[[Class_Type]:[BANDUNG]],5,0),2460*Tbl_Prod_Catalog[[#This Row],[Weight (kg)]])</f>
        <v>46750</v>
      </c>
      <c r="H24" s="21">
        <f>IF(Tbl_Price_List[[#This Row],[Class_Type]]="Keyboard B (25kg less)",VLOOKUP(Tbl_Price_List[[#This Row],[Class_Type]],Tbl_Class_Pricelist[[Class_Type]:[BANGKA]],6,0),6736*Tbl_Prod_Catalog[[#This Row],[Weight (kg)]])</f>
        <v>128000</v>
      </c>
      <c r="I24" s="21">
        <f>(4725*Product_Catalog!D24)</f>
        <v>70875</v>
      </c>
      <c r="J24" s="21">
        <f>IF(Tbl_Price_List[[#This Row],[Class_Type]]="Keyboard B (25kg less)",VLOOKUP(Tbl_Price_List[[#This Row],[Class_Type]],Tbl_Class_Pricelist[[Class_Type]:[BATAM]],8,0),6736*Tbl_Prod_Catalog[[#This Row],[Weight (kg)]])</f>
        <v>128000</v>
      </c>
      <c r="K24" s="21">
        <f>IF(Tbl_Price_List[[#This Row],[Class_Type]]="Keyboard B (25kg less)",VLOOKUP(Tbl_Price_List[[#This Row],[Class_Type]],Tbl_Class_Pricelist[[Class_Type]:[BOGOR]],9,0),1921*Tbl_Prod_Catalog[[#This Row],[Weight (kg)]])</f>
        <v>36500</v>
      </c>
      <c r="L24" s="21">
        <f>IF(Tbl_Price_List[[#This Row],[Class_Type]]="Keyboard B (25kg less)",VLOOKUP(Tbl_Price_List[[#This Row],[Class_Type]],Tbl_Class_Pricelist[[Class_Type]:[CIREBON]],10,0),2815*Tbl_Prod_Catalog[[#This Row],[Weight (kg)]])</f>
        <v>51500</v>
      </c>
      <c r="M24" s="21">
        <f>IF(Tbl_Price_List[[#This Row],[Class_Type]]="Keyboard B (25kg less)",VLOOKUP(Tbl_Price_List[[#This Row],[Class_Type]],Tbl_Class_Pricelist[[Class_Type]:[JAMBI]],11,0),5857*Tbl_Prod_Catalog[[#This Row],[Weight (kg)]])</f>
        <v>107500</v>
      </c>
      <c r="N24" s="21">
        <f>IF(Tbl_Price_List[[#This Row],[Class_Type]]="Keyboard B (25kg less)",VLOOKUP(Tbl_Price_List[[#This Row],[Class_Type]],Tbl_Class_Pricelist[[Class_Type]:[JOMBANG]],12,0),6078*Tbl_Prod_Catalog[[#This Row],[Weight (kg)]])</f>
        <v>115500</v>
      </c>
      <c r="O24" s="21">
        <f>IF(Tbl_Price_List[[#This Row],[Class_Type]]="Keyboard B (25kg less)",VLOOKUP(Tbl_Price_List[[#This Row],[Class_Type]],Tbl_Class_Pricelist[[Class_Type]:[KUDUS]],13,0),4473*Tbl_Prod_Catalog[[#This Row],[Weight (kg)]])</f>
        <v>85000</v>
      </c>
      <c r="P24" s="21">
        <f>IF(Tbl_Price_List[[#This Row],[Class_Type]]="Keyboard B (25kg less)",VLOOKUP(Tbl_Price_List[[#This Row],[Class_Type]],Tbl_Class_Pricelist[[Class_Type]:[MAGELANG]],14,0),3078*Tbl_Prod_Catalog[[#This Row],[Weight (kg)]])</f>
        <v>58500</v>
      </c>
      <c r="Q24" s="21">
        <f>IF(Tbl_Price_List[[#This Row],[Class_Type]]="Keyboard B (25kg less)",VLOOKUP(Tbl_Price_List[[#This Row],[Class_Type]],Tbl_Class_Pricelist[[Class_Type]:[MAKASSAR]],15,0),7142*Tbl_Prod_Catalog[[#This Row],[Weight (kg)]])</f>
        <v>135700</v>
      </c>
      <c r="R24" s="21">
        <f>IF(Tbl_Price_List[[#This Row],[Class_Type]]="Keyboard B (25kg less)",VLOOKUP(Tbl_Price_List[[#This Row],[Class_Type]],Tbl_Class_Pricelist[[Class_Type]:[MALANG]],16,0),5868*Tbl_Prod_Catalog[[#This Row],[Weight (kg)]])</f>
        <v>111500</v>
      </c>
      <c r="S24" s="21">
        <f>IF(Tbl_Price_List[[#This Row],[Class_Type]]="Keyboard B (25kg less)",VLOOKUP(Tbl_Price_List[[#This Row],[Class_Type]],Tbl_Class_Pricelist[[Class_Type]:[MANADO]],17,0),7142*Tbl_Prod_Catalog[[#This Row],[Weight (kg)]])</f>
        <v>135700</v>
      </c>
      <c r="T24" s="21">
        <f>IF(Tbl_Price_List[[#This Row],[Class_Type]]="Keyboard B (25kg less)",VLOOKUP(Tbl_Price_List[[#This Row],[Class_Type]],Tbl_Class_Pricelist[[Class_Type]:[MEDAN]],18,0),7142*Tbl_Prod_Catalog[[#This Row],[Weight (kg)]])</f>
        <v>135700</v>
      </c>
      <c r="U24" s="21">
        <f>IF(Tbl_Price_List[[#This Row],[Class_Type]]="Keyboard B (25kg less)",VLOOKUP(Tbl_Price_List[[#This Row],[Class_Type]],Tbl_Class_Pricelist[[Class_Type]:[PADANG]],19,0),5657*Tbl_Prod_Catalog[[#This Row],[Weight (kg)]])</f>
        <v>107500</v>
      </c>
      <c r="V24" s="21">
        <f>(12000*Product_Catalog!D24)</f>
        <v>180000</v>
      </c>
      <c r="W24" s="21">
        <f>IF(Tbl_Price_List[[#This Row],[Class_Type]]="Keyboard B (25kg less)",VLOOKUP(Tbl_Price_List[[#This Row],[Class_Type]],Tbl_Class_Pricelist[[Class_Type]:[PALEMBANG]],21,0),5084*Tbl_Prod_Catalog[[#This Row],[Weight (kg)]])</f>
        <v>96600</v>
      </c>
      <c r="X24" s="21">
        <f>IF(Tbl_Price_List[[#This Row],[Class_Type]]="Keyboard B (25kg less)",VLOOKUP(Tbl_Price_List[[#This Row],[Class_Type]],Tbl_Class_Pricelist[[Class_Type]:[PEKANBARU]],22,0),6736*Tbl_Prod_Catalog[[#This Row],[Weight (kg)]])</f>
        <v>128000</v>
      </c>
      <c r="Y24" s="21">
        <f>(5250*Product_Catalog!D24)</f>
        <v>78750</v>
      </c>
      <c r="Z24" s="21">
        <f>IF(Tbl_Price_List[[#This Row],[Class_Type]]="Keyboard B (25kg less)",VLOOKUP(Tbl_Price_List[[#This Row],[Class_Type]],Tbl_Class_Pricelist[[Class_Type]:[PURWOKERTO]],24,0),4473*Tbl_Prod_Catalog[[#This Row],[Weight (kg)]])</f>
        <v>85000</v>
      </c>
      <c r="AA24" s="21">
        <f>(8400*Product_Catalog!D24)</f>
        <v>126000</v>
      </c>
      <c r="AB24" s="21">
        <f>IF(Tbl_Price_List[[#This Row],[Class_Type]]="Keyboard B (25kg less)",VLOOKUP(Tbl_Price_List[[#This Row],[Class_Type]],Tbl_Class_Pricelist[[Class_Type]:[SEMARANG]],26,0),3078*Tbl_Prod_Catalog[[#This Row],[Weight (kg)]])</f>
        <v>58500</v>
      </c>
      <c r="AC24" s="21">
        <f>IF(Tbl_Price_List[[#This Row],[Class_Type]]="Keyboard B (25kg less)",VLOOKUP(Tbl_Price_List[[#This Row],[Class_Type]],Tbl_Class_Pricelist[[Class_Type]:[SOLO]],27,0),3155*Tbl_Prod_Catalog[[#This Row],[Weight (kg)]])</f>
        <v>60000</v>
      </c>
      <c r="AD24" s="21">
        <f>IF(Tbl_Price_List[[#This Row],[Class_Type]]="Keyboard B (25kg less)",VLOOKUP(Tbl_Price_List[[#This Row],[Class_Type]],Tbl_Class_Pricelist[[Class_Type]:[SURABAYA]],28,0),3657*Tbl_Prod_Catalog[[#This Row],[Weight (kg)]])</f>
        <v>69500</v>
      </c>
      <c r="AE24" s="21" t="str">
        <f>"Jakarta + Real Cost"</f>
        <v>Jakarta + Real Cost</v>
      </c>
      <c r="AF24" s="21">
        <f>IF(Tbl_Price_List[[#This Row],[Class_Type]]="Keyboard B (25kg less)",VLOOKUP(Tbl_Price_List[[#This Row],[Class_Type]],Tbl_Class_Pricelist[[Class_Type]:[YOGYAKARTA]],30,0),3078*Tbl_Prod_Catalog[[#This Row],[Weight (kg)]])</f>
        <v>58500</v>
      </c>
    </row>
    <row r="25" spans="1:32" ht="15" customHeight="1" x14ac:dyDescent="0.25">
      <c r="A25" s="6">
        <v>23</v>
      </c>
      <c r="B25" s="27" t="str">
        <f>VLOOKUP(Tbl_Price_List[[#This Row],[Product_Name]],Tbl_Prod_Catalog[[#This Row],[Product_Name]:[Class_Type]],8,0)</f>
        <v>Keyboard B (25kg less)</v>
      </c>
      <c r="C25" t="s">
        <v>271</v>
      </c>
      <c r="D25" s="21">
        <f>IF(Tbl_Price_List[[#This Row],[Class_Type]]="Keyboard B (25kg less)",VLOOKUP(Tbl_Price_List[[#This Row],[Class_Type]],Tbl_Class_Pricelist[[Class_Type]:[BALI]],2,0),9578*Tbl_Prod_Catalog[[#This Row],[Weight (kg)]])</f>
        <v>182000</v>
      </c>
      <c r="E25" s="21">
        <f>(7350*Product_Catalog!D25)</f>
        <v>205800</v>
      </c>
      <c r="F25" s="21">
        <f>IF(Tbl_Price_List[[#This Row],[Class_Type]]="Keyboard B (25kg less)",VLOOKUP(Tbl_Price_List[[#This Row],[Class_Type]],Tbl_Class_Pricelist[[Class_Type]:[BANDAR LAMPUNG]],4,0),4421*Tbl_Prod_Catalog[[#This Row],[Weight (kg)]])</f>
        <v>84000</v>
      </c>
      <c r="G25" s="21">
        <f>IF(Tbl_Price_List[[#This Row],[Class_Type]]="Keyboard B (25kg less)",VLOOKUP(Tbl_Price_List[[#This Row],[Class_Type]],Tbl_Class_Pricelist[[Class_Type]:[BANDUNG]],5,0),2460*Tbl_Prod_Catalog[[#This Row],[Weight (kg)]])</f>
        <v>46750</v>
      </c>
      <c r="H25" s="21">
        <f>IF(Tbl_Price_List[[#This Row],[Class_Type]]="Keyboard B (25kg less)",VLOOKUP(Tbl_Price_List[[#This Row],[Class_Type]],Tbl_Class_Pricelist[[Class_Type]:[BANGKA]],6,0),6736*Tbl_Prod_Catalog[[#This Row],[Weight (kg)]])</f>
        <v>128000</v>
      </c>
      <c r="I25" s="21">
        <f>(4725*Product_Catalog!D25)</f>
        <v>132300</v>
      </c>
      <c r="J25" s="21">
        <f>IF(Tbl_Price_List[[#This Row],[Class_Type]]="Keyboard B (25kg less)",VLOOKUP(Tbl_Price_List[[#This Row],[Class_Type]],Tbl_Class_Pricelist[[Class_Type]:[BATAM]],8,0),6736*Tbl_Prod_Catalog[[#This Row],[Weight (kg)]])</f>
        <v>128000</v>
      </c>
      <c r="K25" s="21">
        <f>IF(Tbl_Price_List[[#This Row],[Class_Type]]="Keyboard B (25kg less)",VLOOKUP(Tbl_Price_List[[#This Row],[Class_Type]],Tbl_Class_Pricelist[[Class_Type]:[BOGOR]],9,0),1921*Tbl_Prod_Catalog[[#This Row],[Weight (kg)]])</f>
        <v>36500</v>
      </c>
      <c r="L25" s="21">
        <f>IF(Tbl_Price_List[[#This Row],[Class_Type]]="Keyboard B (25kg less)",VLOOKUP(Tbl_Price_List[[#This Row],[Class_Type]],Tbl_Class_Pricelist[[Class_Type]:[CIREBON]],10,0),2815*Tbl_Prod_Catalog[[#This Row],[Weight (kg)]])</f>
        <v>51500</v>
      </c>
      <c r="M25" s="21">
        <f>IF(Tbl_Price_List[[#This Row],[Class_Type]]="Keyboard B (25kg less)",VLOOKUP(Tbl_Price_List[[#This Row],[Class_Type]],Tbl_Class_Pricelist[[Class_Type]:[JAMBI]],11,0),5857*Tbl_Prod_Catalog[[#This Row],[Weight (kg)]])</f>
        <v>107500</v>
      </c>
      <c r="N25" s="21">
        <f>IF(Tbl_Price_List[[#This Row],[Class_Type]]="Keyboard B (25kg less)",VLOOKUP(Tbl_Price_List[[#This Row],[Class_Type]],Tbl_Class_Pricelist[[Class_Type]:[JOMBANG]],12,0),6078*Tbl_Prod_Catalog[[#This Row],[Weight (kg)]])</f>
        <v>115500</v>
      </c>
      <c r="O25" s="21">
        <f>IF(Tbl_Price_List[[#This Row],[Class_Type]]="Keyboard B (25kg less)",VLOOKUP(Tbl_Price_List[[#This Row],[Class_Type]],Tbl_Class_Pricelist[[Class_Type]:[KUDUS]],13,0),4473*Tbl_Prod_Catalog[[#This Row],[Weight (kg)]])</f>
        <v>85000</v>
      </c>
      <c r="P25" s="21">
        <f>IF(Tbl_Price_List[[#This Row],[Class_Type]]="Keyboard B (25kg less)",VLOOKUP(Tbl_Price_List[[#This Row],[Class_Type]],Tbl_Class_Pricelist[[Class_Type]:[MAGELANG]],14,0),3078*Tbl_Prod_Catalog[[#This Row],[Weight (kg)]])</f>
        <v>58500</v>
      </c>
      <c r="Q25" s="21">
        <f>IF(Tbl_Price_List[[#This Row],[Class_Type]]="Keyboard B (25kg less)",VLOOKUP(Tbl_Price_List[[#This Row],[Class_Type]],Tbl_Class_Pricelist[[Class_Type]:[MAKASSAR]],15,0),7142*Tbl_Prod_Catalog[[#This Row],[Weight (kg)]])</f>
        <v>135700</v>
      </c>
      <c r="R25" s="21">
        <f>IF(Tbl_Price_List[[#This Row],[Class_Type]]="Keyboard B (25kg less)",VLOOKUP(Tbl_Price_List[[#This Row],[Class_Type]],Tbl_Class_Pricelist[[Class_Type]:[MALANG]],16,0),5868*Tbl_Prod_Catalog[[#This Row],[Weight (kg)]])</f>
        <v>111500</v>
      </c>
      <c r="S25" s="21">
        <f>IF(Tbl_Price_List[[#This Row],[Class_Type]]="Keyboard B (25kg less)",VLOOKUP(Tbl_Price_List[[#This Row],[Class_Type]],Tbl_Class_Pricelist[[Class_Type]:[MANADO]],17,0),7142*Tbl_Prod_Catalog[[#This Row],[Weight (kg)]])</f>
        <v>135700</v>
      </c>
      <c r="T25" s="21">
        <f>IF(Tbl_Price_List[[#This Row],[Class_Type]]="Keyboard B (25kg less)",VLOOKUP(Tbl_Price_List[[#This Row],[Class_Type]],Tbl_Class_Pricelist[[Class_Type]:[MEDAN]],18,0),7142*Tbl_Prod_Catalog[[#This Row],[Weight (kg)]])</f>
        <v>135700</v>
      </c>
      <c r="U25" s="21">
        <f>IF(Tbl_Price_List[[#This Row],[Class_Type]]="Keyboard B (25kg less)",VLOOKUP(Tbl_Price_List[[#This Row],[Class_Type]],Tbl_Class_Pricelist[[Class_Type]:[PADANG]],19,0),5657*Tbl_Prod_Catalog[[#This Row],[Weight (kg)]])</f>
        <v>107500</v>
      </c>
      <c r="V25" s="21">
        <f>(12000*Product_Catalog!D25)</f>
        <v>336000</v>
      </c>
      <c r="W25" s="21">
        <f>IF(Tbl_Price_List[[#This Row],[Class_Type]]="Keyboard B (25kg less)",VLOOKUP(Tbl_Price_List[[#This Row],[Class_Type]],Tbl_Class_Pricelist[[Class_Type]:[PALEMBANG]],21,0),5084*Tbl_Prod_Catalog[[#This Row],[Weight (kg)]])</f>
        <v>96600</v>
      </c>
      <c r="X25" s="21">
        <f>IF(Tbl_Price_List[[#This Row],[Class_Type]]="Keyboard B (25kg less)",VLOOKUP(Tbl_Price_List[[#This Row],[Class_Type]],Tbl_Class_Pricelist[[Class_Type]:[PEKANBARU]],22,0),6736*Tbl_Prod_Catalog[[#This Row],[Weight (kg)]])</f>
        <v>128000</v>
      </c>
      <c r="Y25" s="21">
        <f>(5250*Product_Catalog!D25)</f>
        <v>147000</v>
      </c>
      <c r="Z25" s="21">
        <f>IF(Tbl_Price_List[[#This Row],[Class_Type]]="Keyboard B (25kg less)",VLOOKUP(Tbl_Price_List[[#This Row],[Class_Type]],Tbl_Class_Pricelist[[Class_Type]:[PURWOKERTO]],24,0),4473*Tbl_Prod_Catalog[[#This Row],[Weight (kg)]])</f>
        <v>85000</v>
      </c>
      <c r="AA25" s="21">
        <f>(8400*Product_Catalog!D25)</f>
        <v>235200</v>
      </c>
      <c r="AB25" s="21">
        <f>IF(Tbl_Price_List[[#This Row],[Class_Type]]="Keyboard B (25kg less)",VLOOKUP(Tbl_Price_List[[#This Row],[Class_Type]],Tbl_Class_Pricelist[[Class_Type]:[SEMARANG]],26,0),3078*Tbl_Prod_Catalog[[#This Row],[Weight (kg)]])</f>
        <v>58500</v>
      </c>
      <c r="AC25" s="21">
        <f>IF(Tbl_Price_List[[#This Row],[Class_Type]]="Keyboard B (25kg less)",VLOOKUP(Tbl_Price_List[[#This Row],[Class_Type]],Tbl_Class_Pricelist[[Class_Type]:[SOLO]],27,0),3155*Tbl_Prod_Catalog[[#This Row],[Weight (kg)]])</f>
        <v>60000</v>
      </c>
      <c r="AD25" s="21">
        <f>IF(Tbl_Price_List[[#This Row],[Class_Type]]="Keyboard B (25kg less)",VLOOKUP(Tbl_Price_List[[#This Row],[Class_Type]],Tbl_Class_Pricelist[[Class_Type]:[SURABAYA]],28,0),3657*Tbl_Prod_Catalog[[#This Row],[Weight (kg)]])</f>
        <v>69500</v>
      </c>
      <c r="AE25" s="21" t="str">
        <f>"Jakarta + Real Cost"</f>
        <v>Jakarta + Real Cost</v>
      </c>
      <c r="AF25" s="21">
        <f>IF(Tbl_Price_List[[#This Row],[Class_Type]]="Keyboard B (25kg less)",VLOOKUP(Tbl_Price_List[[#This Row],[Class_Type]],Tbl_Class_Pricelist[[Class_Type]:[YOGYAKARTA]],30,0),3078*Tbl_Prod_Catalog[[#This Row],[Weight (kg)]])</f>
        <v>58500</v>
      </c>
    </row>
    <row r="26" spans="1:32" ht="15" customHeight="1" x14ac:dyDescent="0.25">
      <c r="A26" s="6">
        <v>24</v>
      </c>
      <c r="B26" s="27" t="str">
        <f>VLOOKUP(Tbl_Price_List[[#This Row],[Product_Name]],Tbl_Prod_Catalog[[#This Row],[Product_Name]:[Class_Type]],8,0)</f>
        <v>Keyboard A (25kg more)</v>
      </c>
      <c r="C26" t="s">
        <v>272</v>
      </c>
      <c r="D26" s="21">
        <f>IF(Tbl_Price_List[[#This Row],[Class_Type]]="Keyboard B (25kg less)",VLOOKUP(Tbl_Price_List[[#This Row],[Class_Type]],Tbl_Class_Pricelist[[Class_Type]:[BALI]],2,0),9578*Tbl_Prod_Catalog[[#This Row],[Weight (kg)]])</f>
        <v>363964</v>
      </c>
      <c r="E26" s="21">
        <f>(7350*Product_Catalog!D26)</f>
        <v>499800</v>
      </c>
      <c r="F26" s="21">
        <f>IF(Tbl_Price_List[[#This Row],[Class_Type]]="Keyboard B (25kg less)",VLOOKUP(Tbl_Price_List[[#This Row],[Class_Type]],Tbl_Class_Pricelist[[Class_Type]:[BANDAR LAMPUNG]],4,0),4421*Tbl_Prod_Catalog[[#This Row],[Weight (kg)]])</f>
        <v>167998</v>
      </c>
      <c r="G26" s="21">
        <f>IF(Tbl_Price_List[[#This Row],[Class_Type]]="Keyboard B (25kg less)",VLOOKUP(Tbl_Price_List[[#This Row],[Class_Type]],Tbl_Class_Pricelist[[Class_Type]:[BANDUNG]],5,0),2460*Tbl_Prod_Catalog[[#This Row],[Weight (kg)]])</f>
        <v>93480</v>
      </c>
      <c r="H26" s="21">
        <f>IF(Tbl_Price_List[[#This Row],[Class_Type]]="Keyboard B (25kg less)",VLOOKUP(Tbl_Price_List[[#This Row],[Class_Type]],Tbl_Class_Pricelist[[Class_Type]:[BANGKA]],6,0),6736*Tbl_Prod_Catalog[[#This Row],[Weight (kg)]])</f>
        <v>255968</v>
      </c>
      <c r="I26" s="21">
        <f>(4725*Product_Catalog!D26)</f>
        <v>321300</v>
      </c>
      <c r="J26" s="21">
        <f>IF(Tbl_Price_List[[#This Row],[Class_Type]]="Keyboard B (25kg less)",VLOOKUP(Tbl_Price_List[[#This Row],[Class_Type]],Tbl_Class_Pricelist[[Class_Type]:[BATAM]],8,0),6736*Tbl_Prod_Catalog[[#This Row],[Weight (kg)]])</f>
        <v>255968</v>
      </c>
      <c r="K26" s="21">
        <f>IF(Tbl_Price_List[[#This Row],[Class_Type]]="Keyboard B (25kg less)",VLOOKUP(Tbl_Price_List[[#This Row],[Class_Type]],Tbl_Class_Pricelist[[Class_Type]:[BOGOR]],9,0),1921*Tbl_Prod_Catalog[[#This Row],[Weight (kg)]])</f>
        <v>72998</v>
      </c>
      <c r="L26" s="21">
        <f>IF(Tbl_Price_List[[#This Row],[Class_Type]]="Keyboard B (25kg less)",VLOOKUP(Tbl_Price_List[[#This Row],[Class_Type]],Tbl_Class_Pricelist[[Class_Type]:[CIREBON]],10,0),2815*Tbl_Prod_Catalog[[#This Row],[Weight (kg)]])</f>
        <v>106970</v>
      </c>
      <c r="M26" s="21">
        <f>IF(Tbl_Price_List[[#This Row],[Class_Type]]="Keyboard B (25kg less)",VLOOKUP(Tbl_Price_List[[#This Row],[Class_Type]],Tbl_Class_Pricelist[[Class_Type]:[JAMBI]],11,0),5857*Tbl_Prod_Catalog[[#This Row],[Weight (kg)]])</f>
        <v>222566</v>
      </c>
      <c r="N26" s="21">
        <f>IF(Tbl_Price_List[[#This Row],[Class_Type]]="Keyboard B (25kg less)",VLOOKUP(Tbl_Price_List[[#This Row],[Class_Type]],Tbl_Class_Pricelist[[Class_Type]:[JOMBANG]],12,0),6078*Tbl_Prod_Catalog[[#This Row],[Weight (kg)]])</f>
        <v>230964</v>
      </c>
      <c r="O26" s="21">
        <f>IF(Tbl_Price_List[[#This Row],[Class_Type]]="Keyboard B (25kg less)",VLOOKUP(Tbl_Price_List[[#This Row],[Class_Type]],Tbl_Class_Pricelist[[Class_Type]:[KUDUS]],13,0),4473*Tbl_Prod_Catalog[[#This Row],[Weight (kg)]])</f>
        <v>169974</v>
      </c>
      <c r="P26" s="21">
        <f>IF(Tbl_Price_List[[#This Row],[Class_Type]]="Keyboard B (25kg less)",VLOOKUP(Tbl_Price_List[[#This Row],[Class_Type]],Tbl_Class_Pricelist[[Class_Type]:[MAGELANG]],14,0),3078*Tbl_Prod_Catalog[[#This Row],[Weight (kg)]])</f>
        <v>116964</v>
      </c>
      <c r="Q26" s="21">
        <f>IF(Tbl_Price_List[[#This Row],[Class_Type]]="Keyboard B (25kg less)",VLOOKUP(Tbl_Price_List[[#This Row],[Class_Type]],Tbl_Class_Pricelist[[Class_Type]:[MAKASSAR]],15,0),7142*Tbl_Prod_Catalog[[#This Row],[Weight (kg)]])</f>
        <v>271396</v>
      </c>
      <c r="R26" s="21">
        <f>IF(Tbl_Price_List[[#This Row],[Class_Type]]="Keyboard B (25kg less)",VLOOKUP(Tbl_Price_List[[#This Row],[Class_Type]],Tbl_Class_Pricelist[[Class_Type]:[MALANG]],16,0),5868*Tbl_Prod_Catalog[[#This Row],[Weight (kg)]])</f>
        <v>222984</v>
      </c>
      <c r="S26" s="21">
        <f>IF(Tbl_Price_List[[#This Row],[Class_Type]]="Keyboard B (25kg less)",VLOOKUP(Tbl_Price_List[[#This Row],[Class_Type]],Tbl_Class_Pricelist[[Class_Type]:[MANADO]],17,0),7142*Tbl_Prod_Catalog[[#This Row],[Weight (kg)]])</f>
        <v>271396</v>
      </c>
      <c r="T26" s="21">
        <f>IF(Tbl_Price_List[[#This Row],[Class_Type]]="Keyboard B (25kg less)",VLOOKUP(Tbl_Price_List[[#This Row],[Class_Type]],Tbl_Class_Pricelist[[Class_Type]:[MEDAN]],18,0),7142*Tbl_Prod_Catalog[[#This Row],[Weight (kg)]])</f>
        <v>271396</v>
      </c>
      <c r="U26" s="21">
        <f>IF(Tbl_Price_List[[#This Row],[Class_Type]]="Keyboard B (25kg less)",VLOOKUP(Tbl_Price_List[[#This Row],[Class_Type]],Tbl_Class_Pricelist[[Class_Type]:[PADANG]],19,0),5657*Tbl_Prod_Catalog[[#This Row],[Weight (kg)]])</f>
        <v>214966</v>
      </c>
      <c r="V26" s="21">
        <f>(12000*Product_Catalog!D26)</f>
        <v>816000</v>
      </c>
      <c r="W26" s="21">
        <f>IF(Tbl_Price_List[[#This Row],[Class_Type]]="Keyboard B (25kg less)",VLOOKUP(Tbl_Price_List[[#This Row],[Class_Type]],Tbl_Class_Pricelist[[Class_Type]:[PALEMBANG]],21,0),5084*Tbl_Prod_Catalog[[#This Row],[Weight (kg)]])</f>
        <v>193192</v>
      </c>
      <c r="X26" s="21">
        <f>IF(Tbl_Price_List[[#This Row],[Class_Type]]="Keyboard B (25kg less)",VLOOKUP(Tbl_Price_List[[#This Row],[Class_Type]],Tbl_Class_Pricelist[[Class_Type]:[PEKANBARU]],22,0),6736*Tbl_Prod_Catalog[[#This Row],[Weight (kg)]])</f>
        <v>255968</v>
      </c>
      <c r="Y26" s="21">
        <f>(5250*Product_Catalog!D26)</f>
        <v>357000</v>
      </c>
      <c r="Z26" s="21">
        <f>IF(Tbl_Price_List[[#This Row],[Class_Type]]="Keyboard B (25kg less)",VLOOKUP(Tbl_Price_List[[#This Row],[Class_Type]],Tbl_Class_Pricelist[[Class_Type]:[PURWOKERTO]],24,0),4473*Tbl_Prod_Catalog[[#This Row],[Weight (kg)]])</f>
        <v>169974</v>
      </c>
      <c r="AA26" s="21">
        <f>(8400*Product_Catalog!D26)</f>
        <v>571200</v>
      </c>
      <c r="AB26" s="21">
        <f>IF(Tbl_Price_List[[#This Row],[Class_Type]]="Keyboard B (25kg less)",VLOOKUP(Tbl_Price_List[[#This Row],[Class_Type]],Tbl_Class_Pricelist[[Class_Type]:[SEMARANG]],26,0),3078*Tbl_Prod_Catalog[[#This Row],[Weight (kg)]])</f>
        <v>116964</v>
      </c>
      <c r="AC26" s="21">
        <f>IF(Tbl_Price_List[[#This Row],[Class_Type]]="Keyboard B (25kg less)",VLOOKUP(Tbl_Price_List[[#This Row],[Class_Type]],Tbl_Class_Pricelist[[Class_Type]:[SOLO]],27,0),3155*Tbl_Prod_Catalog[[#This Row],[Weight (kg)]])</f>
        <v>119890</v>
      </c>
      <c r="AD26" s="21">
        <f>IF(Tbl_Price_List[[#This Row],[Class_Type]]="Keyboard B (25kg less)",VLOOKUP(Tbl_Price_List[[#This Row],[Class_Type]],Tbl_Class_Pricelist[[Class_Type]:[SURABAYA]],28,0),3657*Tbl_Prod_Catalog[[#This Row],[Weight (kg)]])</f>
        <v>138966</v>
      </c>
      <c r="AE26" s="21" t="str">
        <f>"Jakarta + Real Cost"</f>
        <v>Jakarta + Real Cost</v>
      </c>
      <c r="AF26" s="21">
        <f>IF(Tbl_Price_List[[#This Row],[Class_Type]]="Keyboard B (25kg less)",VLOOKUP(Tbl_Price_List[[#This Row],[Class_Type]],Tbl_Class_Pricelist[[Class_Type]:[YOGYAKARTA]],30,0),3078*Tbl_Prod_Catalog[[#This Row],[Weight (kg)]])</f>
        <v>116964</v>
      </c>
    </row>
    <row r="27" spans="1:32" ht="15" customHeight="1" x14ac:dyDescent="0.25">
      <c r="A27" s="6">
        <v>25</v>
      </c>
      <c r="B27" s="27" t="str">
        <f>VLOOKUP(Tbl_Price_List[[#This Row],[Product_Name]],Tbl_Prod_Catalog[[#This Row],[Product_Name]:[Class_Type]],8,0)</f>
        <v>Keyboard B (25kg less)</v>
      </c>
      <c r="C27" t="s">
        <v>273</v>
      </c>
      <c r="D27" s="21">
        <f>IF(Tbl_Price_List[[#This Row],[Class_Type]]="Keyboard B (25kg less)",VLOOKUP(Tbl_Price_List[[#This Row],[Class_Type]],Tbl_Class_Pricelist[[Class_Type]:[BALI]],2,0),9578*Tbl_Prod_Catalog[[#This Row],[Weight (kg)]])</f>
        <v>182000</v>
      </c>
      <c r="E27" s="21">
        <f>(7350*Product_Catalog!D27)</f>
        <v>139650</v>
      </c>
      <c r="F27" s="21">
        <f>IF(Tbl_Price_List[[#This Row],[Class_Type]]="Keyboard B (25kg less)",VLOOKUP(Tbl_Price_List[[#This Row],[Class_Type]],Tbl_Class_Pricelist[[Class_Type]:[BANDAR LAMPUNG]],4,0),4421*Tbl_Prod_Catalog[[#This Row],[Weight (kg)]])</f>
        <v>84000</v>
      </c>
      <c r="G27" s="21">
        <f>IF(Tbl_Price_List[[#This Row],[Class_Type]]="Keyboard B (25kg less)",VLOOKUP(Tbl_Price_List[[#This Row],[Class_Type]],Tbl_Class_Pricelist[[Class_Type]:[BANDUNG]],5,0),2460*Tbl_Prod_Catalog[[#This Row],[Weight (kg)]])</f>
        <v>46750</v>
      </c>
      <c r="H27" s="21">
        <f>IF(Tbl_Price_List[[#This Row],[Class_Type]]="Keyboard B (25kg less)",VLOOKUP(Tbl_Price_List[[#This Row],[Class_Type]],Tbl_Class_Pricelist[[Class_Type]:[BANGKA]],6,0),6736*Tbl_Prod_Catalog[[#This Row],[Weight (kg)]])</f>
        <v>128000</v>
      </c>
      <c r="I27" s="21">
        <f>(4725*Product_Catalog!D27)</f>
        <v>89775</v>
      </c>
      <c r="J27" s="21">
        <f>IF(Tbl_Price_List[[#This Row],[Class_Type]]="Keyboard B (25kg less)",VLOOKUP(Tbl_Price_List[[#This Row],[Class_Type]],Tbl_Class_Pricelist[[Class_Type]:[BATAM]],8,0),6736*Tbl_Prod_Catalog[[#This Row],[Weight (kg)]])</f>
        <v>128000</v>
      </c>
      <c r="K27" s="21">
        <f>IF(Tbl_Price_List[[#This Row],[Class_Type]]="Keyboard B (25kg less)",VLOOKUP(Tbl_Price_List[[#This Row],[Class_Type]],Tbl_Class_Pricelist[[Class_Type]:[BOGOR]],9,0),1921*Tbl_Prod_Catalog[[#This Row],[Weight (kg)]])</f>
        <v>36500</v>
      </c>
      <c r="L27" s="21">
        <f>IF(Tbl_Price_List[[#This Row],[Class_Type]]="Keyboard B (25kg less)",VLOOKUP(Tbl_Price_List[[#This Row],[Class_Type]],Tbl_Class_Pricelist[[Class_Type]:[CIREBON]],10,0),2815*Tbl_Prod_Catalog[[#This Row],[Weight (kg)]])</f>
        <v>51500</v>
      </c>
      <c r="M27" s="21">
        <f>IF(Tbl_Price_List[[#This Row],[Class_Type]]="Keyboard B (25kg less)",VLOOKUP(Tbl_Price_List[[#This Row],[Class_Type]],Tbl_Class_Pricelist[[Class_Type]:[JAMBI]],11,0),5857*Tbl_Prod_Catalog[[#This Row],[Weight (kg)]])</f>
        <v>107500</v>
      </c>
      <c r="N27" s="21">
        <f>IF(Tbl_Price_List[[#This Row],[Class_Type]]="Keyboard B (25kg less)",VLOOKUP(Tbl_Price_List[[#This Row],[Class_Type]],Tbl_Class_Pricelist[[Class_Type]:[JOMBANG]],12,0),6078*Tbl_Prod_Catalog[[#This Row],[Weight (kg)]])</f>
        <v>115500</v>
      </c>
      <c r="O27" s="21">
        <f>IF(Tbl_Price_List[[#This Row],[Class_Type]]="Keyboard B (25kg less)",VLOOKUP(Tbl_Price_List[[#This Row],[Class_Type]],Tbl_Class_Pricelist[[Class_Type]:[KUDUS]],13,0),4473*Tbl_Prod_Catalog[[#This Row],[Weight (kg)]])</f>
        <v>85000</v>
      </c>
      <c r="P27" s="21">
        <f>IF(Tbl_Price_List[[#This Row],[Class_Type]]="Keyboard B (25kg less)",VLOOKUP(Tbl_Price_List[[#This Row],[Class_Type]],Tbl_Class_Pricelist[[Class_Type]:[MAGELANG]],14,0),3078*Tbl_Prod_Catalog[[#This Row],[Weight (kg)]])</f>
        <v>58500</v>
      </c>
      <c r="Q27" s="21">
        <f>IF(Tbl_Price_List[[#This Row],[Class_Type]]="Keyboard B (25kg less)",VLOOKUP(Tbl_Price_List[[#This Row],[Class_Type]],Tbl_Class_Pricelist[[Class_Type]:[MAKASSAR]],15,0),7142*Tbl_Prod_Catalog[[#This Row],[Weight (kg)]])</f>
        <v>135700</v>
      </c>
      <c r="R27" s="21">
        <f>IF(Tbl_Price_List[[#This Row],[Class_Type]]="Keyboard B (25kg less)",VLOOKUP(Tbl_Price_List[[#This Row],[Class_Type]],Tbl_Class_Pricelist[[Class_Type]:[MALANG]],16,0),5868*Tbl_Prod_Catalog[[#This Row],[Weight (kg)]])</f>
        <v>111500</v>
      </c>
      <c r="S27" s="21">
        <f>IF(Tbl_Price_List[[#This Row],[Class_Type]]="Keyboard B (25kg less)",VLOOKUP(Tbl_Price_List[[#This Row],[Class_Type]],Tbl_Class_Pricelist[[Class_Type]:[MANADO]],17,0),7142*Tbl_Prod_Catalog[[#This Row],[Weight (kg)]])</f>
        <v>135700</v>
      </c>
      <c r="T27" s="21">
        <f>IF(Tbl_Price_List[[#This Row],[Class_Type]]="Keyboard B (25kg less)",VLOOKUP(Tbl_Price_List[[#This Row],[Class_Type]],Tbl_Class_Pricelist[[Class_Type]:[MEDAN]],18,0),7142*Tbl_Prod_Catalog[[#This Row],[Weight (kg)]])</f>
        <v>135700</v>
      </c>
      <c r="U27" s="21">
        <f>IF(Tbl_Price_List[[#This Row],[Class_Type]]="Keyboard B (25kg less)",VLOOKUP(Tbl_Price_List[[#This Row],[Class_Type]],Tbl_Class_Pricelist[[Class_Type]:[PADANG]],19,0),5657*Tbl_Prod_Catalog[[#This Row],[Weight (kg)]])</f>
        <v>107500</v>
      </c>
      <c r="V27" s="21">
        <f>(12000*Product_Catalog!D27)</f>
        <v>228000</v>
      </c>
      <c r="W27" s="21">
        <f>IF(Tbl_Price_List[[#This Row],[Class_Type]]="Keyboard B (25kg less)",VLOOKUP(Tbl_Price_List[[#This Row],[Class_Type]],Tbl_Class_Pricelist[[Class_Type]:[PALEMBANG]],21,0),5084*Tbl_Prod_Catalog[[#This Row],[Weight (kg)]])</f>
        <v>96600</v>
      </c>
      <c r="X27" s="21">
        <f>IF(Tbl_Price_List[[#This Row],[Class_Type]]="Keyboard B (25kg less)",VLOOKUP(Tbl_Price_List[[#This Row],[Class_Type]],Tbl_Class_Pricelist[[Class_Type]:[PEKANBARU]],22,0),6736*Tbl_Prod_Catalog[[#This Row],[Weight (kg)]])</f>
        <v>128000</v>
      </c>
      <c r="Y27" s="21">
        <f>(5250*Product_Catalog!D27)</f>
        <v>99750</v>
      </c>
      <c r="Z27" s="21">
        <f>IF(Tbl_Price_List[[#This Row],[Class_Type]]="Keyboard B (25kg less)",VLOOKUP(Tbl_Price_List[[#This Row],[Class_Type]],Tbl_Class_Pricelist[[Class_Type]:[PURWOKERTO]],24,0),4473*Tbl_Prod_Catalog[[#This Row],[Weight (kg)]])</f>
        <v>85000</v>
      </c>
      <c r="AA27" s="21">
        <f>(8400*Product_Catalog!D27)</f>
        <v>159600</v>
      </c>
      <c r="AB27" s="21">
        <f>IF(Tbl_Price_List[[#This Row],[Class_Type]]="Keyboard B (25kg less)",VLOOKUP(Tbl_Price_List[[#This Row],[Class_Type]],Tbl_Class_Pricelist[[Class_Type]:[SEMARANG]],26,0),3078*Tbl_Prod_Catalog[[#This Row],[Weight (kg)]])</f>
        <v>58500</v>
      </c>
      <c r="AC27" s="21">
        <f>IF(Tbl_Price_List[[#This Row],[Class_Type]]="Keyboard B (25kg less)",VLOOKUP(Tbl_Price_List[[#This Row],[Class_Type]],Tbl_Class_Pricelist[[Class_Type]:[SOLO]],27,0),3155*Tbl_Prod_Catalog[[#This Row],[Weight (kg)]])</f>
        <v>60000</v>
      </c>
      <c r="AD27" s="21">
        <f>IF(Tbl_Price_List[[#This Row],[Class_Type]]="Keyboard B (25kg less)",VLOOKUP(Tbl_Price_List[[#This Row],[Class_Type]],Tbl_Class_Pricelist[[Class_Type]:[SURABAYA]],28,0),3657*Tbl_Prod_Catalog[[#This Row],[Weight (kg)]])</f>
        <v>69500</v>
      </c>
      <c r="AE27" s="21" t="str">
        <f>"Jakarta + Real Cost"</f>
        <v>Jakarta + Real Cost</v>
      </c>
      <c r="AF27" s="21">
        <f>IF(Tbl_Price_List[[#This Row],[Class_Type]]="Keyboard B (25kg less)",VLOOKUP(Tbl_Price_List[[#This Row],[Class_Type]],Tbl_Class_Pricelist[[Class_Type]:[YOGYAKARTA]],30,0),3078*Tbl_Prod_Catalog[[#This Row],[Weight (kg)]])</f>
        <v>58500</v>
      </c>
    </row>
    <row r="28" spans="1:32" ht="15" customHeight="1" x14ac:dyDescent="0.25">
      <c r="A28" s="6">
        <v>26</v>
      </c>
      <c r="B28" s="27" t="str">
        <f>VLOOKUP(Tbl_Price_List[[#This Row],[Product_Name]],Tbl_Prod_Catalog[[#This Row],[Product_Name]:[Class_Type]],8,0)</f>
        <v>Keyboard B (25kg less)</v>
      </c>
      <c r="C28" t="s">
        <v>274</v>
      </c>
      <c r="D28" s="21">
        <f>IF(Tbl_Price_List[[#This Row],[Class_Type]]="Keyboard B (25kg less)",VLOOKUP(Tbl_Price_List[[#This Row],[Class_Type]],Tbl_Class_Pricelist[[Class_Type]:[BALI]],2,0),9578*Tbl_Prod_Catalog[[#This Row],[Weight (kg)]])</f>
        <v>182000</v>
      </c>
      <c r="E28" s="21">
        <f>(7350*Product_Catalog!D28)</f>
        <v>117600</v>
      </c>
      <c r="F28" s="21">
        <f>IF(Tbl_Price_List[[#This Row],[Class_Type]]="Keyboard B (25kg less)",VLOOKUP(Tbl_Price_List[[#This Row],[Class_Type]],Tbl_Class_Pricelist[[Class_Type]:[BANDAR LAMPUNG]],4,0),4421*Tbl_Prod_Catalog[[#This Row],[Weight (kg)]])</f>
        <v>84000</v>
      </c>
      <c r="G28" s="21">
        <f>IF(Tbl_Price_List[[#This Row],[Class_Type]]="Keyboard B (25kg less)",VLOOKUP(Tbl_Price_List[[#This Row],[Class_Type]],Tbl_Class_Pricelist[[Class_Type]:[BANDUNG]],5,0),2460*Tbl_Prod_Catalog[[#This Row],[Weight (kg)]])</f>
        <v>46750</v>
      </c>
      <c r="H28" s="21">
        <f>IF(Tbl_Price_List[[#This Row],[Class_Type]]="Keyboard B (25kg less)",VLOOKUP(Tbl_Price_List[[#This Row],[Class_Type]],Tbl_Class_Pricelist[[Class_Type]:[BANGKA]],6,0),6736*Tbl_Prod_Catalog[[#This Row],[Weight (kg)]])</f>
        <v>128000</v>
      </c>
      <c r="I28" s="21">
        <f>(4725*Product_Catalog!D28)</f>
        <v>75600</v>
      </c>
      <c r="J28" s="21">
        <f>IF(Tbl_Price_List[[#This Row],[Class_Type]]="Keyboard B (25kg less)",VLOOKUP(Tbl_Price_List[[#This Row],[Class_Type]],Tbl_Class_Pricelist[[Class_Type]:[BATAM]],8,0),6736*Tbl_Prod_Catalog[[#This Row],[Weight (kg)]])</f>
        <v>128000</v>
      </c>
      <c r="K28" s="21">
        <f>IF(Tbl_Price_List[[#This Row],[Class_Type]]="Keyboard B (25kg less)",VLOOKUP(Tbl_Price_List[[#This Row],[Class_Type]],Tbl_Class_Pricelist[[Class_Type]:[BOGOR]],9,0),1921*Tbl_Prod_Catalog[[#This Row],[Weight (kg)]])</f>
        <v>36500</v>
      </c>
      <c r="L28" s="21">
        <f>IF(Tbl_Price_List[[#This Row],[Class_Type]]="Keyboard B (25kg less)",VLOOKUP(Tbl_Price_List[[#This Row],[Class_Type]],Tbl_Class_Pricelist[[Class_Type]:[CIREBON]],10,0),2815*Tbl_Prod_Catalog[[#This Row],[Weight (kg)]])</f>
        <v>51500</v>
      </c>
      <c r="M28" s="21">
        <f>IF(Tbl_Price_List[[#This Row],[Class_Type]]="Keyboard B (25kg less)",VLOOKUP(Tbl_Price_List[[#This Row],[Class_Type]],Tbl_Class_Pricelist[[Class_Type]:[JAMBI]],11,0),5857*Tbl_Prod_Catalog[[#This Row],[Weight (kg)]])</f>
        <v>107500</v>
      </c>
      <c r="N28" s="21">
        <f>IF(Tbl_Price_List[[#This Row],[Class_Type]]="Keyboard B (25kg less)",VLOOKUP(Tbl_Price_List[[#This Row],[Class_Type]],Tbl_Class_Pricelist[[Class_Type]:[JOMBANG]],12,0),6078*Tbl_Prod_Catalog[[#This Row],[Weight (kg)]])</f>
        <v>115500</v>
      </c>
      <c r="O28" s="21">
        <f>IF(Tbl_Price_List[[#This Row],[Class_Type]]="Keyboard B (25kg less)",VLOOKUP(Tbl_Price_List[[#This Row],[Class_Type]],Tbl_Class_Pricelist[[Class_Type]:[KUDUS]],13,0),4473*Tbl_Prod_Catalog[[#This Row],[Weight (kg)]])</f>
        <v>85000</v>
      </c>
      <c r="P28" s="21">
        <f>IF(Tbl_Price_List[[#This Row],[Class_Type]]="Keyboard B (25kg less)",VLOOKUP(Tbl_Price_List[[#This Row],[Class_Type]],Tbl_Class_Pricelist[[Class_Type]:[MAGELANG]],14,0),3078*Tbl_Prod_Catalog[[#This Row],[Weight (kg)]])</f>
        <v>58500</v>
      </c>
      <c r="Q28" s="21">
        <f>IF(Tbl_Price_List[[#This Row],[Class_Type]]="Keyboard B (25kg less)",VLOOKUP(Tbl_Price_List[[#This Row],[Class_Type]],Tbl_Class_Pricelist[[Class_Type]:[MAKASSAR]],15,0),7142*Tbl_Prod_Catalog[[#This Row],[Weight (kg)]])</f>
        <v>135700</v>
      </c>
      <c r="R28" s="21">
        <f>IF(Tbl_Price_List[[#This Row],[Class_Type]]="Keyboard B (25kg less)",VLOOKUP(Tbl_Price_List[[#This Row],[Class_Type]],Tbl_Class_Pricelist[[Class_Type]:[MALANG]],16,0),5868*Tbl_Prod_Catalog[[#This Row],[Weight (kg)]])</f>
        <v>111500</v>
      </c>
      <c r="S28" s="21">
        <f>IF(Tbl_Price_List[[#This Row],[Class_Type]]="Keyboard B (25kg less)",VLOOKUP(Tbl_Price_List[[#This Row],[Class_Type]],Tbl_Class_Pricelist[[Class_Type]:[MANADO]],17,0),7142*Tbl_Prod_Catalog[[#This Row],[Weight (kg)]])</f>
        <v>135700</v>
      </c>
      <c r="T28" s="21">
        <f>IF(Tbl_Price_List[[#This Row],[Class_Type]]="Keyboard B (25kg less)",VLOOKUP(Tbl_Price_List[[#This Row],[Class_Type]],Tbl_Class_Pricelist[[Class_Type]:[MEDAN]],18,0),7142*Tbl_Prod_Catalog[[#This Row],[Weight (kg)]])</f>
        <v>135700</v>
      </c>
      <c r="U28" s="21">
        <f>IF(Tbl_Price_List[[#This Row],[Class_Type]]="Keyboard B (25kg less)",VLOOKUP(Tbl_Price_List[[#This Row],[Class_Type]],Tbl_Class_Pricelist[[Class_Type]:[PADANG]],19,0),5657*Tbl_Prod_Catalog[[#This Row],[Weight (kg)]])</f>
        <v>107500</v>
      </c>
      <c r="V28" s="21">
        <f>(12000*Product_Catalog!D28)</f>
        <v>192000</v>
      </c>
      <c r="W28" s="21">
        <f>IF(Tbl_Price_List[[#This Row],[Class_Type]]="Keyboard B (25kg less)",VLOOKUP(Tbl_Price_List[[#This Row],[Class_Type]],Tbl_Class_Pricelist[[Class_Type]:[PALEMBANG]],21,0),5084*Tbl_Prod_Catalog[[#This Row],[Weight (kg)]])</f>
        <v>96600</v>
      </c>
      <c r="X28" s="21">
        <f>IF(Tbl_Price_List[[#This Row],[Class_Type]]="Keyboard B (25kg less)",VLOOKUP(Tbl_Price_List[[#This Row],[Class_Type]],Tbl_Class_Pricelist[[Class_Type]:[PEKANBARU]],22,0),6736*Tbl_Prod_Catalog[[#This Row],[Weight (kg)]])</f>
        <v>128000</v>
      </c>
      <c r="Y28" s="21">
        <f>(5250*Product_Catalog!D28)</f>
        <v>84000</v>
      </c>
      <c r="Z28" s="21">
        <f>IF(Tbl_Price_List[[#This Row],[Class_Type]]="Keyboard B (25kg less)",VLOOKUP(Tbl_Price_List[[#This Row],[Class_Type]],Tbl_Class_Pricelist[[Class_Type]:[PURWOKERTO]],24,0),4473*Tbl_Prod_Catalog[[#This Row],[Weight (kg)]])</f>
        <v>85000</v>
      </c>
      <c r="AA28" s="21">
        <f>(8400*Product_Catalog!D28)</f>
        <v>134400</v>
      </c>
      <c r="AB28" s="21">
        <f>IF(Tbl_Price_List[[#This Row],[Class_Type]]="Keyboard B (25kg less)",VLOOKUP(Tbl_Price_List[[#This Row],[Class_Type]],Tbl_Class_Pricelist[[Class_Type]:[SEMARANG]],26,0),3078*Tbl_Prod_Catalog[[#This Row],[Weight (kg)]])</f>
        <v>58500</v>
      </c>
      <c r="AC28" s="21">
        <f>IF(Tbl_Price_List[[#This Row],[Class_Type]]="Keyboard B (25kg less)",VLOOKUP(Tbl_Price_List[[#This Row],[Class_Type]],Tbl_Class_Pricelist[[Class_Type]:[SOLO]],27,0),3155*Tbl_Prod_Catalog[[#This Row],[Weight (kg)]])</f>
        <v>60000</v>
      </c>
      <c r="AD28" s="21">
        <f>IF(Tbl_Price_List[[#This Row],[Class_Type]]="Keyboard B (25kg less)",VLOOKUP(Tbl_Price_List[[#This Row],[Class_Type]],Tbl_Class_Pricelist[[Class_Type]:[SURABAYA]],28,0),3657*Tbl_Prod_Catalog[[#This Row],[Weight (kg)]])</f>
        <v>69500</v>
      </c>
      <c r="AE28" s="21" t="str">
        <f>"Jakarta + Real Cost"</f>
        <v>Jakarta + Real Cost</v>
      </c>
      <c r="AF28" s="21">
        <f>IF(Tbl_Price_List[[#This Row],[Class_Type]]="Keyboard B (25kg less)",VLOOKUP(Tbl_Price_List[[#This Row],[Class_Type]],Tbl_Class_Pricelist[[Class_Type]:[YOGYAKARTA]],30,0),3078*Tbl_Prod_Catalog[[#This Row],[Weight (kg)]])</f>
        <v>58500</v>
      </c>
    </row>
    <row r="29" spans="1:32" ht="15" customHeight="1" x14ac:dyDescent="0.25">
      <c r="A29" s="6">
        <v>27</v>
      </c>
      <c r="B29" s="27" t="str">
        <f>VLOOKUP(Tbl_Price_List[[#This Row],[Product_Name]],Tbl_Prod_Catalog[[#This Row],[Product_Name]:[Class_Type]],8,0)</f>
        <v>Keyboard B (25kg less)</v>
      </c>
      <c r="C29" t="s">
        <v>275</v>
      </c>
      <c r="D29" s="21">
        <f>IF(Tbl_Price_List[[#This Row],[Class_Type]]="Keyboard B (25kg less)",VLOOKUP(Tbl_Price_List[[#This Row],[Class_Type]],Tbl_Class_Pricelist[[Class_Type]:[BALI]],2,0),9578*Tbl_Prod_Catalog[[#This Row],[Weight (kg)]])</f>
        <v>182000</v>
      </c>
      <c r="E29" s="21">
        <f>(7350*Product_Catalog!D29)</f>
        <v>235200</v>
      </c>
      <c r="F29" s="21">
        <f>IF(Tbl_Price_List[[#This Row],[Class_Type]]="Keyboard B (25kg less)",VLOOKUP(Tbl_Price_List[[#This Row],[Class_Type]],Tbl_Class_Pricelist[[Class_Type]:[BANDAR LAMPUNG]],4,0),4421*Tbl_Prod_Catalog[[#This Row],[Weight (kg)]])</f>
        <v>84000</v>
      </c>
      <c r="G29" s="21">
        <f>IF(Tbl_Price_List[[#This Row],[Class_Type]]="Keyboard B (25kg less)",VLOOKUP(Tbl_Price_List[[#This Row],[Class_Type]],Tbl_Class_Pricelist[[Class_Type]:[BANDUNG]],5,0),2460*Tbl_Prod_Catalog[[#This Row],[Weight (kg)]])</f>
        <v>46750</v>
      </c>
      <c r="H29" s="21">
        <f>IF(Tbl_Price_List[[#This Row],[Class_Type]]="Keyboard B (25kg less)",VLOOKUP(Tbl_Price_List[[#This Row],[Class_Type]],Tbl_Class_Pricelist[[Class_Type]:[BANGKA]],6,0),6736*Tbl_Prod_Catalog[[#This Row],[Weight (kg)]])</f>
        <v>128000</v>
      </c>
      <c r="I29" s="21">
        <f>(4725*Product_Catalog!D29)</f>
        <v>151200</v>
      </c>
      <c r="J29" s="21">
        <f>IF(Tbl_Price_List[[#This Row],[Class_Type]]="Keyboard B (25kg less)",VLOOKUP(Tbl_Price_List[[#This Row],[Class_Type]],Tbl_Class_Pricelist[[Class_Type]:[BATAM]],8,0),6736*Tbl_Prod_Catalog[[#This Row],[Weight (kg)]])</f>
        <v>128000</v>
      </c>
      <c r="K29" s="21">
        <f>IF(Tbl_Price_List[[#This Row],[Class_Type]]="Keyboard B (25kg less)",VLOOKUP(Tbl_Price_List[[#This Row],[Class_Type]],Tbl_Class_Pricelist[[Class_Type]:[BOGOR]],9,0),1921*Tbl_Prod_Catalog[[#This Row],[Weight (kg)]])</f>
        <v>36500</v>
      </c>
      <c r="L29" s="21">
        <f>IF(Tbl_Price_List[[#This Row],[Class_Type]]="Keyboard B (25kg less)",VLOOKUP(Tbl_Price_List[[#This Row],[Class_Type]],Tbl_Class_Pricelist[[Class_Type]:[CIREBON]],10,0),2815*Tbl_Prod_Catalog[[#This Row],[Weight (kg)]])</f>
        <v>51500</v>
      </c>
      <c r="M29" s="21">
        <f>IF(Tbl_Price_List[[#This Row],[Class_Type]]="Keyboard B (25kg less)",VLOOKUP(Tbl_Price_List[[#This Row],[Class_Type]],Tbl_Class_Pricelist[[Class_Type]:[JAMBI]],11,0),5857*Tbl_Prod_Catalog[[#This Row],[Weight (kg)]])</f>
        <v>107500</v>
      </c>
      <c r="N29" s="21">
        <f>IF(Tbl_Price_List[[#This Row],[Class_Type]]="Keyboard B (25kg less)",VLOOKUP(Tbl_Price_List[[#This Row],[Class_Type]],Tbl_Class_Pricelist[[Class_Type]:[JOMBANG]],12,0),6078*Tbl_Prod_Catalog[[#This Row],[Weight (kg)]])</f>
        <v>115500</v>
      </c>
      <c r="O29" s="21">
        <f>IF(Tbl_Price_List[[#This Row],[Class_Type]]="Keyboard B (25kg less)",VLOOKUP(Tbl_Price_List[[#This Row],[Class_Type]],Tbl_Class_Pricelist[[Class_Type]:[KUDUS]],13,0),4473*Tbl_Prod_Catalog[[#This Row],[Weight (kg)]])</f>
        <v>85000</v>
      </c>
      <c r="P29" s="21">
        <f>IF(Tbl_Price_List[[#This Row],[Class_Type]]="Keyboard B (25kg less)",VLOOKUP(Tbl_Price_List[[#This Row],[Class_Type]],Tbl_Class_Pricelist[[Class_Type]:[MAGELANG]],14,0),3078*Tbl_Prod_Catalog[[#This Row],[Weight (kg)]])</f>
        <v>58500</v>
      </c>
      <c r="Q29" s="21">
        <f>IF(Tbl_Price_List[[#This Row],[Class_Type]]="Keyboard B (25kg less)",VLOOKUP(Tbl_Price_List[[#This Row],[Class_Type]],Tbl_Class_Pricelist[[Class_Type]:[MAKASSAR]],15,0),7142*Tbl_Prod_Catalog[[#This Row],[Weight (kg)]])</f>
        <v>135700</v>
      </c>
      <c r="R29" s="21">
        <f>IF(Tbl_Price_List[[#This Row],[Class_Type]]="Keyboard B (25kg less)",VLOOKUP(Tbl_Price_List[[#This Row],[Class_Type]],Tbl_Class_Pricelist[[Class_Type]:[MALANG]],16,0),5868*Tbl_Prod_Catalog[[#This Row],[Weight (kg)]])</f>
        <v>111500</v>
      </c>
      <c r="S29" s="21">
        <f>IF(Tbl_Price_List[[#This Row],[Class_Type]]="Keyboard B (25kg less)",VLOOKUP(Tbl_Price_List[[#This Row],[Class_Type]],Tbl_Class_Pricelist[[Class_Type]:[MANADO]],17,0),7142*Tbl_Prod_Catalog[[#This Row],[Weight (kg)]])</f>
        <v>135700</v>
      </c>
      <c r="T29" s="21">
        <f>IF(Tbl_Price_List[[#This Row],[Class_Type]]="Keyboard B (25kg less)",VLOOKUP(Tbl_Price_List[[#This Row],[Class_Type]],Tbl_Class_Pricelist[[Class_Type]:[MEDAN]],18,0),7142*Tbl_Prod_Catalog[[#This Row],[Weight (kg)]])</f>
        <v>135700</v>
      </c>
      <c r="U29" s="21">
        <f>IF(Tbl_Price_List[[#This Row],[Class_Type]]="Keyboard B (25kg less)",VLOOKUP(Tbl_Price_List[[#This Row],[Class_Type]],Tbl_Class_Pricelist[[Class_Type]:[PADANG]],19,0),5657*Tbl_Prod_Catalog[[#This Row],[Weight (kg)]])</f>
        <v>107500</v>
      </c>
      <c r="V29" s="21">
        <f>(12000*Product_Catalog!D29)</f>
        <v>384000</v>
      </c>
      <c r="W29" s="21">
        <f>IF(Tbl_Price_List[[#This Row],[Class_Type]]="Keyboard B (25kg less)",VLOOKUP(Tbl_Price_List[[#This Row],[Class_Type]],Tbl_Class_Pricelist[[Class_Type]:[PALEMBANG]],21,0),5084*Tbl_Prod_Catalog[[#This Row],[Weight (kg)]])</f>
        <v>96600</v>
      </c>
      <c r="X29" s="21">
        <f>IF(Tbl_Price_List[[#This Row],[Class_Type]]="Keyboard B (25kg less)",VLOOKUP(Tbl_Price_List[[#This Row],[Class_Type]],Tbl_Class_Pricelist[[Class_Type]:[PEKANBARU]],22,0),6736*Tbl_Prod_Catalog[[#This Row],[Weight (kg)]])</f>
        <v>128000</v>
      </c>
      <c r="Y29" s="21">
        <f>(5250*Product_Catalog!D29)</f>
        <v>168000</v>
      </c>
      <c r="Z29" s="21">
        <f>IF(Tbl_Price_List[[#This Row],[Class_Type]]="Keyboard B (25kg less)",VLOOKUP(Tbl_Price_List[[#This Row],[Class_Type]],Tbl_Class_Pricelist[[Class_Type]:[PURWOKERTO]],24,0),4473*Tbl_Prod_Catalog[[#This Row],[Weight (kg)]])</f>
        <v>85000</v>
      </c>
      <c r="AA29" s="21">
        <f>(8400*Product_Catalog!D29)</f>
        <v>268800</v>
      </c>
      <c r="AB29" s="21">
        <f>IF(Tbl_Price_List[[#This Row],[Class_Type]]="Keyboard B (25kg less)",VLOOKUP(Tbl_Price_List[[#This Row],[Class_Type]],Tbl_Class_Pricelist[[Class_Type]:[SEMARANG]],26,0),3078*Tbl_Prod_Catalog[[#This Row],[Weight (kg)]])</f>
        <v>58500</v>
      </c>
      <c r="AC29" s="21">
        <f>IF(Tbl_Price_List[[#This Row],[Class_Type]]="Keyboard B (25kg less)",VLOOKUP(Tbl_Price_List[[#This Row],[Class_Type]],Tbl_Class_Pricelist[[Class_Type]:[SOLO]],27,0),3155*Tbl_Prod_Catalog[[#This Row],[Weight (kg)]])</f>
        <v>60000</v>
      </c>
      <c r="AD29" s="21">
        <f>IF(Tbl_Price_List[[#This Row],[Class_Type]]="Keyboard B (25kg less)",VLOOKUP(Tbl_Price_List[[#This Row],[Class_Type]],Tbl_Class_Pricelist[[Class_Type]:[SURABAYA]],28,0),3657*Tbl_Prod_Catalog[[#This Row],[Weight (kg)]])</f>
        <v>69500</v>
      </c>
      <c r="AE29" s="21" t="str">
        <f>"Jakarta + Real Cost"</f>
        <v>Jakarta + Real Cost</v>
      </c>
      <c r="AF29" s="21">
        <f>IF(Tbl_Price_List[[#This Row],[Class_Type]]="Keyboard B (25kg less)",VLOOKUP(Tbl_Price_List[[#This Row],[Class_Type]],Tbl_Class_Pricelist[[Class_Type]:[YOGYAKARTA]],30,0),3078*Tbl_Prod_Catalog[[#This Row],[Weight (kg)]])</f>
        <v>58500</v>
      </c>
    </row>
    <row r="30" spans="1:32" ht="15" customHeight="1" x14ac:dyDescent="0.25">
      <c r="A30" s="6">
        <v>28</v>
      </c>
      <c r="B30" s="27" t="str">
        <f>VLOOKUP(Tbl_Price_List[[#This Row],[Product_Name]],Tbl_Prod_Catalog[[#This Row],[Product_Name]:[Class_Type]],8,0)</f>
        <v>Keyboard B (25kg less)</v>
      </c>
      <c r="C30" t="s">
        <v>276</v>
      </c>
      <c r="D30" s="21">
        <f>IF(Tbl_Price_List[[#This Row],[Class_Type]]="Keyboard B (25kg less)",VLOOKUP(Tbl_Price_List[[#This Row],[Class_Type]],Tbl_Class_Pricelist[[Class_Type]:[BALI]],2,0),9578*Tbl_Prod_Catalog[[#This Row],[Weight (kg)]])</f>
        <v>182000</v>
      </c>
      <c r="E30" s="21">
        <f>(7350*Product_Catalog!D30)</f>
        <v>279300</v>
      </c>
      <c r="F30" s="21">
        <f>IF(Tbl_Price_List[[#This Row],[Class_Type]]="Keyboard B (25kg less)",VLOOKUP(Tbl_Price_List[[#This Row],[Class_Type]],Tbl_Class_Pricelist[[Class_Type]:[BANDAR LAMPUNG]],4,0),4421*Tbl_Prod_Catalog[[#This Row],[Weight (kg)]])</f>
        <v>84000</v>
      </c>
      <c r="G30" s="21">
        <f>IF(Tbl_Price_List[[#This Row],[Class_Type]]="Keyboard B (25kg less)",VLOOKUP(Tbl_Price_List[[#This Row],[Class_Type]],Tbl_Class_Pricelist[[Class_Type]:[BANDUNG]],5,0),2460*Tbl_Prod_Catalog[[#This Row],[Weight (kg)]])</f>
        <v>46750</v>
      </c>
      <c r="H30" s="21">
        <f>IF(Tbl_Price_List[[#This Row],[Class_Type]]="Keyboard B (25kg less)",VLOOKUP(Tbl_Price_List[[#This Row],[Class_Type]],Tbl_Class_Pricelist[[Class_Type]:[BANGKA]],6,0),6736*Tbl_Prod_Catalog[[#This Row],[Weight (kg)]])</f>
        <v>128000</v>
      </c>
      <c r="I30" s="21">
        <f>(4725*Product_Catalog!D30)</f>
        <v>179550</v>
      </c>
      <c r="J30" s="21">
        <f>IF(Tbl_Price_List[[#This Row],[Class_Type]]="Keyboard B (25kg less)",VLOOKUP(Tbl_Price_List[[#This Row],[Class_Type]],Tbl_Class_Pricelist[[Class_Type]:[BATAM]],8,0),6736*Tbl_Prod_Catalog[[#This Row],[Weight (kg)]])</f>
        <v>128000</v>
      </c>
      <c r="K30" s="21">
        <f>IF(Tbl_Price_List[[#This Row],[Class_Type]]="Keyboard B (25kg less)",VLOOKUP(Tbl_Price_List[[#This Row],[Class_Type]],Tbl_Class_Pricelist[[Class_Type]:[BOGOR]],9,0),1921*Tbl_Prod_Catalog[[#This Row],[Weight (kg)]])</f>
        <v>36500</v>
      </c>
      <c r="L30" s="21">
        <f>IF(Tbl_Price_List[[#This Row],[Class_Type]]="Keyboard B (25kg less)",VLOOKUP(Tbl_Price_List[[#This Row],[Class_Type]],Tbl_Class_Pricelist[[Class_Type]:[CIREBON]],10,0),2815*Tbl_Prod_Catalog[[#This Row],[Weight (kg)]])</f>
        <v>51500</v>
      </c>
      <c r="M30" s="21">
        <f>IF(Tbl_Price_List[[#This Row],[Class_Type]]="Keyboard B (25kg less)",VLOOKUP(Tbl_Price_List[[#This Row],[Class_Type]],Tbl_Class_Pricelist[[Class_Type]:[JAMBI]],11,0),5857*Tbl_Prod_Catalog[[#This Row],[Weight (kg)]])</f>
        <v>107500</v>
      </c>
      <c r="N30" s="21">
        <f>IF(Tbl_Price_List[[#This Row],[Class_Type]]="Keyboard B (25kg less)",VLOOKUP(Tbl_Price_List[[#This Row],[Class_Type]],Tbl_Class_Pricelist[[Class_Type]:[JOMBANG]],12,0),6078*Tbl_Prod_Catalog[[#This Row],[Weight (kg)]])</f>
        <v>115500</v>
      </c>
      <c r="O30" s="21">
        <f>IF(Tbl_Price_List[[#This Row],[Class_Type]]="Keyboard B (25kg less)",VLOOKUP(Tbl_Price_List[[#This Row],[Class_Type]],Tbl_Class_Pricelist[[Class_Type]:[KUDUS]],13,0),4473*Tbl_Prod_Catalog[[#This Row],[Weight (kg)]])</f>
        <v>85000</v>
      </c>
      <c r="P30" s="21">
        <f>IF(Tbl_Price_List[[#This Row],[Class_Type]]="Keyboard B (25kg less)",VLOOKUP(Tbl_Price_List[[#This Row],[Class_Type]],Tbl_Class_Pricelist[[Class_Type]:[MAGELANG]],14,0),3078*Tbl_Prod_Catalog[[#This Row],[Weight (kg)]])</f>
        <v>58500</v>
      </c>
      <c r="Q30" s="21">
        <f>IF(Tbl_Price_List[[#This Row],[Class_Type]]="Keyboard B (25kg less)",VLOOKUP(Tbl_Price_List[[#This Row],[Class_Type]],Tbl_Class_Pricelist[[Class_Type]:[MAKASSAR]],15,0),7142*Tbl_Prod_Catalog[[#This Row],[Weight (kg)]])</f>
        <v>135700</v>
      </c>
      <c r="R30" s="21">
        <f>IF(Tbl_Price_List[[#This Row],[Class_Type]]="Keyboard B (25kg less)",VLOOKUP(Tbl_Price_List[[#This Row],[Class_Type]],Tbl_Class_Pricelist[[Class_Type]:[MALANG]],16,0),5868*Tbl_Prod_Catalog[[#This Row],[Weight (kg)]])</f>
        <v>111500</v>
      </c>
      <c r="S30" s="21">
        <f>IF(Tbl_Price_List[[#This Row],[Class_Type]]="Keyboard B (25kg less)",VLOOKUP(Tbl_Price_List[[#This Row],[Class_Type]],Tbl_Class_Pricelist[[Class_Type]:[MANADO]],17,0),7142*Tbl_Prod_Catalog[[#This Row],[Weight (kg)]])</f>
        <v>135700</v>
      </c>
      <c r="T30" s="21">
        <f>IF(Tbl_Price_List[[#This Row],[Class_Type]]="Keyboard B (25kg less)",VLOOKUP(Tbl_Price_List[[#This Row],[Class_Type]],Tbl_Class_Pricelist[[Class_Type]:[MEDAN]],18,0),7142*Tbl_Prod_Catalog[[#This Row],[Weight (kg)]])</f>
        <v>135700</v>
      </c>
      <c r="U30" s="21">
        <f>IF(Tbl_Price_List[[#This Row],[Class_Type]]="Keyboard B (25kg less)",VLOOKUP(Tbl_Price_List[[#This Row],[Class_Type]],Tbl_Class_Pricelist[[Class_Type]:[PADANG]],19,0),5657*Tbl_Prod_Catalog[[#This Row],[Weight (kg)]])</f>
        <v>107500</v>
      </c>
      <c r="V30" s="21">
        <f>(12000*Product_Catalog!D30)</f>
        <v>456000</v>
      </c>
      <c r="W30" s="21">
        <f>IF(Tbl_Price_List[[#This Row],[Class_Type]]="Keyboard B (25kg less)",VLOOKUP(Tbl_Price_List[[#This Row],[Class_Type]],Tbl_Class_Pricelist[[Class_Type]:[PALEMBANG]],21,0),5084*Tbl_Prod_Catalog[[#This Row],[Weight (kg)]])</f>
        <v>96600</v>
      </c>
      <c r="X30" s="21">
        <f>IF(Tbl_Price_List[[#This Row],[Class_Type]]="Keyboard B (25kg less)",VLOOKUP(Tbl_Price_List[[#This Row],[Class_Type]],Tbl_Class_Pricelist[[Class_Type]:[PEKANBARU]],22,0),6736*Tbl_Prod_Catalog[[#This Row],[Weight (kg)]])</f>
        <v>128000</v>
      </c>
      <c r="Y30" s="21">
        <f>(5250*Product_Catalog!D30)</f>
        <v>199500</v>
      </c>
      <c r="Z30" s="21">
        <f>IF(Tbl_Price_List[[#This Row],[Class_Type]]="Keyboard B (25kg less)",VLOOKUP(Tbl_Price_List[[#This Row],[Class_Type]],Tbl_Class_Pricelist[[Class_Type]:[PURWOKERTO]],24,0),4473*Tbl_Prod_Catalog[[#This Row],[Weight (kg)]])</f>
        <v>85000</v>
      </c>
      <c r="AA30" s="21">
        <f>(8400*Product_Catalog!D30)</f>
        <v>319200</v>
      </c>
      <c r="AB30" s="21">
        <f>IF(Tbl_Price_List[[#This Row],[Class_Type]]="Keyboard B (25kg less)",VLOOKUP(Tbl_Price_List[[#This Row],[Class_Type]],Tbl_Class_Pricelist[[Class_Type]:[SEMARANG]],26,0),3078*Tbl_Prod_Catalog[[#This Row],[Weight (kg)]])</f>
        <v>58500</v>
      </c>
      <c r="AC30" s="21">
        <f>IF(Tbl_Price_List[[#This Row],[Class_Type]]="Keyboard B (25kg less)",VLOOKUP(Tbl_Price_List[[#This Row],[Class_Type]],Tbl_Class_Pricelist[[Class_Type]:[SOLO]],27,0),3155*Tbl_Prod_Catalog[[#This Row],[Weight (kg)]])</f>
        <v>60000</v>
      </c>
      <c r="AD30" s="21">
        <f>IF(Tbl_Price_List[[#This Row],[Class_Type]]="Keyboard B (25kg less)",VLOOKUP(Tbl_Price_List[[#This Row],[Class_Type]],Tbl_Class_Pricelist[[Class_Type]:[SURABAYA]],28,0),3657*Tbl_Prod_Catalog[[#This Row],[Weight (kg)]])</f>
        <v>69500</v>
      </c>
      <c r="AE30" s="21" t="str">
        <f>"Jakarta + Real Cost"</f>
        <v>Jakarta + Real Cost</v>
      </c>
      <c r="AF30" s="21">
        <f>IF(Tbl_Price_List[[#This Row],[Class_Type]]="Keyboard B (25kg less)",VLOOKUP(Tbl_Price_List[[#This Row],[Class_Type]],Tbl_Class_Pricelist[[Class_Type]:[YOGYAKARTA]],30,0),3078*Tbl_Prod_Catalog[[#This Row],[Weight (kg)]])</f>
        <v>58500</v>
      </c>
    </row>
    <row r="31" spans="1:32" ht="15" customHeight="1" x14ac:dyDescent="0.25">
      <c r="A31" s="6">
        <v>29</v>
      </c>
      <c r="B31" s="27" t="str">
        <f>VLOOKUP(Tbl_Price_List[[#This Row],[Product_Name]],Tbl_Prod_Catalog[[#This Row],[Product_Name]:[Class_Type]],8,0)</f>
        <v>Keyboard B (25kg less)</v>
      </c>
      <c r="C31" t="s">
        <v>277</v>
      </c>
      <c r="D31" s="21">
        <f>IF(Tbl_Price_List[[#This Row],[Class_Type]]="Keyboard B (25kg less)",VLOOKUP(Tbl_Price_List[[#This Row],[Class_Type]],Tbl_Class_Pricelist[[Class_Type]:[BALI]],2,0),9578*Tbl_Prod_Catalog[[#This Row],[Weight (kg)]])</f>
        <v>182000</v>
      </c>
      <c r="E31" s="21">
        <f>(7350*Product_Catalog!D31)</f>
        <v>279300</v>
      </c>
      <c r="F31" s="21">
        <f>IF(Tbl_Price_List[[#This Row],[Class_Type]]="Keyboard B (25kg less)",VLOOKUP(Tbl_Price_List[[#This Row],[Class_Type]],Tbl_Class_Pricelist[[Class_Type]:[BANDAR LAMPUNG]],4,0),4421*Tbl_Prod_Catalog[[#This Row],[Weight (kg)]])</f>
        <v>84000</v>
      </c>
      <c r="G31" s="21">
        <f>IF(Tbl_Price_List[[#This Row],[Class_Type]]="Keyboard B (25kg less)",VLOOKUP(Tbl_Price_List[[#This Row],[Class_Type]],Tbl_Class_Pricelist[[Class_Type]:[BANDUNG]],5,0),2460*Tbl_Prod_Catalog[[#This Row],[Weight (kg)]])</f>
        <v>46750</v>
      </c>
      <c r="H31" s="21">
        <f>IF(Tbl_Price_List[[#This Row],[Class_Type]]="Keyboard B (25kg less)",VLOOKUP(Tbl_Price_List[[#This Row],[Class_Type]],Tbl_Class_Pricelist[[Class_Type]:[BANGKA]],6,0),6736*Tbl_Prod_Catalog[[#This Row],[Weight (kg)]])</f>
        <v>128000</v>
      </c>
      <c r="I31" s="21">
        <f>(4725*Product_Catalog!D31)</f>
        <v>179550</v>
      </c>
      <c r="J31" s="21">
        <f>IF(Tbl_Price_List[[#This Row],[Class_Type]]="Keyboard B (25kg less)",VLOOKUP(Tbl_Price_List[[#This Row],[Class_Type]],Tbl_Class_Pricelist[[Class_Type]:[BATAM]],8,0),6736*Tbl_Prod_Catalog[[#This Row],[Weight (kg)]])</f>
        <v>128000</v>
      </c>
      <c r="K31" s="21">
        <f>IF(Tbl_Price_List[[#This Row],[Class_Type]]="Keyboard B (25kg less)",VLOOKUP(Tbl_Price_List[[#This Row],[Class_Type]],Tbl_Class_Pricelist[[Class_Type]:[BOGOR]],9,0),1921*Tbl_Prod_Catalog[[#This Row],[Weight (kg)]])</f>
        <v>36500</v>
      </c>
      <c r="L31" s="21">
        <f>IF(Tbl_Price_List[[#This Row],[Class_Type]]="Keyboard B (25kg less)",VLOOKUP(Tbl_Price_List[[#This Row],[Class_Type]],Tbl_Class_Pricelist[[Class_Type]:[CIREBON]],10,0),2815*Tbl_Prod_Catalog[[#This Row],[Weight (kg)]])</f>
        <v>51500</v>
      </c>
      <c r="M31" s="21">
        <f>IF(Tbl_Price_List[[#This Row],[Class_Type]]="Keyboard B (25kg less)",VLOOKUP(Tbl_Price_List[[#This Row],[Class_Type]],Tbl_Class_Pricelist[[Class_Type]:[JAMBI]],11,0),5857*Tbl_Prod_Catalog[[#This Row],[Weight (kg)]])</f>
        <v>107500</v>
      </c>
      <c r="N31" s="21">
        <f>IF(Tbl_Price_List[[#This Row],[Class_Type]]="Keyboard B (25kg less)",VLOOKUP(Tbl_Price_List[[#This Row],[Class_Type]],Tbl_Class_Pricelist[[Class_Type]:[JOMBANG]],12,0),6078*Tbl_Prod_Catalog[[#This Row],[Weight (kg)]])</f>
        <v>115500</v>
      </c>
      <c r="O31" s="21">
        <f>IF(Tbl_Price_List[[#This Row],[Class_Type]]="Keyboard B (25kg less)",VLOOKUP(Tbl_Price_List[[#This Row],[Class_Type]],Tbl_Class_Pricelist[[Class_Type]:[KUDUS]],13,0),4473*Tbl_Prod_Catalog[[#This Row],[Weight (kg)]])</f>
        <v>85000</v>
      </c>
      <c r="P31" s="21">
        <f>IF(Tbl_Price_List[[#This Row],[Class_Type]]="Keyboard B (25kg less)",VLOOKUP(Tbl_Price_List[[#This Row],[Class_Type]],Tbl_Class_Pricelist[[Class_Type]:[MAGELANG]],14,0),3078*Tbl_Prod_Catalog[[#This Row],[Weight (kg)]])</f>
        <v>58500</v>
      </c>
      <c r="Q31" s="21">
        <f>IF(Tbl_Price_List[[#This Row],[Class_Type]]="Keyboard B (25kg less)",VLOOKUP(Tbl_Price_List[[#This Row],[Class_Type]],Tbl_Class_Pricelist[[Class_Type]:[MAKASSAR]],15,0),7142*Tbl_Prod_Catalog[[#This Row],[Weight (kg)]])</f>
        <v>135700</v>
      </c>
      <c r="R31" s="21">
        <f>IF(Tbl_Price_List[[#This Row],[Class_Type]]="Keyboard B (25kg less)",VLOOKUP(Tbl_Price_List[[#This Row],[Class_Type]],Tbl_Class_Pricelist[[Class_Type]:[MALANG]],16,0),5868*Tbl_Prod_Catalog[[#This Row],[Weight (kg)]])</f>
        <v>111500</v>
      </c>
      <c r="S31" s="21">
        <f>IF(Tbl_Price_List[[#This Row],[Class_Type]]="Keyboard B (25kg less)",VLOOKUP(Tbl_Price_List[[#This Row],[Class_Type]],Tbl_Class_Pricelist[[Class_Type]:[MANADO]],17,0),7142*Tbl_Prod_Catalog[[#This Row],[Weight (kg)]])</f>
        <v>135700</v>
      </c>
      <c r="T31" s="21">
        <f>IF(Tbl_Price_List[[#This Row],[Class_Type]]="Keyboard B (25kg less)",VLOOKUP(Tbl_Price_List[[#This Row],[Class_Type]],Tbl_Class_Pricelist[[Class_Type]:[MEDAN]],18,0),7142*Tbl_Prod_Catalog[[#This Row],[Weight (kg)]])</f>
        <v>135700</v>
      </c>
      <c r="U31" s="21">
        <f>IF(Tbl_Price_List[[#This Row],[Class_Type]]="Keyboard B (25kg less)",VLOOKUP(Tbl_Price_List[[#This Row],[Class_Type]],Tbl_Class_Pricelist[[Class_Type]:[PADANG]],19,0),5657*Tbl_Prod_Catalog[[#This Row],[Weight (kg)]])</f>
        <v>107500</v>
      </c>
      <c r="V31" s="21">
        <f>(12000*Product_Catalog!D31)</f>
        <v>456000</v>
      </c>
      <c r="W31" s="21">
        <f>IF(Tbl_Price_List[[#This Row],[Class_Type]]="Keyboard B (25kg less)",VLOOKUP(Tbl_Price_List[[#This Row],[Class_Type]],Tbl_Class_Pricelist[[Class_Type]:[PALEMBANG]],21,0),5084*Tbl_Prod_Catalog[[#This Row],[Weight (kg)]])</f>
        <v>96600</v>
      </c>
      <c r="X31" s="21">
        <f>IF(Tbl_Price_List[[#This Row],[Class_Type]]="Keyboard B (25kg less)",VLOOKUP(Tbl_Price_List[[#This Row],[Class_Type]],Tbl_Class_Pricelist[[Class_Type]:[PEKANBARU]],22,0),6736*Tbl_Prod_Catalog[[#This Row],[Weight (kg)]])</f>
        <v>128000</v>
      </c>
      <c r="Y31" s="21">
        <f>(5250*Product_Catalog!D31)</f>
        <v>199500</v>
      </c>
      <c r="Z31" s="21">
        <f>IF(Tbl_Price_List[[#This Row],[Class_Type]]="Keyboard B (25kg less)",VLOOKUP(Tbl_Price_List[[#This Row],[Class_Type]],Tbl_Class_Pricelist[[Class_Type]:[PURWOKERTO]],24,0),4473*Tbl_Prod_Catalog[[#This Row],[Weight (kg)]])</f>
        <v>85000</v>
      </c>
      <c r="AA31" s="21">
        <f>(8400*Product_Catalog!D31)</f>
        <v>319200</v>
      </c>
      <c r="AB31" s="21">
        <f>IF(Tbl_Price_List[[#This Row],[Class_Type]]="Keyboard B (25kg less)",VLOOKUP(Tbl_Price_List[[#This Row],[Class_Type]],Tbl_Class_Pricelist[[Class_Type]:[SEMARANG]],26,0),3078*Tbl_Prod_Catalog[[#This Row],[Weight (kg)]])</f>
        <v>58500</v>
      </c>
      <c r="AC31" s="21">
        <f>IF(Tbl_Price_List[[#This Row],[Class_Type]]="Keyboard B (25kg less)",VLOOKUP(Tbl_Price_List[[#This Row],[Class_Type]],Tbl_Class_Pricelist[[Class_Type]:[SOLO]],27,0),3155*Tbl_Prod_Catalog[[#This Row],[Weight (kg)]])</f>
        <v>60000</v>
      </c>
      <c r="AD31" s="21">
        <f>IF(Tbl_Price_List[[#This Row],[Class_Type]]="Keyboard B (25kg less)",VLOOKUP(Tbl_Price_List[[#This Row],[Class_Type]],Tbl_Class_Pricelist[[Class_Type]:[SURABAYA]],28,0),3657*Tbl_Prod_Catalog[[#This Row],[Weight (kg)]])</f>
        <v>69500</v>
      </c>
      <c r="AE31" s="21" t="str">
        <f>"Jakarta + Real Cost"</f>
        <v>Jakarta + Real Cost</v>
      </c>
      <c r="AF31" s="21">
        <f>IF(Tbl_Price_List[[#This Row],[Class_Type]]="Keyboard B (25kg less)",VLOOKUP(Tbl_Price_List[[#This Row],[Class_Type]],Tbl_Class_Pricelist[[Class_Type]:[YOGYAKARTA]],30,0),3078*Tbl_Prod_Catalog[[#This Row],[Weight (kg)]])</f>
        <v>58500</v>
      </c>
    </row>
    <row r="32" spans="1:32" ht="15" customHeight="1" x14ac:dyDescent="0.25">
      <c r="A32" s="6">
        <v>30</v>
      </c>
      <c r="B32" s="27" t="str">
        <f>VLOOKUP(Tbl_Price_List[[#This Row],[Product_Name]],Tbl_Prod_Catalog[[#This Row],[Product_Name]:[Class_Type]],8,0)</f>
        <v>Keyboard B (25kg less)</v>
      </c>
      <c r="C32" t="s">
        <v>397</v>
      </c>
      <c r="D32" s="21">
        <f>IF(Tbl_Price_List[[#This Row],[Class_Type]]="Keyboard B (25kg less)",VLOOKUP(Tbl_Price_List[[#This Row],[Class_Type]],Tbl_Class_Pricelist[[Class_Type]:[BALI]],2,0),9578*Tbl_Prod_Catalog[[#This Row],[Weight (kg)]])</f>
        <v>182000</v>
      </c>
      <c r="E32" s="21">
        <f>(7350*Product_Catalog!D32)</f>
        <v>404250</v>
      </c>
      <c r="F32" s="21">
        <f>IF(Tbl_Price_List[[#This Row],[Class_Type]]="Keyboard B (25kg less)",VLOOKUP(Tbl_Price_List[[#This Row],[Class_Type]],Tbl_Class_Pricelist[[Class_Type]:[BANDAR LAMPUNG]],4,0),4421*Tbl_Prod_Catalog[[#This Row],[Weight (kg)]])</f>
        <v>84000</v>
      </c>
      <c r="G32" s="21">
        <f>IF(Tbl_Price_List[[#This Row],[Class_Type]]="Keyboard B (25kg less)",VLOOKUP(Tbl_Price_List[[#This Row],[Class_Type]],Tbl_Class_Pricelist[[Class_Type]:[BANDUNG]],5,0),2460*Tbl_Prod_Catalog[[#This Row],[Weight (kg)]])</f>
        <v>46750</v>
      </c>
      <c r="H32" s="21">
        <f>IF(Tbl_Price_List[[#This Row],[Class_Type]]="Keyboard B (25kg less)",VLOOKUP(Tbl_Price_List[[#This Row],[Class_Type]],Tbl_Class_Pricelist[[Class_Type]:[BANGKA]],6,0),6736*Tbl_Prod_Catalog[[#This Row],[Weight (kg)]])</f>
        <v>128000</v>
      </c>
      <c r="I32" s="21">
        <f>(4725*Product_Catalog!D32)</f>
        <v>259875</v>
      </c>
      <c r="J32" s="21">
        <f>IF(Tbl_Price_List[[#This Row],[Class_Type]]="Keyboard B (25kg less)",VLOOKUP(Tbl_Price_List[[#This Row],[Class_Type]],Tbl_Class_Pricelist[[Class_Type]:[BATAM]],8,0),6736*Tbl_Prod_Catalog[[#This Row],[Weight (kg)]])</f>
        <v>128000</v>
      </c>
      <c r="K32" s="21">
        <f>IF(Tbl_Price_List[[#This Row],[Class_Type]]="Keyboard B (25kg less)",VLOOKUP(Tbl_Price_List[[#This Row],[Class_Type]],Tbl_Class_Pricelist[[Class_Type]:[BOGOR]],9,0),1921*Tbl_Prod_Catalog[[#This Row],[Weight (kg)]])</f>
        <v>36500</v>
      </c>
      <c r="L32" s="21">
        <f>IF(Tbl_Price_List[[#This Row],[Class_Type]]="Keyboard B (25kg less)",VLOOKUP(Tbl_Price_List[[#This Row],[Class_Type]],Tbl_Class_Pricelist[[Class_Type]:[CIREBON]],10,0),2815*Tbl_Prod_Catalog[[#This Row],[Weight (kg)]])</f>
        <v>51500</v>
      </c>
      <c r="M32" s="21">
        <f>IF(Tbl_Price_List[[#This Row],[Class_Type]]="Keyboard B (25kg less)",VLOOKUP(Tbl_Price_List[[#This Row],[Class_Type]],Tbl_Class_Pricelist[[Class_Type]:[JAMBI]],11,0),5857*Tbl_Prod_Catalog[[#This Row],[Weight (kg)]])</f>
        <v>107500</v>
      </c>
      <c r="N32" s="21">
        <f>IF(Tbl_Price_List[[#This Row],[Class_Type]]="Keyboard B (25kg less)",VLOOKUP(Tbl_Price_List[[#This Row],[Class_Type]],Tbl_Class_Pricelist[[Class_Type]:[JOMBANG]],12,0),6078*Tbl_Prod_Catalog[[#This Row],[Weight (kg)]])</f>
        <v>115500</v>
      </c>
      <c r="O32" s="21">
        <f>IF(Tbl_Price_List[[#This Row],[Class_Type]]="Keyboard B (25kg less)",VLOOKUP(Tbl_Price_List[[#This Row],[Class_Type]],Tbl_Class_Pricelist[[Class_Type]:[KUDUS]],13,0),4473*Tbl_Prod_Catalog[[#This Row],[Weight (kg)]])</f>
        <v>85000</v>
      </c>
      <c r="P32" s="21">
        <f>IF(Tbl_Price_List[[#This Row],[Class_Type]]="Keyboard B (25kg less)",VLOOKUP(Tbl_Price_List[[#This Row],[Class_Type]],Tbl_Class_Pricelist[[Class_Type]:[MAGELANG]],14,0),3078*Tbl_Prod_Catalog[[#This Row],[Weight (kg)]])</f>
        <v>58500</v>
      </c>
      <c r="Q32" s="21">
        <f>IF(Tbl_Price_List[[#This Row],[Class_Type]]="Keyboard B (25kg less)",VLOOKUP(Tbl_Price_List[[#This Row],[Class_Type]],Tbl_Class_Pricelist[[Class_Type]:[MAKASSAR]],15,0),7142*Tbl_Prod_Catalog[[#This Row],[Weight (kg)]])</f>
        <v>135700</v>
      </c>
      <c r="R32" s="21">
        <f>IF(Tbl_Price_List[[#This Row],[Class_Type]]="Keyboard B (25kg less)",VLOOKUP(Tbl_Price_List[[#This Row],[Class_Type]],Tbl_Class_Pricelist[[Class_Type]:[MALANG]],16,0),5868*Tbl_Prod_Catalog[[#This Row],[Weight (kg)]])</f>
        <v>111500</v>
      </c>
      <c r="S32" s="21">
        <f>IF(Tbl_Price_List[[#This Row],[Class_Type]]="Keyboard B (25kg less)",VLOOKUP(Tbl_Price_List[[#This Row],[Class_Type]],Tbl_Class_Pricelist[[Class_Type]:[MANADO]],17,0),7142*Tbl_Prod_Catalog[[#This Row],[Weight (kg)]])</f>
        <v>135700</v>
      </c>
      <c r="T32" s="21">
        <f>IF(Tbl_Price_List[[#This Row],[Class_Type]]="Keyboard B (25kg less)",VLOOKUP(Tbl_Price_List[[#This Row],[Class_Type]],Tbl_Class_Pricelist[[Class_Type]:[MEDAN]],18,0),7142*Tbl_Prod_Catalog[[#This Row],[Weight (kg)]])</f>
        <v>135700</v>
      </c>
      <c r="U32" s="21">
        <f>IF(Tbl_Price_List[[#This Row],[Class_Type]]="Keyboard B (25kg less)",VLOOKUP(Tbl_Price_List[[#This Row],[Class_Type]],Tbl_Class_Pricelist[[Class_Type]:[PADANG]],19,0),5657*Tbl_Prod_Catalog[[#This Row],[Weight (kg)]])</f>
        <v>107500</v>
      </c>
      <c r="V32" s="21">
        <f>(12000*Product_Catalog!D32)</f>
        <v>660000</v>
      </c>
      <c r="W32" s="21">
        <f>IF(Tbl_Price_List[[#This Row],[Class_Type]]="Keyboard B (25kg less)",VLOOKUP(Tbl_Price_List[[#This Row],[Class_Type]],Tbl_Class_Pricelist[[Class_Type]:[PALEMBANG]],21,0),5084*Tbl_Prod_Catalog[[#This Row],[Weight (kg)]])</f>
        <v>96600</v>
      </c>
      <c r="X32" s="21">
        <f>IF(Tbl_Price_List[[#This Row],[Class_Type]]="Keyboard B (25kg less)",VLOOKUP(Tbl_Price_List[[#This Row],[Class_Type]],Tbl_Class_Pricelist[[Class_Type]:[PEKANBARU]],22,0),6736*Tbl_Prod_Catalog[[#This Row],[Weight (kg)]])</f>
        <v>128000</v>
      </c>
      <c r="Y32" s="21">
        <f>(5250*Product_Catalog!D32)</f>
        <v>288750</v>
      </c>
      <c r="Z32" s="21">
        <f>IF(Tbl_Price_List[[#This Row],[Class_Type]]="Keyboard B (25kg less)",VLOOKUP(Tbl_Price_List[[#This Row],[Class_Type]],Tbl_Class_Pricelist[[Class_Type]:[PURWOKERTO]],24,0),4473*Tbl_Prod_Catalog[[#This Row],[Weight (kg)]])</f>
        <v>85000</v>
      </c>
      <c r="AA32" s="21">
        <f>(8400*Product_Catalog!D32)</f>
        <v>462000</v>
      </c>
      <c r="AB32" s="21">
        <f>IF(Tbl_Price_List[[#This Row],[Class_Type]]="Keyboard B (25kg less)",VLOOKUP(Tbl_Price_List[[#This Row],[Class_Type]],Tbl_Class_Pricelist[[Class_Type]:[SEMARANG]],26,0),3078*Tbl_Prod_Catalog[[#This Row],[Weight (kg)]])</f>
        <v>58500</v>
      </c>
      <c r="AC32" s="21">
        <f>IF(Tbl_Price_List[[#This Row],[Class_Type]]="Keyboard B (25kg less)",VLOOKUP(Tbl_Price_List[[#This Row],[Class_Type]],Tbl_Class_Pricelist[[Class_Type]:[SOLO]],27,0),3155*Tbl_Prod_Catalog[[#This Row],[Weight (kg)]])</f>
        <v>60000</v>
      </c>
      <c r="AD32" s="21">
        <f>IF(Tbl_Price_List[[#This Row],[Class_Type]]="Keyboard B (25kg less)",VLOOKUP(Tbl_Price_List[[#This Row],[Class_Type]],Tbl_Class_Pricelist[[Class_Type]:[SURABAYA]],28,0),3657*Tbl_Prod_Catalog[[#This Row],[Weight (kg)]])</f>
        <v>69500</v>
      </c>
      <c r="AE32" s="21" t="str">
        <f>"Jakarta + Real Cost"</f>
        <v>Jakarta + Real Cost</v>
      </c>
      <c r="AF32" s="21">
        <f>IF(Tbl_Price_List[[#This Row],[Class_Type]]="Keyboard B (25kg less)",VLOOKUP(Tbl_Price_List[[#This Row],[Class_Type]],Tbl_Class_Pricelist[[Class_Type]:[YOGYAKARTA]],30,0),3078*Tbl_Prod_Catalog[[#This Row],[Weight (kg)]])</f>
        <v>58500</v>
      </c>
    </row>
    <row r="33" spans="1:32" ht="15" customHeight="1" x14ac:dyDescent="0.25">
      <c r="A33" s="6">
        <v>31</v>
      </c>
      <c r="B33" s="27" t="str">
        <f>VLOOKUP(Tbl_Price_List[[#This Row],[Product_Name]],Tbl_Prod_Catalog[[#This Row],[Product_Name]:[Class_Type]],8,0)</f>
        <v>Keyboard A (25kg more)</v>
      </c>
      <c r="C33" t="s">
        <v>278</v>
      </c>
      <c r="D33" s="21">
        <f>IF(Tbl_Price_List[[#This Row],[Class_Type]]="Keyboard B (25kg less)",VLOOKUP(Tbl_Price_List[[#This Row],[Class_Type]],Tbl_Class_Pricelist[[Class_Type]:[BALI]],2,0),9578*Tbl_Prod_Catalog[[#This Row],[Weight (kg)]])</f>
        <v>421432</v>
      </c>
      <c r="E33" s="21">
        <f>(7350*Product_Catalog!D33)</f>
        <v>617400</v>
      </c>
      <c r="F33" s="21">
        <f>IF(Tbl_Price_List[[#This Row],[Class_Type]]="Keyboard B (25kg less)",VLOOKUP(Tbl_Price_List[[#This Row],[Class_Type]],Tbl_Class_Pricelist[[Class_Type]:[BANDAR LAMPUNG]],4,0),4421*Tbl_Prod_Catalog[[#This Row],[Weight (kg)]])</f>
        <v>194524</v>
      </c>
      <c r="G33" s="21">
        <f>IF(Tbl_Price_List[[#This Row],[Class_Type]]="Keyboard B (25kg less)",VLOOKUP(Tbl_Price_List[[#This Row],[Class_Type]],Tbl_Class_Pricelist[[Class_Type]:[BANDUNG]],5,0),2460*Tbl_Prod_Catalog[[#This Row],[Weight (kg)]])</f>
        <v>108240</v>
      </c>
      <c r="H33" s="21">
        <f>IF(Tbl_Price_List[[#This Row],[Class_Type]]="Keyboard B (25kg less)",VLOOKUP(Tbl_Price_List[[#This Row],[Class_Type]],Tbl_Class_Pricelist[[Class_Type]:[BANGKA]],6,0),6736*Tbl_Prod_Catalog[[#This Row],[Weight (kg)]])</f>
        <v>296384</v>
      </c>
      <c r="I33" s="21">
        <f>(4725*Product_Catalog!D33)</f>
        <v>396900</v>
      </c>
      <c r="J33" s="21">
        <f>IF(Tbl_Price_List[[#This Row],[Class_Type]]="Keyboard B (25kg less)",VLOOKUP(Tbl_Price_List[[#This Row],[Class_Type]],Tbl_Class_Pricelist[[Class_Type]:[BATAM]],8,0),6736*Tbl_Prod_Catalog[[#This Row],[Weight (kg)]])</f>
        <v>296384</v>
      </c>
      <c r="K33" s="21">
        <f>IF(Tbl_Price_List[[#This Row],[Class_Type]]="Keyboard B (25kg less)",VLOOKUP(Tbl_Price_List[[#This Row],[Class_Type]],Tbl_Class_Pricelist[[Class_Type]:[BOGOR]],9,0),1921*Tbl_Prod_Catalog[[#This Row],[Weight (kg)]])</f>
        <v>84524</v>
      </c>
      <c r="L33" s="21">
        <f>IF(Tbl_Price_List[[#This Row],[Class_Type]]="Keyboard B (25kg less)",VLOOKUP(Tbl_Price_List[[#This Row],[Class_Type]],Tbl_Class_Pricelist[[Class_Type]:[CIREBON]],10,0),2815*Tbl_Prod_Catalog[[#This Row],[Weight (kg)]])</f>
        <v>123860</v>
      </c>
      <c r="M33" s="21">
        <f>IF(Tbl_Price_List[[#This Row],[Class_Type]]="Keyboard B (25kg less)",VLOOKUP(Tbl_Price_List[[#This Row],[Class_Type]],Tbl_Class_Pricelist[[Class_Type]:[JAMBI]],11,0),5857*Tbl_Prod_Catalog[[#This Row],[Weight (kg)]])</f>
        <v>257708</v>
      </c>
      <c r="N33" s="21">
        <f>IF(Tbl_Price_List[[#This Row],[Class_Type]]="Keyboard B (25kg less)",VLOOKUP(Tbl_Price_List[[#This Row],[Class_Type]],Tbl_Class_Pricelist[[Class_Type]:[JOMBANG]],12,0),6078*Tbl_Prod_Catalog[[#This Row],[Weight (kg)]])</f>
        <v>267432</v>
      </c>
      <c r="O33" s="21">
        <f>IF(Tbl_Price_List[[#This Row],[Class_Type]]="Keyboard B (25kg less)",VLOOKUP(Tbl_Price_List[[#This Row],[Class_Type]],Tbl_Class_Pricelist[[Class_Type]:[KUDUS]],13,0),4473*Tbl_Prod_Catalog[[#This Row],[Weight (kg)]])</f>
        <v>196812</v>
      </c>
      <c r="P33" s="21">
        <f>IF(Tbl_Price_List[[#This Row],[Class_Type]]="Keyboard B (25kg less)",VLOOKUP(Tbl_Price_List[[#This Row],[Class_Type]],Tbl_Class_Pricelist[[Class_Type]:[MAGELANG]],14,0),3078*Tbl_Prod_Catalog[[#This Row],[Weight (kg)]])</f>
        <v>135432</v>
      </c>
      <c r="Q33" s="21">
        <f>IF(Tbl_Price_List[[#This Row],[Class_Type]]="Keyboard B (25kg less)",VLOOKUP(Tbl_Price_List[[#This Row],[Class_Type]],Tbl_Class_Pricelist[[Class_Type]:[MAKASSAR]],15,0),7142*Tbl_Prod_Catalog[[#This Row],[Weight (kg)]])</f>
        <v>314248</v>
      </c>
      <c r="R33" s="21">
        <f>IF(Tbl_Price_List[[#This Row],[Class_Type]]="Keyboard B (25kg less)",VLOOKUP(Tbl_Price_List[[#This Row],[Class_Type]],Tbl_Class_Pricelist[[Class_Type]:[MALANG]],16,0),5868*Tbl_Prod_Catalog[[#This Row],[Weight (kg)]])</f>
        <v>258192</v>
      </c>
      <c r="S33" s="21">
        <f>IF(Tbl_Price_List[[#This Row],[Class_Type]]="Keyboard B (25kg less)",VLOOKUP(Tbl_Price_List[[#This Row],[Class_Type]],Tbl_Class_Pricelist[[Class_Type]:[MANADO]],17,0),7142*Tbl_Prod_Catalog[[#This Row],[Weight (kg)]])</f>
        <v>314248</v>
      </c>
      <c r="T33" s="21">
        <f>IF(Tbl_Price_List[[#This Row],[Class_Type]]="Keyboard B (25kg less)",VLOOKUP(Tbl_Price_List[[#This Row],[Class_Type]],Tbl_Class_Pricelist[[Class_Type]:[MEDAN]],18,0),7142*Tbl_Prod_Catalog[[#This Row],[Weight (kg)]])</f>
        <v>314248</v>
      </c>
      <c r="U33" s="21">
        <f>IF(Tbl_Price_List[[#This Row],[Class_Type]]="Keyboard B (25kg less)",VLOOKUP(Tbl_Price_List[[#This Row],[Class_Type]],Tbl_Class_Pricelist[[Class_Type]:[PADANG]],19,0),5657*Tbl_Prod_Catalog[[#This Row],[Weight (kg)]])</f>
        <v>248908</v>
      </c>
      <c r="V33" s="21">
        <f>(12000*Product_Catalog!D33)</f>
        <v>1008000</v>
      </c>
      <c r="W33" s="21">
        <f>IF(Tbl_Price_List[[#This Row],[Class_Type]]="Keyboard B (25kg less)",VLOOKUP(Tbl_Price_List[[#This Row],[Class_Type]],Tbl_Class_Pricelist[[Class_Type]:[PALEMBANG]],21,0),5084*Tbl_Prod_Catalog[[#This Row],[Weight (kg)]])</f>
        <v>223696</v>
      </c>
      <c r="X33" s="21">
        <f>IF(Tbl_Price_List[[#This Row],[Class_Type]]="Keyboard B (25kg less)",VLOOKUP(Tbl_Price_List[[#This Row],[Class_Type]],Tbl_Class_Pricelist[[Class_Type]:[PEKANBARU]],22,0),6736*Tbl_Prod_Catalog[[#This Row],[Weight (kg)]])</f>
        <v>296384</v>
      </c>
      <c r="Y33" s="21">
        <f>(5250*Product_Catalog!D33)</f>
        <v>441000</v>
      </c>
      <c r="Z33" s="21">
        <f>IF(Tbl_Price_List[[#This Row],[Class_Type]]="Keyboard B (25kg less)",VLOOKUP(Tbl_Price_List[[#This Row],[Class_Type]],Tbl_Class_Pricelist[[Class_Type]:[PURWOKERTO]],24,0),4473*Tbl_Prod_Catalog[[#This Row],[Weight (kg)]])</f>
        <v>196812</v>
      </c>
      <c r="AA33" s="21">
        <f>(8400*Product_Catalog!D33)</f>
        <v>705600</v>
      </c>
      <c r="AB33" s="21">
        <f>IF(Tbl_Price_List[[#This Row],[Class_Type]]="Keyboard B (25kg less)",VLOOKUP(Tbl_Price_List[[#This Row],[Class_Type]],Tbl_Class_Pricelist[[Class_Type]:[SEMARANG]],26,0),3078*Tbl_Prod_Catalog[[#This Row],[Weight (kg)]])</f>
        <v>135432</v>
      </c>
      <c r="AC33" s="21">
        <f>IF(Tbl_Price_List[[#This Row],[Class_Type]]="Keyboard B (25kg less)",VLOOKUP(Tbl_Price_List[[#This Row],[Class_Type]],Tbl_Class_Pricelist[[Class_Type]:[SOLO]],27,0),3155*Tbl_Prod_Catalog[[#This Row],[Weight (kg)]])</f>
        <v>138820</v>
      </c>
      <c r="AD33" s="21">
        <f>IF(Tbl_Price_List[[#This Row],[Class_Type]]="Keyboard B (25kg less)",VLOOKUP(Tbl_Price_List[[#This Row],[Class_Type]],Tbl_Class_Pricelist[[Class_Type]:[SURABAYA]],28,0),3657*Tbl_Prod_Catalog[[#This Row],[Weight (kg)]])</f>
        <v>160908</v>
      </c>
      <c r="AE33" s="21" t="str">
        <f>"Jakarta + Real Cost"</f>
        <v>Jakarta + Real Cost</v>
      </c>
      <c r="AF33" s="21">
        <f>IF(Tbl_Price_List[[#This Row],[Class_Type]]="Keyboard B (25kg less)",VLOOKUP(Tbl_Price_List[[#This Row],[Class_Type]],Tbl_Class_Pricelist[[Class_Type]:[YOGYAKARTA]],30,0),3078*Tbl_Prod_Catalog[[#This Row],[Weight (kg)]])</f>
        <v>135432</v>
      </c>
    </row>
    <row r="34" spans="1:32" ht="15" customHeight="1" x14ac:dyDescent="0.25">
      <c r="A34" s="6">
        <v>32</v>
      </c>
      <c r="B34" s="27" t="str">
        <f>VLOOKUP(Tbl_Price_List[[#This Row],[Product_Name]],Tbl_Prod_Catalog[[#This Row],[Product_Name]:[Class_Type]],8,0)</f>
        <v>Keyboard A (25kg more)</v>
      </c>
      <c r="C34" t="s">
        <v>398</v>
      </c>
      <c r="D34" s="21">
        <f>IF(Tbl_Price_List[[#This Row],[Class_Type]]="Keyboard B (25kg less)",VLOOKUP(Tbl_Price_List[[#This Row],[Class_Type]],Tbl_Class_Pricelist[[Class_Type]:[BALI]],2,0),9578*Tbl_Prod_Catalog[[#This Row],[Weight (kg)]])</f>
        <v>373542</v>
      </c>
      <c r="E34" s="21">
        <f>(7350*Product_Catalog!D34)</f>
        <v>499800</v>
      </c>
      <c r="F34" s="21">
        <f>IF(Tbl_Price_List[[#This Row],[Class_Type]]="Keyboard B (25kg less)",VLOOKUP(Tbl_Price_List[[#This Row],[Class_Type]],Tbl_Class_Pricelist[[Class_Type]:[BANDAR LAMPUNG]],4,0),4421*Tbl_Prod_Catalog[[#This Row],[Weight (kg)]])</f>
        <v>172419</v>
      </c>
      <c r="G34" s="21">
        <f>IF(Tbl_Price_List[[#This Row],[Class_Type]]="Keyboard B (25kg less)",VLOOKUP(Tbl_Price_List[[#This Row],[Class_Type]],Tbl_Class_Pricelist[[Class_Type]:[BANDUNG]],5,0),2460*Tbl_Prod_Catalog[[#This Row],[Weight (kg)]])</f>
        <v>95940</v>
      </c>
      <c r="H34" s="21">
        <f>IF(Tbl_Price_List[[#This Row],[Class_Type]]="Keyboard B (25kg less)",VLOOKUP(Tbl_Price_List[[#This Row],[Class_Type]],Tbl_Class_Pricelist[[Class_Type]:[BANGKA]],6,0),6736*Tbl_Prod_Catalog[[#This Row],[Weight (kg)]])</f>
        <v>262704</v>
      </c>
      <c r="I34" s="21">
        <f>(4725*Product_Catalog!D34)</f>
        <v>321300</v>
      </c>
      <c r="J34" s="21">
        <f>IF(Tbl_Price_List[[#This Row],[Class_Type]]="Keyboard B (25kg less)",VLOOKUP(Tbl_Price_List[[#This Row],[Class_Type]],Tbl_Class_Pricelist[[Class_Type]:[BATAM]],8,0),6736*Tbl_Prod_Catalog[[#This Row],[Weight (kg)]])</f>
        <v>262704</v>
      </c>
      <c r="K34" s="21">
        <f>IF(Tbl_Price_List[[#This Row],[Class_Type]]="Keyboard B (25kg less)",VLOOKUP(Tbl_Price_List[[#This Row],[Class_Type]],Tbl_Class_Pricelist[[Class_Type]:[BOGOR]],9,0),1921*Tbl_Prod_Catalog[[#This Row],[Weight (kg)]])</f>
        <v>74919</v>
      </c>
      <c r="L34" s="21">
        <f>IF(Tbl_Price_List[[#This Row],[Class_Type]]="Keyboard B (25kg less)",VLOOKUP(Tbl_Price_List[[#This Row],[Class_Type]],Tbl_Class_Pricelist[[Class_Type]:[CIREBON]],10,0),2815*Tbl_Prod_Catalog[[#This Row],[Weight (kg)]])</f>
        <v>109785</v>
      </c>
      <c r="M34" s="21">
        <f>IF(Tbl_Price_List[[#This Row],[Class_Type]]="Keyboard B (25kg less)",VLOOKUP(Tbl_Price_List[[#This Row],[Class_Type]],Tbl_Class_Pricelist[[Class_Type]:[JAMBI]],11,0),5857*Tbl_Prod_Catalog[[#This Row],[Weight (kg)]])</f>
        <v>228423</v>
      </c>
      <c r="N34" s="21">
        <f>IF(Tbl_Price_List[[#This Row],[Class_Type]]="Keyboard B (25kg less)",VLOOKUP(Tbl_Price_List[[#This Row],[Class_Type]],Tbl_Class_Pricelist[[Class_Type]:[JOMBANG]],12,0),6078*Tbl_Prod_Catalog[[#This Row],[Weight (kg)]])</f>
        <v>237042</v>
      </c>
      <c r="O34" s="21">
        <f>IF(Tbl_Price_List[[#This Row],[Class_Type]]="Keyboard B (25kg less)",VLOOKUP(Tbl_Price_List[[#This Row],[Class_Type]],Tbl_Class_Pricelist[[Class_Type]:[KUDUS]],13,0),4473*Tbl_Prod_Catalog[[#This Row],[Weight (kg)]])</f>
        <v>174447</v>
      </c>
      <c r="P34" s="21">
        <f>IF(Tbl_Price_List[[#This Row],[Class_Type]]="Keyboard B (25kg less)",VLOOKUP(Tbl_Price_List[[#This Row],[Class_Type]],Tbl_Class_Pricelist[[Class_Type]:[MAGELANG]],14,0),3078*Tbl_Prod_Catalog[[#This Row],[Weight (kg)]])</f>
        <v>120042</v>
      </c>
      <c r="Q34" s="21">
        <f>IF(Tbl_Price_List[[#This Row],[Class_Type]]="Keyboard B (25kg less)",VLOOKUP(Tbl_Price_List[[#This Row],[Class_Type]],Tbl_Class_Pricelist[[Class_Type]:[MAKASSAR]],15,0),7142*Tbl_Prod_Catalog[[#This Row],[Weight (kg)]])</f>
        <v>278538</v>
      </c>
      <c r="R34" s="21">
        <f>IF(Tbl_Price_List[[#This Row],[Class_Type]]="Keyboard B (25kg less)",VLOOKUP(Tbl_Price_List[[#This Row],[Class_Type]],Tbl_Class_Pricelist[[Class_Type]:[MALANG]],16,0),5868*Tbl_Prod_Catalog[[#This Row],[Weight (kg)]])</f>
        <v>228852</v>
      </c>
      <c r="S34" s="21">
        <f>IF(Tbl_Price_List[[#This Row],[Class_Type]]="Keyboard B (25kg less)",VLOOKUP(Tbl_Price_List[[#This Row],[Class_Type]],Tbl_Class_Pricelist[[Class_Type]:[MANADO]],17,0),7142*Tbl_Prod_Catalog[[#This Row],[Weight (kg)]])</f>
        <v>278538</v>
      </c>
      <c r="T34" s="21">
        <f>IF(Tbl_Price_List[[#This Row],[Class_Type]]="Keyboard B (25kg less)",VLOOKUP(Tbl_Price_List[[#This Row],[Class_Type]],Tbl_Class_Pricelist[[Class_Type]:[MEDAN]],18,0),7142*Tbl_Prod_Catalog[[#This Row],[Weight (kg)]])</f>
        <v>278538</v>
      </c>
      <c r="U34" s="21">
        <f>IF(Tbl_Price_List[[#This Row],[Class_Type]]="Keyboard B (25kg less)",VLOOKUP(Tbl_Price_List[[#This Row],[Class_Type]],Tbl_Class_Pricelist[[Class_Type]:[PADANG]],19,0),5657*Tbl_Prod_Catalog[[#This Row],[Weight (kg)]])</f>
        <v>220623</v>
      </c>
      <c r="V34" s="21">
        <f>(12000*Product_Catalog!D34)</f>
        <v>816000</v>
      </c>
      <c r="W34" s="21">
        <f>IF(Tbl_Price_List[[#This Row],[Class_Type]]="Keyboard B (25kg less)",VLOOKUP(Tbl_Price_List[[#This Row],[Class_Type]],Tbl_Class_Pricelist[[Class_Type]:[PALEMBANG]],21,0),5084*Tbl_Prod_Catalog[[#This Row],[Weight (kg)]])</f>
        <v>198276</v>
      </c>
      <c r="X34" s="21">
        <f>IF(Tbl_Price_List[[#This Row],[Class_Type]]="Keyboard B (25kg less)",VLOOKUP(Tbl_Price_List[[#This Row],[Class_Type]],Tbl_Class_Pricelist[[Class_Type]:[PEKANBARU]],22,0),6736*Tbl_Prod_Catalog[[#This Row],[Weight (kg)]])</f>
        <v>262704</v>
      </c>
      <c r="Y34" s="21">
        <f>(5250*Product_Catalog!D34)</f>
        <v>357000</v>
      </c>
      <c r="Z34" s="21">
        <f>IF(Tbl_Price_List[[#This Row],[Class_Type]]="Keyboard B (25kg less)",VLOOKUP(Tbl_Price_List[[#This Row],[Class_Type]],Tbl_Class_Pricelist[[Class_Type]:[PURWOKERTO]],24,0),4473*Tbl_Prod_Catalog[[#This Row],[Weight (kg)]])</f>
        <v>174447</v>
      </c>
      <c r="AA34" s="21">
        <f>(8400*Product_Catalog!D34)</f>
        <v>571200</v>
      </c>
      <c r="AB34" s="21">
        <f>IF(Tbl_Price_List[[#This Row],[Class_Type]]="Keyboard B (25kg less)",VLOOKUP(Tbl_Price_List[[#This Row],[Class_Type]],Tbl_Class_Pricelist[[Class_Type]:[SEMARANG]],26,0),3078*Tbl_Prod_Catalog[[#This Row],[Weight (kg)]])</f>
        <v>120042</v>
      </c>
      <c r="AC34" s="21">
        <f>IF(Tbl_Price_List[[#This Row],[Class_Type]]="Keyboard B (25kg less)",VLOOKUP(Tbl_Price_List[[#This Row],[Class_Type]],Tbl_Class_Pricelist[[Class_Type]:[SOLO]],27,0),3155*Tbl_Prod_Catalog[[#This Row],[Weight (kg)]])</f>
        <v>123045</v>
      </c>
      <c r="AD34" s="21">
        <f>IF(Tbl_Price_List[[#This Row],[Class_Type]]="Keyboard B (25kg less)",VLOOKUP(Tbl_Price_List[[#This Row],[Class_Type]],Tbl_Class_Pricelist[[Class_Type]:[SURABAYA]],28,0),3657*Tbl_Prod_Catalog[[#This Row],[Weight (kg)]])</f>
        <v>142623</v>
      </c>
      <c r="AE34" s="21" t="str">
        <f>"Jakarta + Real Cost"</f>
        <v>Jakarta + Real Cost</v>
      </c>
      <c r="AF34" s="21">
        <f>IF(Tbl_Price_List[[#This Row],[Class_Type]]="Keyboard B (25kg less)",VLOOKUP(Tbl_Price_List[[#This Row],[Class_Type]],Tbl_Class_Pricelist[[Class_Type]:[YOGYAKARTA]],30,0),3078*Tbl_Prod_Catalog[[#This Row],[Weight (kg)]])</f>
        <v>120042</v>
      </c>
    </row>
    <row r="35" spans="1:32" ht="15" customHeight="1" x14ac:dyDescent="0.25">
      <c r="A35" s="6">
        <v>33</v>
      </c>
      <c r="B35" s="26" t="str">
        <f>VLOOKUP(Tbl_Price_List[[#This Row],[Product_Name]],Tbl_Prod_Catalog[[#This Row],[Product_Name]:[Class_Type]],8,0)</f>
        <v>Keyboard B (25kg less)</v>
      </c>
      <c r="C35" s="6" t="s">
        <v>279</v>
      </c>
      <c r="D35" s="21">
        <f>IF(Tbl_Price_List[[#This Row],[Class_Type]]="Keyboard B (25kg less)",VLOOKUP(Tbl_Price_List[[#This Row],[Class_Type]],Tbl_Class_Pricelist[[Class_Type]:[BALI]],2,0),9578*Tbl_Prod_Catalog[[#This Row],[Weight (kg)]])</f>
        <v>182000</v>
      </c>
      <c r="E35" s="21">
        <f>(7350*Product_Catalog!D35)</f>
        <v>330750</v>
      </c>
      <c r="F35" s="21">
        <f>IF(Tbl_Price_List[[#This Row],[Class_Type]]="Keyboard B (25kg less)",VLOOKUP(Tbl_Price_List[[#This Row],[Class_Type]],Tbl_Class_Pricelist[[Class_Type]:[BANDAR LAMPUNG]],4,0),4421*Tbl_Prod_Catalog[[#This Row],[Weight (kg)]])</f>
        <v>84000</v>
      </c>
      <c r="G35" s="21">
        <f>IF(Tbl_Price_List[[#This Row],[Class_Type]]="Keyboard B (25kg less)",VLOOKUP(Tbl_Price_List[[#This Row],[Class_Type]],Tbl_Class_Pricelist[[Class_Type]:[BANDUNG]],5,0),2460*Tbl_Prod_Catalog[[#This Row],[Weight (kg)]])</f>
        <v>46750</v>
      </c>
      <c r="H35" s="21">
        <f>IF(Tbl_Price_List[[#This Row],[Class_Type]]="Keyboard B (25kg less)",VLOOKUP(Tbl_Price_List[[#This Row],[Class_Type]],Tbl_Class_Pricelist[[Class_Type]:[BANGKA]],6,0),6736*Tbl_Prod_Catalog[[#This Row],[Weight (kg)]])</f>
        <v>128000</v>
      </c>
      <c r="I35" s="21">
        <f>(4725*Product_Catalog!D35)</f>
        <v>212625</v>
      </c>
      <c r="J35" s="21">
        <f>IF(Tbl_Price_List[[#This Row],[Class_Type]]="Keyboard B (25kg less)",VLOOKUP(Tbl_Price_List[[#This Row],[Class_Type]],Tbl_Class_Pricelist[[Class_Type]:[BATAM]],8,0),6736*Tbl_Prod_Catalog[[#This Row],[Weight (kg)]])</f>
        <v>128000</v>
      </c>
      <c r="K35" s="21">
        <f>IF(Tbl_Price_List[[#This Row],[Class_Type]]="Keyboard B (25kg less)",VLOOKUP(Tbl_Price_List[[#This Row],[Class_Type]],Tbl_Class_Pricelist[[Class_Type]:[BOGOR]],9,0),1921*Tbl_Prod_Catalog[[#This Row],[Weight (kg)]])</f>
        <v>36500</v>
      </c>
      <c r="L35" s="21">
        <f>IF(Tbl_Price_List[[#This Row],[Class_Type]]="Keyboard B (25kg less)",VLOOKUP(Tbl_Price_List[[#This Row],[Class_Type]],Tbl_Class_Pricelist[[Class_Type]:[CIREBON]],10,0),2815*Tbl_Prod_Catalog[[#This Row],[Weight (kg)]])</f>
        <v>51500</v>
      </c>
      <c r="M35" s="21">
        <f>IF(Tbl_Price_List[[#This Row],[Class_Type]]="Keyboard B (25kg less)",VLOOKUP(Tbl_Price_List[[#This Row],[Class_Type]],Tbl_Class_Pricelist[[Class_Type]:[JAMBI]],11,0),5857*Tbl_Prod_Catalog[[#This Row],[Weight (kg)]])</f>
        <v>107500</v>
      </c>
      <c r="N35" s="21">
        <f>IF(Tbl_Price_List[[#This Row],[Class_Type]]="Keyboard B (25kg less)",VLOOKUP(Tbl_Price_List[[#This Row],[Class_Type]],Tbl_Class_Pricelist[[Class_Type]:[JOMBANG]],12,0),6078*Tbl_Prod_Catalog[[#This Row],[Weight (kg)]])</f>
        <v>115500</v>
      </c>
      <c r="O35" s="21">
        <f>IF(Tbl_Price_List[[#This Row],[Class_Type]]="Keyboard B (25kg less)",VLOOKUP(Tbl_Price_List[[#This Row],[Class_Type]],Tbl_Class_Pricelist[[Class_Type]:[KUDUS]],13,0),4473*Tbl_Prod_Catalog[[#This Row],[Weight (kg)]])</f>
        <v>85000</v>
      </c>
      <c r="P35" s="21">
        <f>IF(Tbl_Price_List[[#This Row],[Class_Type]]="Keyboard B (25kg less)",VLOOKUP(Tbl_Price_List[[#This Row],[Class_Type]],Tbl_Class_Pricelist[[Class_Type]:[MAGELANG]],14,0),3078*Tbl_Prod_Catalog[[#This Row],[Weight (kg)]])</f>
        <v>58500</v>
      </c>
      <c r="Q35" s="21">
        <f>IF(Tbl_Price_List[[#This Row],[Class_Type]]="Keyboard B (25kg less)",VLOOKUP(Tbl_Price_List[[#This Row],[Class_Type]],Tbl_Class_Pricelist[[Class_Type]:[MAKASSAR]],15,0),7142*Tbl_Prod_Catalog[[#This Row],[Weight (kg)]])</f>
        <v>135700</v>
      </c>
      <c r="R35" s="21">
        <f>IF(Tbl_Price_List[[#This Row],[Class_Type]]="Keyboard B (25kg less)",VLOOKUP(Tbl_Price_List[[#This Row],[Class_Type]],Tbl_Class_Pricelist[[Class_Type]:[MALANG]],16,0),5868*Tbl_Prod_Catalog[[#This Row],[Weight (kg)]])</f>
        <v>111500</v>
      </c>
      <c r="S35" s="21">
        <f>IF(Tbl_Price_List[[#This Row],[Class_Type]]="Keyboard B (25kg less)",VLOOKUP(Tbl_Price_List[[#This Row],[Class_Type]],Tbl_Class_Pricelist[[Class_Type]:[MANADO]],17,0),7142*Tbl_Prod_Catalog[[#This Row],[Weight (kg)]])</f>
        <v>135700</v>
      </c>
      <c r="T35" s="21">
        <f>IF(Tbl_Price_List[[#This Row],[Class_Type]]="Keyboard B (25kg less)",VLOOKUP(Tbl_Price_List[[#This Row],[Class_Type]],Tbl_Class_Pricelist[[Class_Type]:[MEDAN]],18,0),7142*Tbl_Prod_Catalog[[#This Row],[Weight (kg)]])</f>
        <v>135700</v>
      </c>
      <c r="U35" s="21">
        <f>IF(Tbl_Price_List[[#This Row],[Class_Type]]="Keyboard B (25kg less)",VLOOKUP(Tbl_Price_List[[#This Row],[Class_Type]],Tbl_Class_Pricelist[[Class_Type]:[PADANG]],19,0),5657*Tbl_Prod_Catalog[[#This Row],[Weight (kg)]])</f>
        <v>107500</v>
      </c>
      <c r="V35" s="21">
        <f>(12000*Product_Catalog!D35)</f>
        <v>540000</v>
      </c>
      <c r="W35" s="21">
        <f>IF(Tbl_Price_List[[#This Row],[Class_Type]]="Keyboard B (25kg less)",VLOOKUP(Tbl_Price_List[[#This Row],[Class_Type]],Tbl_Class_Pricelist[[Class_Type]:[PALEMBANG]],21,0),5084*Tbl_Prod_Catalog[[#This Row],[Weight (kg)]])</f>
        <v>96600</v>
      </c>
      <c r="X35" s="21">
        <f>IF(Tbl_Price_List[[#This Row],[Class_Type]]="Keyboard B (25kg less)",VLOOKUP(Tbl_Price_List[[#This Row],[Class_Type]],Tbl_Class_Pricelist[[Class_Type]:[PEKANBARU]],22,0),6736*Tbl_Prod_Catalog[[#This Row],[Weight (kg)]])</f>
        <v>128000</v>
      </c>
      <c r="Y35" s="21">
        <f>(5250*Product_Catalog!D35)</f>
        <v>236250</v>
      </c>
      <c r="Z35" s="21">
        <f>IF(Tbl_Price_List[[#This Row],[Class_Type]]="Keyboard B (25kg less)",VLOOKUP(Tbl_Price_List[[#This Row],[Class_Type]],Tbl_Class_Pricelist[[Class_Type]:[PURWOKERTO]],24,0),4473*Tbl_Prod_Catalog[[#This Row],[Weight (kg)]])</f>
        <v>85000</v>
      </c>
      <c r="AA35" s="21">
        <f>(8400*Product_Catalog!D35)</f>
        <v>378000</v>
      </c>
      <c r="AB35" s="21">
        <f>IF(Tbl_Price_List[[#This Row],[Class_Type]]="Keyboard B (25kg less)",VLOOKUP(Tbl_Price_List[[#This Row],[Class_Type]],Tbl_Class_Pricelist[[Class_Type]:[SEMARANG]],26,0),3078*Tbl_Prod_Catalog[[#This Row],[Weight (kg)]])</f>
        <v>58500</v>
      </c>
      <c r="AC35" s="21">
        <f>IF(Tbl_Price_List[[#This Row],[Class_Type]]="Keyboard B (25kg less)",VLOOKUP(Tbl_Price_List[[#This Row],[Class_Type]],Tbl_Class_Pricelist[[Class_Type]:[SOLO]],27,0),3155*Tbl_Prod_Catalog[[#This Row],[Weight (kg)]])</f>
        <v>60000</v>
      </c>
      <c r="AD35" s="21">
        <f>IF(Tbl_Price_List[[#This Row],[Class_Type]]="Keyboard B (25kg less)",VLOOKUP(Tbl_Price_List[[#This Row],[Class_Type]],Tbl_Class_Pricelist[[Class_Type]:[SURABAYA]],28,0),3657*Tbl_Prod_Catalog[[#This Row],[Weight (kg)]])</f>
        <v>69500</v>
      </c>
      <c r="AE35" s="21" t="str">
        <f>"Jakarta + Real Cost"</f>
        <v>Jakarta + Real Cost</v>
      </c>
      <c r="AF35" s="21">
        <f>IF(Tbl_Price_List[[#This Row],[Class_Type]]="Keyboard B (25kg less)",VLOOKUP(Tbl_Price_List[[#This Row],[Class_Type]],Tbl_Class_Pricelist[[Class_Type]:[YOGYAKARTA]],30,0),3078*Tbl_Prod_Catalog[[#This Row],[Weight (kg)]])</f>
        <v>58500</v>
      </c>
    </row>
    <row r="36" spans="1:32" ht="15" customHeight="1" x14ac:dyDescent="0.25">
      <c r="A36" s="6">
        <v>34</v>
      </c>
      <c r="B36" s="27" t="str">
        <f>VLOOKUP(Tbl_Price_List[[#This Row],[Product_Name]],Tbl_Prod_Catalog[[#This Row],[Product_Name]:[Class_Type]],8,0)</f>
        <v>Keyboard B (25kg less)</v>
      </c>
      <c r="C36" t="s">
        <v>280</v>
      </c>
      <c r="D36" s="21">
        <f>IF(Tbl_Price_List[[#This Row],[Class_Type]]="Keyboard B (25kg less)",VLOOKUP(Tbl_Price_List[[#This Row],[Class_Type]],Tbl_Class_Pricelist[[Class_Type]:[BALI]],2,0),9578*Tbl_Prod_Catalog[[#This Row],[Weight (kg)]])</f>
        <v>182000</v>
      </c>
      <c r="E36" s="21">
        <f>(7350*Product_Catalog!D36)</f>
        <v>0</v>
      </c>
      <c r="F36" s="21">
        <f>IF(Tbl_Price_List[[#This Row],[Class_Type]]="Keyboard B (25kg less)",VLOOKUP(Tbl_Price_List[[#This Row],[Class_Type]],Tbl_Class_Pricelist[[Class_Type]:[BANDAR LAMPUNG]],4,0),4421*Tbl_Prod_Catalog[[#This Row],[Weight (kg)]])</f>
        <v>84000</v>
      </c>
      <c r="G36" s="21">
        <f>IF(Tbl_Price_List[[#This Row],[Class_Type]]="Keyboard B (25kg less)",VLOOKUP(Tbl_Price_List[[#This Row],[Class_Type]],Tbl_Class_Pricelist[[Class_Type]:[BANDUNG]],5,0),2460*Tbl_Prod_Catalog[[#This Row],[Weight (kg)]])</f>
        <v>46750</v>
      </c>
      <c r="H36" s="21">
        <f>IF(Tbl_Price_List[[#This Row],[Class_Type]]="Keyboard B (25kg less)",VLOOKUP(Tbl_Price_List[[#This Row],[Class_Type]],Tbl_Class_Pricelist[[Class_Type]:[BANGKA]],6,0),6736*Tbl_Prod_Catalog[[#This Row],[Weight (kg)]])</f>
        <v>128000</v>
      </c>
      <c r="I36" s="21">
        <f>(4725*Product_Catalog!D36)</f>
        <v>0</v>
      </c>
      <c r="J36" s="21">
        <f>IF(Tbl_Price_List[[#This Row],[Class_Type]]="Keyboard B (25kg less)",VLOOKUP(Tbl_Price_List[[#This Row],[Class_Type]],Tbl_Class_Pricelist[[Class_Type]:[BATAM]],8,0),6736*Tbl_Prod_Catalog[[#This Row],[Weight (kg)]])</f>
        <v>128000</v>
      </c>
      <c r="K36" s="21">
        <f>IF(Tbl_Price_List[[#This Row],[Class_Type]]="Keyboard B (25kg less)",VLOOKUP(Tbl_Price_List[[#This Row],[Class_Type]],Tbl_Class_Pricelist[[Class_Type]:[BOGOR]],9,0),1921*Tbl_Prod_Catalog[[#This Row],[Weight (kg)]])</f>
        <v>36500</v>
      </c>
      <c r="L36" s="21">
        <f>IF(Tbl_Price_List[[#This Row],[Class_Type]]="Keyboard B (25kg less)",VLOOKUP(Tbl_Price_List[[#This Row],[Class_Type]],Tbl_Class_Pricelist[[Class_Type]:[CIREBON]],10,0),2815*Tbl_Prod_Catalog[[#This Row],[Weight (kg)]])</f>
        <v>51500</v>
      </c>
      <c r="M36" s="21">
        <f>IF(Tbl_Price_List[[#This Row],[Class_Type]]="Keyboard B (25kg less)",VLOOKUP(Tbl_Price_List[[#This Row],[Class_Type]],Tbl_Class_Pricelist[[Class_Type]:[JAMBI]],11,0),5857*Tbl_Prod_Catalog[[#This Row],[Weight (kg)]])</f>
        <v>107500</v>
      </c>
      <c r="N36" s="21">
        <f>IF(Tbl_Price_List[[#This Row],[Class_Type]]="Keyboard B (25kg less)",VLOOKUP(Tbl_Price_List[[#This Row],[Class_Type]],Tbl_Class_Pricelist[[Class_Type]:[JOMBANG]],12,0),6078*Tbl_Prod_Catalog[[#This Row],[Weight (kg)]])</f>
        <v>115500</v>
      </c>
      <c r="O36" s="21">
        <f>IF(Tbl_Price_List[[#This Row],[Class_Type]]="Keyboard B (25kg less)",VLOOKUP(Tbl_Price_List[[#This Row],[Class_Type]],Tbl_Class_Pricelist[[Class_Type]:[KUDUS]],13,0),4473*Tbl_Prod_Catalog[[#This Row],[Weight (kg)]])</f>
        <v>85000</v>
      </c>
      <c r="P36" s="21">
        <f>IF(Tbl_Price_List[[#This Row],[Class_Type]]="Keyboard B (25kg less)",VLOOKUP(Tbl_Price_List[[#This Row],[Class_Type]],Tbl_Class_Pricelist[[Class_Type]:[MAGELANG]],14,0),3078*Tbl_Prod_Catalog[[#This Row],[Weight (kg)]])</f>
        <v>58500</v>
      </c>
      <c r="Q36" s="21">
        <f>IF(Tbl_Price_List[[#This Row],[Class_Type]]="Keyboard B (25kg less)",VLOOKUP(Tbl_Price_List[[#This Row],[Class_Type]],Tbl_Class_Pricelist[[Class_Type]:[MAKASSAR]],15,0),7142*Tbl_Prod_Catalog[[#This Row],[Weight (kg)]])</f>
        <v>135700</v>
      </c>
      <c r="R36" s="21">
        <f>IF(Tbl_Price_List[[#This Row],[Class_Type]]="Keyboard B (25kg less)",VLOOKUP(Tbl_Price_List[[#This Row],[Class_Type]],Tbl_Class_Pricelist[[Class_Type]:[MALANG]],16,0),5868*Tbl_Prod_Catalog[[#This Row],[Weight (kg)]])</f>
        <v>111500</v>
      </c>
      <c r="S36" s="21">
        <f>IF(Tbl_Price_List[[#This Row],[Class_Type]]="Keyboard B (25kg less)",VLOOKUP(Tbl_Price_List[[#This Row],[Class_Type]],Tbl_Class_Pricelist[[Class_Type]:[MANADO]],17,0),7142*Tbl_Prod_Catalog[[#This Row],[Weight (kg)]])</f>
        <v>135700</v>
      </c>
      <c r="T36" s="21">
        <f>IF(Tbl_Price_List[[#This Row],[Class_Type]]="Keyboard B (25kg less)",VLOOKUP(Tbl_Price_List[[#This Row],[Class_Type]],Tbl_Class_Pricelist[[Class_Type]:[MEDAN]],18,0),7142*Tbl_Prod_Catalog[[#This Row],[Weight (kg)]])</f>
        <v>135700</v>
      </c>
      <c r="U36" s="21">
        <f>IF(Tbl_Price_List[[#This Row],[Class_Type]]="Keyboard B (25kg less)",VLOOKUP(Tbl_Price_List[[#This Row],[Class_Type]],Tbl_Class_Pricelist[[Class_Type]:[PADANG]],19,0),5657*Tbl_Prod_Catalog[[#This Row],[Weight (kg)]])</f>
        <v>107500</v>
      </c>
      <c r="V36" s="21">
        <f>(12000*Product_Catalog!D36)</f>
        <v>0</v>
      </c>
      <c r="W36" s="21">
        <f>IF(Tbl_Price_List[[#This Row],[Class_Type]]="Keyboard B (25kg less)",VLOOKUP(Tbl_Price_List[[#This Row],[Class_Type]],Tbl_Class_Pricelist[[Class_Type]:[PALEMBANG]],21,0),5084*Tbl_Prod_Catalog[[#This Row],[Weight (kg)]])</f>
        <v>96600</v>
      </c>
      <c r="X36" s="21">
        <f>IF(Tbl_Price_List[[#This Row],[Class_Type]]="Keyboard B (25kg less)",VLOOKUP(Tbl_Price_List[[#This Row],[Class_Type]],Tbl_Class_Pricelist[[Class_Type]:[PEKANBARU]],22,0),6736*Tbl_Prod_Catalog[[#This Row],[Weight (kg)]])</f>
        <v>128000</v>
      </c>
      <c r="Y36" s="21">
        <f>(5250*Product_Catalog!D36)</f>
        <v>0</v>
      </c>
      <c r="Z36" s="21">
        <f>IF(Tbl_Price_List[[#This Row],[Class_Type]]="Keyboard B (25kg less)",VLOOKUP(Tbl_Price_List[[#This Row],[Class_Type]],Tbl_Class_Pricelist[[Class_Type]:[PURWOKERTO]],24,0),4473*Tbl_Prod_Catalog[[#This Row],[Weight (kg)]])</f>
        <v>85000</v>
      </c>
      <c r="AA36" s="21">
        <f>(8400*Product_Catalog!D36)</f>
        <v>0</v>
      </c>
      <c r="AB36" s="21">
        <f>IF(Tbl_Price_List[[#This Row],[Class_Type]]="Keyboard B (25kg less)",VLOOKUP(Tbl_Price_List[[#This Row],[Class_Type]],Tbl_Class_Pricelist[[Class_Type]:[SEMARANG]],26,0),3078*Tbl_Prod_Catalog[[#This Row],[Weight (kg)]])</f>
        <v>58500</v>
      </c>
      <c r="AC36" s="21">
        <f>IF(Tbl_Price_List[[#This Row],[Class_Type]]="Keyboard B (25kg less)",VLOOKUP(Tbl_Price_List[[#This Row],[Class_Type]],Tbl_Class_Pricelist[[Class_Type]:[SOLO]],27,0),3155*Tbl_Prod_Catalog[[#This Row],[Weight (kg)]])</f>
        <v>60000</v>
      </c>
      <c r="AD36" s="21">
        <f>IF(Tbl_Price_List[[#This Row],[Class_Type]]="Keyboard B (25kg less)",VLOOKUP(Tbl_Price_List[[#This Row],[Class_Type]],Tbl_Class_Pricelist[[Class_Type]:[SURABAYA]],28,0),3657*Tbl_Prod_Catalog[[#This Row],[Weight (kg)]])</f>
        <v>69500</v>
      </c>
      <c r="AE36" s="21" t="str">
        <f>"Jakarta + Real Cost"</f>
        <v>Jakarta + Real Cost</v>
      </c>
      <c r="AF36" s="21">
        <f>IF(Tbl_Price_List[[#This Row],[Class_Type]]="Keyboard B (25kg less)",VLOOKUP(Tbl_Price_List[[#This Row],[Class_Type]],Tbl_Class_Pricelist[[Class_Type]:[YOGYAKARTA]],30,0),3078*Tbl_Prod_Catalog[[#This Row],[Weight (kg)]])</f>
        <v>58500</v>
      </c>
    </row>
    <row r="37" spans="1:32" ht="15" customHeight="1" x14ac:dyDescent="0.25">
      <c r="A37" s="6">
        <v>35</v>
      </c>
      <c r="B37" s="27" t="str">
        <f>VLOOKUP(Tbl_Price_List[[#This Row],[Product_Name]],Tbl_Prod_Catalog[[#This Row],[Product_Name]:[Class_Type]],8,0)</f>
        <v>Keyboard B (25kg less)</v>
      </c>
      <c r="C37" t="s">
        <v>392</v>
      </c>
      <c r="D37" s="21">
        <f>IF(Tbl_Price_List[[#This Row],[Class_Type]]="Keyboard B (25kg less)",VLOOKUP(Tbl_Price_List[[#This Row],[Class_Type]],Tbl_Class_Pricelist[[Class_Type]:[BALI]],2,0),9578*Tbl_Prod_Catalog[[#This Row],[Weight (kg)]])</f>
        <v>182000</v>
      </c>
      <c r="E37" s="21">
        <f>(7350*Product_Catalog!D37)</f>
        <v>316050</v>
      </c>
      <c r="F37" s="21">
        <f>IF(Tbl_Price_List[[#This Row],[Class_Type]]="Keyboard B (25kg less)",VLOOKUP(Tbl_Price_List[[#This Row],[Class_Type]],Tbl_Class_Pricelist[[Class_Type]:[BANDAR LAMPUNG]],4,0),4421*Tbl_Prod_Catalog[[#This Row],[Weight (kg)]])</f>
        <v>84000</v>
      </c>
      <c r="G37" s="21">
        <f>IF(Tbl_Price_List[[#This Row],[Class_Type]]="Keyboard B (25kg less)",VLOOKUP(Tbl_Price_List[[#This Row],[Class_Type]],Tbl_Class_Pricelist[[Class_Type]:[BANDUNG]],5,0),2460*Tbl_Prod_Catalog[[#This Row],[Weight (kg)]])</f>
        <v>46750</v>
      </c>
      <c r="H37" s="21">
        <f>IF(Tbl_Price_List[[#This Row],[Class_Type]]="Keyboard B (25kg less)",VLOOKUP(Tbl_Price_List[[#This Row],[Class_Type]],Tbl_Class_Pricelist[[Class_Type]:[BANGKA]],6,0),6736*Tbl_Prod_Catalog[[#This Row],[Weight (kg)]])</f>
        <v>128000</v>
      </c>
      <c r="I37" s="21">
        <f>(4725*Product_Catalog!D37)</f>
        <v>203175</v>
      </c>
      <c r="J37" s="21">
        <f>IF(Tbl_Price_List[[#This Row],[Class_Type]]="Keyboard B (25kg less)",VLOOKUP(Tbl_Price_List[[#This Row],[Class_Type]],Tbl_Class_Pricelist[[Class_Type]:[BATAM]],8,0),6736*Tbl_Prod_Catalog[[#This Row],[Weight (kg)]])</f>
        <v>128000</v>
      </c>
      <c r="K37" s="21">
        <f>IF(Tbl_Price_List[[#This Row],[Class_Type]]="Keyboard B (25kg less)",VLOOKUP(Tbl_Price_List[[#This Row],[Class_Type]],Tbl_Class_Pricelist[[Class_Type]:[BOGOR]],9,0),1921*Tbl_Prod_Catalog[[#This Row],[Weight (kg)]])</f>
        <v>36500</v>
      </c>
      <c r="L37" s="21">
        <f>IF(Tbl_Price_List[[#This Row],[Class_Type]]="Keyboard B (25kg less)",VLOOKUP(Tbl_Price_List[[#This Row],[Class_Type]],Tbl_Class_Pricelist[[Class_Type]:[CIREBON]],10,0),2815*Tbl_Prod_Catalog[[#This Row],[Weight (kg)]])</f>
        <v>51500</v>
      </c>
      <c r="M37" s="21">
        <f>IF(Tbl_Price_List[[#This Row],[Class_Type]]="Keyboard B (25kg less)",VLOOKUP(Tbl_Price_List[[#This Row],[Class_Type]],Tbl_Class_Pricelist[[Class_Type]:[JAMBI]],11,0),5857*Tbl_Prod_Catalog[[#This Row],[Weight (kg)]])</f>
        <v>107500</v>
      </c>
      <c r="N37" s="21">
        <f>IF(Tbl_Price_List[[#This Row],[Class_Type]]="Keyboard B (25kg less)",VLOOKUP(Tbl_Price_List[[#This Row],[Class_Type]],Tbl_Class_Pricelist[[Class_Type]:[JOMBANG]],12,0),6078*Tbl_Prod_Catalog[[#This Row],[Weight (kg)]])</f>
        <v>115500</v>
      </c>
      <c r="O37" s="21">
        <f>IF(Tbl_Price_List[[#This Row],[Class_Type]]="Keyboard B (25kg less)",VLOOKUP(Tbl_Price_List[[#This Row],[Class_Type]],Tbl_Class_Pricelist[[Class_Type]:[KUDUS]],13,0),4473*Tbl_Prod_Catalog[[#This Row],[Weight (kg)]])</f>
        <v>85000</v>
      </c>
      <c r="P37" s="21">
        <f>IF(Tbl_Price_List[[#This Row],[Class_Type]]="Keyboard B (25kg less)",VLOOKUP(Tbl_Price_List[[#This Row],[Class_Type]],Tbl_Class_Pricelist[[Class_Type]:[MAGELANG]],14,0),3078*Tbl_Prod_Catalog[[#This Row],[Weight (kg)]])</f>
        <v>58500</v>
      </c>
      <c r="Q37" s="21">
        <f>IF(Tbl_Price_List[[#This Row],[Class_Type]]="Keyboard B (25kg less)",VLOOKUP(Tbl_Price_List[[#This Row],[Class_Type]],Tbl_Class_Pricelist[[Class_Type]:[MAKASSAR]],15,0),7142*Tbl_Prod_Catalog[[#This Row],[Weight (kg)]])</f>
        <v>135700</v>
      </c>
      <c r="R37" s="21">
        <f>IF(Tbl_Price_List[[#This Row],[Class_Type]]="Keyboard B (25kg less)",VLOOKUP(Tbl_Price_List[[#This Row],[Class_Type]],Tbl_Class_Pricelist[[Class_Type]:[MALANG]],16,0),5868*Tbl_Prod_Catalog[[#This Row],[Weight (kg)]])</f>
        <v>111500</v>
      </c>
      <c r="S37" s="21">
        <f>IF(Tbl_Price_List[[#This Row],[Class_Type]]="Keyboard B (25kg less)",VLOOKUP(Tbl_Price_List[[#This Row],[Class_Type]],Tbl_Class_Pricelist[[Class_Type]:[MANADO]],17,0),7142*Tbl_Prod_Catalog[[#This Row],[Weight (kg)]])</f>
        <v>135700</v>
      </c>
      <c r="T37" s="21">
        <f>IF(Tbl_Price_List[[#This Row],[Class_Type]]="Keyboard B (25kg less)",VLOOKUP(Tbl_Price_List[[#This Row],[Class_Type]],Tbl_Class_Pricelist[[Class_Type]:[MEDAN]],18,0),7142*Tbl_Prod_Catalog[[#This Row],[Weight (kg)]])</f>
        <v>135700</v>
      </c>
      <c r="U37" s="21">
        <f>IF(Tbl_Price_List[[#This Row],[Class_Type]]="Keyboard B (25kg less)",VLOOKUP(Tbl_Price_List[[#This Row],[Class_Type]],Tbl_Class_Pricelist[[Class_Type]:[PADANG]],19,0),5657*Tbl_Prod_Catalog[[#This Row],[Weight (kg)]])</f>
        <v>107500</v>
      </c>
      <c r="V37" s="21">
        <f>(12000*Product_Catalog!D37)</f>
        <v>516000</v>
      </c>
      <c r="W37" s="21">
        <f>IF(Tbl_Price_List[[#This Row],[Class_Type]]="Keyboard B (25kg less)",VLOOKUP(Tbl_Price_List[[#This Row],[Class_Type]],Tbl_Class_Pricelist[[Class_Type]:[PALEMBANG]],21,0),5084*Tbl_Prod_Catalog[[#This Row],[Weight (kg)]])</f>
        <v>96600</v>
      </c>
      <c r="X37" s="21">
        <f>IF(Tbl_Price_List[[#This Row],[Class_Type]]="Keyboard B (25kg less)",VLOOKUP(Tbl_Price_List[[#This Row],[Class_Type]],Tbl_Class_Pricelist[[Class_Type]:[PEKANBARU]],22,0),6736*Tbl_Prod_Catalog[[#This Row],[Weight (kg)]])</f>
        <v>128000</v>
      </c>
      <c r="Y37" s="21">
        <f>(5250*Product_Catalog!D37)</f>
        <v>225750</v>
      </c>
      <c r="Z37" s="21">
        <f>IF(Tbl_Price_List[[#This Row],[Class_Type]]="Keyboard B (25kg less)",VLOOKUP(Tbl_Price_List[[#This Row],[Class_Type]],Tbl_Class_Pricelist[[Class_Type]:[PURWOKERTO]],24,0),4473*Tbl_Prod_Catalog[[#This Row],[Weight (kg)]])</f>
        <v>85000</v>
      </c>
      <c r="AA37" s="21">
        <f>(8400*Product_Catalog!D37)</f>
        <v>361200</v>
      </c>
      <c r="AB37" s="21">
        <f>IF(Tbl_Price_List[[#This Row],[Class_Type]]="Keyboard B (25kg less)",VLOOKUP(Tbl_Price_List[[#This Row],[Class_Type]],Tbl_Class_Pricelist[[Class_Type]:[SEMARANG]],26,0),3078*Tbl_Prod_Catalog[[#This Row],[Weight (kg)]])</f>
        <v>58500</v>
      </c>
      <c r="AC37" s="21">
        <f>IF(Tbl_Price_List[[#This Row],[Class_Type]]="Keyboard B (25kg less)",VLOOKUP(Tbl_Price_List[[#This Row],[Class_Type]],Tbl_Class_Pricelist[[Class_Type]:[SOLO]],27,0),3155*Tbl_Prod_Catalog[[#This Row],[Weight (kg)]])</f>
        <v>60000</v>
      </c>
      <c r="AD37" s="21">
        <f>IF(Tbl_Price_List[[#This Row],[Class_Type]]="Keyboard B (25kg less)",VLOOKUP(Tbl_Price_List[[#This Row],[Class_Type]],Tbl_Class_Pricelist[[Class_Type]:[SURABAYA]],28,0),3657*Tbl_Prod_Catalog[[#This Row],[Weight (kg)]])</f>
        <v>69500</v>
      </c>
      <c r="AE37" s="21" t="str">
        <f>"Jakarta + Real Cost"</f>
        <v>Jakarta + Real Cost</v>
      </c>
      <c r="AF37" s="21">
        <f>IF(Tbl_Price_List[[#This Row],[Class_Type]]="Keyboard B (25kg less)",VLOOKUP(Tbl_Price_List[[#This Row],[Class_Type]],Tbl_Class_Pricelist[[Class_Type]:[YOGYAKARTA]],30,0),3078*Tbl_Prod_Catalog[[#This Row],[Weight (kg)]])</f>
        <v>58500</v>
      </c>
    </row>
    <row r="38" spans="1:32" ht="15" customHeight="1" x14ac:dyDescent="0.25">
      <c r="A38" s="6">
        <v>36</v>
      </c>
      <c r="B38" s="27" t="str">
        <f>VLOOKUP(Tbl_Price_List[[#This Row],[Product_Name]],Tbl_Prod_Catalog[[#This Row],[Product_Name]:[Class_Type]],8,0)</f>
        <v>PA, MProd, Brass, Inst.Part, Acc.</v>
      </c>
      <c r="C38" t="s">
        <v>408</v>
      </c>
      <c r="D38" s="21">
        <f>11050*Tbl_Prod_Catalog[[#This Row],[Weight (kg)]]</f>
        <v>254150</v>
      </c>
      <c r="E38" s="21">
        <f>(7350*Product_Catalog!D38)</f>
        <v>7350</v>
      </c>
      <c r="F38" s="33">
        <f>5750*Tbl_Prod_Catalog[[#This Row],[Weight (kg)]]</f>
        <v>132250</v>
      </c>
      <c r="G38">
        <f>2500*Tbl_Prod_Catalog[[#This Row],[Weight (kg)]]</f>
        <v>57500</v>
      </c>
      <c r="H38">
        <f>8250*Tbl_Prod_Catalog[[#This Row],[Weight (kg)]]</f>
        <v>189750</v>
      </c>
      <c r="I38" s="21">
        <f>(4725*Product_Catalog!D38)</f>
        <v>4725</v>
      </c>
      <c r="J38">
        <f>8250*Tbl_Prod_Catalog[[#This Row],[Weight (kg)]]</f>
        <v>189750</v>
      </c>
      <c r="K38">
        <f>2450*Tbl_Prod_Catalog[[#This Row],[Weight (kg)]]</f>
        <v>56350</v>
      </c>
      <c r="L38">
        <f>2600*Tbl_Prod_Catalog[[#This Row],[Weight (kg)]]</f>
        <v>59800</v>
      </c>
      <c r="M38">
        <f>6900*Tbl_Prod_Catalog[[#This Row],[Weight (kg)]]</f>
        <v>158700</v>
      </c>
      <c r="N38">
        <f>5600*Tbl_Prod_Catalog[[#This Row],[Weight (kg)]]</f>
        <v>128800</v>
      </c>
      <c r="O38">
        <f>3400*Tbl_Prod_Catalog[[#This Row],[Weight (kg)]]</f>
        <v>78200</v>
      </c>
      <c r="P38">
        <f>2800*Tbl_Prod_Catalog[[#This Row],[Weight (kg)]]</f>
        <v>64400</v>
      </c>
      <c r="Q38">
        <f>9400*Tbl_Prod_Catalog[[#This Row],[Weight (kg)]]</f>
        <v>216200</v>
      </c>
      <c r="R38">
        <f>5600*Tbl_Prod_Catalog[[#This Row],[Weight (kg)]]</f>
        <v>128800</v>
      </c>
      <c r="S38">
        <f>9400*Tbl_Prod_Catalog[[#This Row],[Weight (kg)]]</f>
        <v>216200</v>
      </c>
      <c r="T38">
        <f>9400*Tbl_Prod_Catalog[[#This Row],[Weight (kg)]]</f>
        <v>216200</v>
      </c>
      <c r="U38">
        <f>6900*Tbl_Prod_Catalog[[#This Row],[Weight (kg)]]</f>
        <v>158700</v>
      </c>
      <c r="V38" s="21">
        <f>(12000*Product_Catalog!D38)</f>
        <v>12000</v>
      </c>
      <c r="W38">
        <f>6350*Tbl_Prod_Catalog[[#This Row],[Weight (kg)]]</f>
        <v>146050</v>
      </c>
      <c r="X38">
        <f>8250*Tbl_Prod_Catalog[[#This Row],[Weight (kg)]]</f>
        <v>189750</v>
      </c>
      <c r="Y38" s="21">
        <f>(5250*Product_Catalog!D38)</f>
        <v>5250</v>
      </c>
      <c r="Z38">
        <f>3400*Tbl_Prod_Catalog[[#This Row],[Weight (kg)]]</f>
        <v>78200</v>
      </c>
      <c r="AA38" s="21">
        <f>(8400*Product_Catalog!D38)</f>
        <v>8400</v>
      </c>
      <c r="AB38">
        <f>2800*Tbl_Prod_Catalog[[#This Row],[Weight (kg)]]</f>
        <v>64400</v>
      </c>
      <c r="AC38">
        <f>3000*Tbl_Prod_Catalog[[#This Row],[Weight (kg)]]</f>
        <v>69000</v>
      </c>
      <c r="AD38">
        <f>4350*Tbl_Prod_Catalog[[#This Row],[Weight (kg)]]</f>
        <v>100050</v>
      </c>
      <c r="AE38" s="34" t="str">
        <f>"Jakarta + Real Cost"</f>
        <v>Jakarta + Real Cost</v>
      </c>
      <c r="AF38">
        <f>2800*Tbl_Prod_Catalog[[#This Row],[Weight (kg)]]</f>
        <v>64400</v>
      </c>
    </row>
    <row r="39" spans="1:32" ht="15" customHeight="1" x14ac:dyDescent="0.25">
      <c r="A39" s="6">
        <v>37</v>
      </c>
      <c r="B39" s="27" t="str">
        <f>VLOOKUP(Tbl_Price_List[[#This Row],[Product_Name]],Tbl_Prod_Catalog[[#This Row],[Product_Name]:[Class_Type]],8,0)</f>
        <v>Digital Piano (Arius)</v>
      </c>
      <c r="C39" t="s">
        <v>306</v>
      </c>
      <c r="D39" s="33">
        <v>506000</v>
      </c>
      <c r="E39" s="21">
        <f>(7350*Product_Catalog!D39)</f>
        <v>543900</v>
      </c>
      <c r="F39" s="33">
        <v>287500</v>
      </c>
      <c r="G39" s="33">
        <v>151200</v>
      </c>
      <c r="H39" s="33">
        <v>504000</v>
      </c>
      <c r="I39" s="21">
        <f>(4725*Product_Catalog!D39)</f>
        <v>349650</v>
      </c>
      <c r="J39" s="33">
        <v>504000</v>
      </c>
      <c r="K39" s="33">
        <v>140400</v>
      </c>
      <c r="L39" s="33">
        <v>170500</v>
      </c>
      <c r="M39" s="33">
        <v>386500</v>
      </c>
      <c r="N39" s="33">
        <v>341500</v>
      </c>
      <c r="O39" s="33">
        <v>440000</v>
      </c>
      <c r="P39" s="33">
        <v>191400</v>
      </c>
      <c r="Q39" s="33">
        <v>770400</v>
      </c>
      <c r="R39" s="33">
        <v>307000</v>
      </c>
      <c r="S39" s="33">
        <v>770400</v>
      </c>
      <c r="T39" s="33">
        <v>770400</v>
      </c>
      <c r="U39" s="33">
        <v>387500</v>
      </c>
      <c r="V39" s="21">
        <f>(12000*Product_Catalog!D39)</f>
        <v>888000</v>
      </c>
      <c r="W39" s="33">
        <v>373200</v>
      </c>
      <c r="X39" s="33">
        <v>504000</v>
      </c>
      <c r="Y39" s="21">
        <f>(5250*Product_Catalog!D39)</f>
        <v>388500</v>
      </c>
      <c r="Z39" s="33">
        <v>440000</v>
      </c>
      <c r="AA39" s="21">
        <f>(8400*Product_Catalog!D39)</f>
        <v>621600</v>
      </c>
      <c r="AB39" s="33">
        <v>191400</v>
      </c>
      <c r="AC39" s="33">
        <v>198500</v>
      </c>
      <c r="AD39" s="33">
        <v>209500</v>
      </c>
      <c r="AE39" s="34" t="str">
        <f>"Jakarta + Real Cost"</f>
        <v>Jakarta + Real Cost</v>
      </c>
      <c r="AF39" s="33">
        <v>191400</v>
      </c>
    </row>
    <row r="40" spans="1:32" ht="15" customHeight="1" x14ac:dyDescent="0.25">
      <c r="A40" s="6">
        <v>38</v>
      </c>
      <c r="B40" s="27" t="str">
        <f>VLOOKUP(Tbl_Price_List[[#This Row],[Product_Name]],Tbl_Prod_Catalog[[#This Row],[Product_Name]:[Class_Type]],8,0)</f>
        <v>Digital Piano (Arius)</v>
      </c>
      <c r="C40" t="s">
        <v>281</v>
      </c>
      <c r="D40" s="33">
        <v>506000</v>
      </c>
      <c r="E40" s="21">
        <f>(7350*Product_Catalog!D40)</f>
        <v>720300</v>
      </c>
      <c r="F40" s="33">
        <v>287500</v>
      </c>
      <c r="G40" s="33">
        <v>151200</v>
      </c>
      <c r="H40" s="33">
        <v>504000</v>
      </c>
      <c r="I40" s="21">
        <f>(4725*Product_Catalog!D40)</f>
        <v>463050</v>
      </c>
      <c r="J40" s="33">
        <v>504000</v>
      </c>
      <c r="K40" s="33">
        <v>140400</v>
      </c>
      <c r="L40" s="33">
        <v>170500</v>
      </c>
      <c r="M40" s="33">
        <v>386500</v>
      </c>
      <c r="N40" s="33">
        <v>341500</v>
      </c>
      <c r="O40" s="33">
        <v>440000</v>
      </c>
      <c r="P40" s="33">
        <v>191400</v>
      </c>
      <c r="Q40" s="33">
        <v>770400</v>
      </c>
      <c r="R40" s="33">
        <v>307000</v>
      </c>
      <c r="S40" s="33">
        <v>770400</v>
      </c>
      <c r="T40" s="33">
        <v>770400</v>
      </c>
      <c r="U40" s="33">
        <v>387500</v>
      </c>
      <c r="V40" s="21">
        <f>(12000*Product_Catalog!D40)</f>
        <v>1176000</v>
      </c>
      <c r="W40" s="33">
        <v>373200</v>
      </c>
      <c r="X40" s="33">
        <v>504000</v>
      </c>
      <c r="Y40" s="21">
        <f>(5250*Product_Catalog!D40)</f>
        <v>514500</v>
      </c>
      <c r="Z40" s="33">
        <v>440000</v>
      </c>
      <c r="AA40" s="21">
        <f>(8400*Product_Catalog!D40)</f>
        <v>823200</v>
      </c>
      <c r="AB40" s="33">
        <v>191400</v>
      </c>
      <c r="AC40" s="33">
        <v>198500</v>
      </c>
      <c r="AD40" s="33">
        <v>209500</v>
      </c>
      <c r="AE40" s="34" t="str">
        <f>"Jakarta + Real Cost"</f>
        <v>Jakarta + Real Cost</v>
      </c>
      <c r="AF40" s="33">
        <v>191400</v>
      </c>
    </row>
    <row r="41" spans="1:32" ht="15" customHeight="1" x14ac:dyDescent="0.25">
      <c r="A41" s="6">
        <v>39</v>
      </c>
      <c r="B41" s="27" t="str">
        <f>VLOOKUP(Tbl_Price_List[[#This Row],[Product_Name]],Tbl_Prod_Catalog[[#This Row],[Product_Name]:[Class_Type]],8,0)</f>
        <v>Digital Piano (Arius)</v>
      </c>
      <c r="C41" t="s">
        <v>282</v>
      </c>
      <c r="D41" s="33">
        <v>506000</v>
      </c>
      <c r="E41" s="21">
        <f>(7350*Product_Catalog!D41)</f>
        <v>639450</v>
      </c>
      <c r="F41" s="33">
        <v>287500</v>
      </c>
      <c r="G41" s="33">
        <v>151200</v>
      </c>
      <c r="H41" s="33">
        <v>504000</v>
      </c>
      <c r="I41" s="21">
        <f>(4725*Product_Catalog!D41)</f>
        <v>411075</v>
      </c>
      <c r="J41" s="33">
        <v>504000</v>
      </c>
      <c r="K41" s="33">
        <v>140400</v>
      </c>
      <c r="L41" s="33">
        <v>170500</v>
      </c>
      <c r="M41" s="33">
        <v>386500</v>
      </c>
      <c r="N41" s="33">
        <v>341500</v>
      </c>
      <c r="O41" s="33">
        <v>440000</v>
      </c>
      <c r="P41" s="33">
        <v>191400</v>
      </c>
      <c r="Q41" s="33">
        <v>770400</v>
      </c>
      <c r="R41" s="33">
        <v>307000</v>
      </c>
      <c r="S41" s="33">
        <v>770400</v>
      </c>
      <c r="T41" s="33">
        <v>770400</v>
      </c>
      <c r="U41" s="33">
        <v>387500</v>
      </c>
      <c r="V41" s="21">
        <f>(12000*Product_Catalog!D41)</f>
        <v>1044000</v>
      </c>
      <c r="W41" s="33">
        <v>373200</v>
      </c>
      <c r="X41" s="33">
        <v>504000</v>
      </c>
      <c r="Y41" s="21">
        <f>(5250*Product_Catalog!D41)</f>
        <v>456750</v>
      </c>
      <c r="Z41" s="33">
        <v>440000</v>
      </c>
      <c r="AA41" s="21">
        <f>(8400*Product_Catalog!D41)</f>
        <v>730800</v>
      </c>
      <c r="AB41" s="33">
        <v>191400</v>
      </c>
      <c r="AC41" s="33">
        <v>198500</v>
      </c>
      <c r="AD41" s="33">
        <v>209500</v>
      </c>
      <c r="AE41" s="34" t="str">
        <f>"Jakarta + Real Cost"</f>
        <v>Jakarta + Real Cost</v>
      </c>
      <c r="AF41" s="33">
        <v>191400</v>
      </c>
    </row>
    <row r="42" spans="1:32" ht="15" customHeight="1" x14ac:dyDescent="0.25">
      <c r="A42" s="6">
        <v>40</v>
      </c>
      <c r="B42" s="27" t="str">
        <f>VLOOKUP(Tbl_Price_List[[#This Row],[Product_Name]],Tbl_Prod_Catalog[[#This Row],[Product_Name]:[Class_Type]],8,0)</f>
        <v>Digital Piano (Arius)</v>
      </c>
      <c r="C42" t="s">
        <v>283</v>
      </c>
      <c r="D42" s="33">
        <v>506000</v>
      </c>
      <c r="E42" s="21">
        <f>(7350*Product_Catalog!D42)</f>
        <v>639450</v>
      </c>
      <c r="F42" s="33">
        <v>287500</v>
      </c>
      <c r="G42" s="33">
        <v>151200</v>
      </c>
      <c r="H42" s="33">
        <v>504000</v>
      </c>
      <c r="I42" s="21">
        <f>(4725*Product_Catalog!D42)</f>
        <v>411075</v>
      </c>
      <c r="J42" s="33">
        <v>504000</v>
      </c>
      <c r="K42" s="33">
        <v>140400</v>
      </c>
      <c r="L42" s="33">
        <v>170500</v>
      </c>
      <c r="M42" s="33">
        <v>386500</v>
      </c>
      <c r="N42" s="33">
        <v>341500</v>
      </c>
      <c r="O42" s="33">
        <v>440000</v>
      </c>
      <c r="P42" s="33">
        <v>191400</v>
      </c>
      <c r="Q42" s="33">
        <v>770400</v>
      </c>
      <c r="R42" s="33">
        <v>307000</v>
      </c>
      <c r="S42" s="33">
        <v>770400</v>
      </c>
      <c r="T42" s="33">
        <v>770400</v>
      </c>
      <c r="U42" s="33">
        <v>387500</v>
      </c>
      <c r="V42" s="21">
        <f>(12000*Product_Catalog!D42)</f>
        <v>1044000</v>
      </c>
      <c r="W42" s="33">
        <v>373200</v>
      </c>
      <c r="X42" s="33">
        <v>504000</v>
      </c>
      <c r="Y42" s="21">
        <f>(5250*Product_Catalog!D42)</f>
        <v>456750</v>
      </c>
      <c r="Z42" s="33">
        <v>440000</v>
      </c>
      <c r="AA42" s="21">
        <f>(8400*Product_Catalog!D42)</f>
        <v>730800</v>
      </c>
      <c r="AB42" s="33">
        <v>191400</v>
      </c>
      <c r="AC42" s="33">
        <v>198500</v>
      </c>
      <c r="AD42" s="33">
        <v>209500</v>
      </c>
      <c r="AE42" s="34" t="str">
        <f>"Jakarta + Real Cost"</f>
        <v>Jakarta + Real Cost</v>
      </c>
      <c r="AF42" s="33">
        <v>191400</v>
      </c>
    </row>
    <row r="43" spans="1:32" ht="15" customHeight="1" x14ac:dyDescent="0.25">
      <c r="A43" s="6">
        <v>41</v>
      </c>
      <c r="B43" s="27" t="str">
        <f>VLOOKUP(Tbl_Price_List[[#This Row],[Product_Name]],Tbl_Prod_Catalog[[#This Row],[Product_Name]:[Class_Type]],8,0)</f>
        <v>Digital Piano (Arius)</v>
      </c>
      <c r="C43" t="s">
        <v>284</v>
      </c>
      <c r="D43" s="33">
        <v>506000</v>
      </c>
      <c r="E43" s="21">
        <f>(7350*Product_Catalog!D43)</f>
        <v>889350</v>
      </c>
      <c r="F43" s="33">
        <v>287500</v>
      </c>
      <c r="G43" s="33">
        <v>151200</v>
      </c>
      <c r="H43" s="33">
        <v>504000</v>
      </c>
      <c r="I43" s="21">
        <f>(4725*Product_Catalog!D43)</f>
        <v>571725</v>
      </c>
      <c r="J43" s="33">
        <v>504000</v>
      </c>
      <c r="K43" s="33">
        <v>140400</v>
      </c>
      <c r="L43" s="33">
        <v>170500</v>
      </c>
      <c r="M43" s="33">
        <v>386500</v>
      </c>
      <c r="N43" s="33">
        <v>341500</v>
      </c>
      <c r="O43" s="33">
        <v>440000</v>
      </c>
      <c r="P43" s="33">
        <v>191400</v>
      </c>
      <c r="Q43" s="33">
        <v>770400</v>
      </c>
      <c r="R43" s="33">
        <v>307000</v>
      </c>
      <c r="S43" s="33">
        <v>770400</v>
      </c>
      <c r="T43" s="33">
        <v>770400</v>
      </c>
      <c r="U43" s="33">
        <v>387500</v>
      </c>
      <c r="V43" s="21">
        <f>(12000*Product_Catalog!D43)</f>
        <v>1452000</v>
      </c>
      <c r="W43" s="33">
        <v>373200</v>
      </c>
      <c r="X43" s="33">
        <v>504000</v>
      </c>
      <c r="Y43" s="21">
        <f>(5250*Product_Catalog!D43)</f>
        <v>635250</v>
      </c>
      <c r="Z43" s="33">
        <v>440000</v>
      </c>
      <c r="AA43" s="21">
        <f>(8400*Product_Catalog!D43)</f>
        <v>1016400</v>
      </c>
      <c r="AB43" s="33">
        <v>191400</v>
      </c>
      <c r="AC43" s="33">
        <v>198500</v>
      </c>
      <c r="AD43" s="33">
        <v>209500</v>
      </c>
      <c r="AE43" s="34" t="str">
        <f>"Jakarta + Real Cost"</f>
        <v>Jakarta + Real Cost</v>
      </c>
      <c r="AF43" s="33">
        <v>191400</v>
      </c>
    </row>
    <row r="44" spans="1:32" ht="15" customHeight="1" x14ac:dyDescent="0.25">
      <c r="A44" s="6">
        <v>42</v>
      </c>
      <c r="B44" s="27" t="str">
        <f>VLOOKUP(Tbl_Price_List[[#This Row],[Product_Name]],Tbl_Prod_Catalog[[#This Row],[Product_Name]:[Class_Type]],8,0)</f>
        <v>Digital Piano (Clavinova)</v>
      </c>
      <c r="C44" t="s">
        <v>285</v>
      </c>
      <c r="D44" s="33">
        <v>548500</v>
      </c>
      <c r="E44" s="21">
        <f>(7350*Product_Catalog!D44)</f>
        <v>1205400</v>
      </c>
      <c r="F44" s="33">
        <v>365700</v>
      </c>
      <c r="G44" s="33">
        <v>173250</v>
      </c>
      <c r="H44" s="33">
        <v>582000</v>
      </c>
      <c r="I44" s="21">
        <f>(4725*Product_Catalog!D44)</f>
        <v>774900</v>
      </c>
      <c r="J44" s="33">
        <v>582000</v>
      </c>
      <c r="K44" s="33">
        <v>139500</v>
      </c>
      <c r="L44" s="33">
        <v>185350</v>
      </c>
      <c r="M44" s="33">
        <v>402500</v>
      </c>
      <c r="N44" s="33">
        <v>358000</v>
      </c>
      <c r="O44" s="33">
        <v>440000</v>
      </c>
      <c r="P44" s="33">
        <v>198550</v>
      </c>
      <c r="Q44" s="33">
        <v>769000</v>
      </c>
      <c r="R44" s="33">
        <v>319500</v>
      </c>
      <c r="S44" s="33">
        <v>769000</v>
      </c>
      <c r="T44" s="33">
        <v>769000</v>
      </c>
      <c r="U44" s="33">
        <v>402500</v>
      </c>
      <c r="V44" s="21">
        <f>(12000*Product_Catalog!D44)</f>
        <v>1968000</v>
      </c>
      <c r="W44" s="33">
        <v>392200</v>
      </c>
      <c r="X44" s="33">
        <v>582000</v>
      </c>
      <c r="Y44" s="21">
        <f>(5250*Product_Catalog!D44)</f>
        <v>861000</v>
      </c>
      <c r="Z44" s="33">
        <v>440000</v>
      </c>
      <c r="AA44" s="21">
        <f>(8400*Product_Catalog!D44)</f>
        <v>1377600</v>
      </c>
      <c r="AB44" s="33">
        <v>198550</v>
      </c>
      <c r="AC44" s="33">
        <v>198550</v>
      </c>
      <c r="AD44" s="33">
        <v>218500</v>
      </c>
      <c r="AE44" s="34" t="str">
        <f>"Jakarta + Real Cost"</f>
        <v>Jakarta + Real Cost</v>
      </c>
      <c r="AF44" s="33">
        <v>198550</v>
      </c>
    </row>
    <row r="45" spans="1:32" ht="15" customHeight="1" x14ac:dyDescent="0.25">
      <c r="A45" s="6">
        <v>43</v>
      </c>
      <c r="B45" s="27" t="str">
        <f>VLOOKUP(Tbl_Price_List[[#This Row],[Product_Name]],Tbl_Prod_Catalog[[#This Row],[Product_Name]:[Class_Type]],8,0)</f>
        <v>Digital Piano (Clavinova)</v>
      </c>
      <c r="C45" t="s">
        <v>305</v>
      </c>
      <c r="D45" s="33">
        <v>548500</v>
      </c>
      <c r="E45" s="21">
        <f>(7350*Product_Catalog!D45)</f>
        <v>1205400</v>
      </c>
      <c r="F45" s="33">
        <v>365700</v>
      </c>
      <c r="G45" s="33">
        <v>173250</v>
      </c>
      <c r="H45" s="33">
        <v>582000</v>
      </c>
      <c r="I45" s="21">
        <f>(4725*Product_Catalog!D45)</f>
        <v>774900</v>
      </c>
      <c r="J45" s="33">
        <v>582000</v>
      </c>
      <c r="K45" s="33">
        <v>139500</v>
      </c>
      <c r="L45" s="33">
        <v>185350</v>
      </c>
      <c r="M45" s="33">
        <v>402500</v>
      </c>
      <c r="N45" s="33">
        <v>358000</v>
      </c>
      <c r="O45" s="33">
        <v>440000</v>
      </c>
      <c r="P45" s="33">
        <v>198550</v>
      </c>
      <c r="Q45" s="33">
        <v>769000</v>
      </c>
      <c r="R45" s="33">
        <v>319500</v>
      </c>
      <c r="S45" s="33">
        <v>769000</v>
      </c>
      <c r="T45" s="33">
        <v>769000</v>
      </c>
      <c r="U45" s="33">
        <v>402500</v>
      </c>
      <c r="V45" s="21">
        <f>(12000*Product_Catalog!D45)</f>
        <v>1968000</v>
      </c>
      <c r="W45" s="33">
        <v>392200</v>
      </c>
      <c r="X45" s="33">
        <v>582000</v>
      </c>
      <c r="Y45" s="21">
        <f>(5250*Product_Catalog!D45)</f>
        <v>861000</v>
      </c>
      <c r="Z45" s="33">
        <v>440000</v>
      </c>
      <c r="AA45" s="21">
        <f>(8400*Product_Catalog!D45)</f>
        <v>1377600</v>
      </c>
      <c r="AB45" s="33">
        <v>198550</v>
      </c>
      <c r="AC45" s="33">
        <v>198550</v>
      </c>
      <c r="AD45" s="33">
        <v>218500</v>
      </c>
      <c r="AE45" s="34" t="str">
        <f>"Jakarta + Real Cost"</f>
        <v>Jakarta + Real Cost</v>
      </c>
      <c r="AF45" s="33">
        <v>198550</v>
      </c>
    </row>
    <row r="46" spans="1:32" ht="15" customHeight="1" x14ac:dyDescent="0.25">
      <c r="A46" s="6">
        <v>44</v>
      </c>
      <c r="B46" s="27" t="str">
        <f>VLOOKUP(Tbl_Price_List[[#This Row],[Product_Name]],Tbl_Prod_Catalog[[#This Row],[Product_Name]:[Class_Type]],8,0)</f>
        <v>Digital Piano (Clavinova)</v>
      </c>
      <c r="C46" t="s">
        <v>286</v>
      </c>
      <c r="D46" s="33">
        <v>548500</v>
      </c>
      <c r="E46" s="21">
        <f>(7350*Product_Catalog!D46)</f>
        <v>882000</v>
      </c>
      <c r="F46" s="33">
        <v>365700</v>
      </c>
      <c r="G46" s="33">
        <v>173250</v>
      </c>
      <c r="H46" s="33">
        <v>582000</v>
      </c>
      <c r="I46" s="21">
        <f>(4725*Product_Catalog!D46)</f>
        <v>567000</v>
      </c>
      <c r="J46" s="33">
        <v>582000</v>
      </c>
      <c r="K46" s="33">
        <v>139500</v>
      </c>
      <c r="L46" s="33">
        <v>185350</v>
      </c>
      <c r="M46" s="33">
        <v>402500</v>
      </c>
      <c r="N46" s="33">
        <v>358000</v>
      </c>
      <c r="O46" s="33">
        <v>440000</v>
      </c>
      <c r="P46" s="33">
        <v>198550</v>
      </c>
      <c r="Q46" s="33">
        <v>769000</v>
      </c>
      <c r="R46" s="33">
        <v>319500</v>
      </c>
      <c r="S46" s="33">
        <v>769000</v>
      </c>
      <c r="T46" s="33">
        <v>769000</v>
      </c>
      <c r="U46" s="33">
        <v>402500</v>
      </c>
      <c r="V46" s="21">
        <f>(12000*Product_Catalog!D46)</f>
        <v>1440000</v>
      </c>
      <c r="W46" s="33">
        <v>392200</v>
      </c>
      <c r="X46" s="33">
        <v>582000</v>
      </c>
      <c r="Y46" s="21">
        <f>(5250*Product_Catalog!D46)</f>
        <v>630000</v>
      </c>
      <c r="Z46" s="33">
        <v>440000</v>
      </c>
      <c r="AA46" s="21">
        <f>(8400*Product_Catalog!D46)</f>
        <v>1008000</v>
      </c>
      <c r="AB46" s="33">
        <v>198550</v>
      </c>
      <c r="AC46" s="33">
        <v>198550</v>
      </c>
      <c r="AD46" s="33">
        <v>218500</v>
      </c>
      <c r="AE46" s="34" t="str">
        <f>"Jakarta + Real Cost"</f>
        <v>Jakarta + Real Cost</v>
      </c>
      <c r="AF46" s="33">
        <v>198550</v>
      </c>
    </row>
    <row r="47" spans="1:32" ht="15" customHeight="1" x14ac:dyDescent="0.25">
      <c r="A47" s="6">
        <v>45</v>
      </c>
      <c r="B47" s="27" t="str">
        <f>VLOOKUP(Tbl_Price_List[[#This Row],[Product_Name]],Tbl_Prod_Catalog[[#This Row],[Product_Name]:[Class_Type]],8,0)</f>
        <v>Digital Piano (Clavinova)</v>
      </c>
      <c r="C47" t="s">
        <v>287</v>
      </c>
      <c r="D47" s="33">
        <v>548500</v>
      </c>
      <c r="E47" s="21">
        <f>(7350*Product_Catalog!D47)</f>
        <v>1227450</v>
      </c>
      <c r="F47" s="33">
        <v>365700</v>
      </c>
      <c r="G47" s="33">
        <v>173250</v>
      </c>
      <c r="H47" s="33">
        <v>582000</v>
      </c>
      <c r="I47" s="21">
        <f>(4725*Product_Catalog!D47)</f>
        <v>789075</v>
      </c>
      <c r="J47" s="33">
        <v>582000</v>
      </c>
      <c r="K47" s="33">
        <v>139500</v>
      </c>
      <c r="L47" s="33">
        <v>185350</v>
      </c>
      <c r="M47" s="33">
        <v>402500</v>
      </c>
      <c r="N47" s="33">
        <v>358000</v>
      </c>
      <c r="O47" s="33">
        <v>440000</v>
      </c>
      <c r="P47" s="33">
        <v>198550</v>
      </c>
      <c r="Q47" s="33">
        <v>769000</v>
      </c>
      <c r="R47" s="33">
        <v>319500</v>
      </c>
      <c r="S47" s="33">
        <v>769000</v>
      </c>
      <c r="T47" s="33">
        <v>769000</v>
      </c>
      <c r="U47" s="33">
        <v>402500</v>
      </c>
      <c r="V47" s="21">
        <f>(12000*Product_Catalog!D47)</f>
        <v>2004000</v>
      </c>
      <c r="W47" s="33">
        <v>392200</v>
      </c>
      <c r="X47" s="33">
        <v>582000</v>
      </c>
      <c r="Y47" s="21">
        <f>(5250*Product_Catalog!D47)</f>
        <v>876750</v>
      </c>
      <c r="Z47" s="33">
        <v>440000</v>
      </c>
      <c r="AA47" s="21">
        <f>(8400*Product_Catalog!D47)</f>
        <v>1402800</v>
      </c>
      <c r="AB47" s="33">
        <v>198550</v>
      </c>
      <c r="AC47" s="33">
        <v>198550</v>
      </c>
      <c r="AD47" s="33">
        <v>218500</v>
      </c>
      <c r="AE47" s="34" t="str">
        <f>"Jakarta + Real Cost"</f>
        <v>Jakarta + Real Cost</v>
      </c>
      <c r="AF47" s="33">
        <v>198550</v>
      </c>
    </row>
    <row r="48" spans="1:32" ht="15" customHeight="1" x14ac:dyDescent="0.25">
      <c r="A48" s="6">
        <v>46</v>
      </c>
      <c r="B48" s="27" t="str">
        <f>VLOOKUP(Tbl_Price_List[[#This Row],[Product_Name]],Tbl_Prod_Catalog[[#This Row],[Product_Name]:[Class_Type]],8,0)</f>
        <v>Digital Piano (Clavinova)</v>
      </c>
      <c r="C48" t="s">
        <v>288</v>
      </c>
      <c r="D48" s="33">
        <v>548500</v>
      </c>
      <c r="E48" s="21">
        <f>(7350*Product_Catalog!D48)</f>
        <v>1447950</v>
      </c>
      <c r="F48" s="33">
        <v>365700</v>
      </c>
      <c r="G48" s="33">
        <v>173250</v>
      </c>
      <c r="H48" s="33">
        <v>582000</v>
      </c>
      <c r="I48" s="21">
        <f>(4725*Product_Catalog!D48)</f>
        <v>930825</v>
      </c>
      <c r="J48" s="33">
        <v>582000</v>
      </c>
      <c r="K48" s="33">
        <v>139500</v>
      </c>
      <c r="L48" s="33">
        <v>185350</v>
      </c>
      <c r="M48" s="33">
        <v>402500</v>
      </c>
      <c r="N48" s="33">
        <v>358000</v>
      </c>
      <c r="O48" s="33">
        <v>440000</v>
      </c>
      <c r="P48" s="33">
        <v>198550</v>
      </c>
      <c r="Q48" s="33">
        <v>769000</v>
      </c>
      <c r="R48" s="33">
        <v>319500</v>
      </c>
      <c r="S48" s="33">
        <v>769000</v>
      </c>
      <c r="T48" s="33">
        <v>769000</v>
      </c>
      <c r="U48" s="33">
        <v>402500</v>
      </c>
      <c r="V48" s="21">
        <f>(12000*Product_Catalog!D48)</f>
        <v>2364000</v>
      </c>
      <c r="W48" s="33">
        <v>392200</v>
      </c>
      <c r="X48" s="33">
        <v>582000</v>
      </c>
      <c r="Y48" s="21">
        <f>(5250*Product_Catalog!D48)</f>
        <v>1034250</v>
      </c>
      <c r="Z48" s="33">
        <v>440000</v>
      </c>
      <c r="AA48" s="21">
        <f>(8400*Product_Catalog!D48)</f>
        <v>1654800</v>
      </c>
      <c r="AB48" s="33">
        <v>198550</v>
      </c>
      <c r="AC48" s="33">
        <v>198550</v>
      </c>
      <c r="AD48" s="33">
        <v>218500</v>
      </c>
      <c r="AE48" s="34" t="str">
        <f>"Jakarta + Real Cost"</f>
        <v>Jakarta + Real Cost</v>
      </c>
      <c r="AF48" s="33">
        <v>198550</v>
      </c>
    </row>
    <row r="49" spans="1:32" ht="15" customHeight="1" x14ac:dyDescent="0.25">
      <c r="A49" s="6">
        <v>47</v>
      </c>
      <c r="B49" s="27" t="str">
        <f>VLOOKUP(Tbl_Price_List[[#This Row],[Product_Name]],Tbl_Prod_Catalog[[#This Row],[Product_Name]:[Class_Type]],8,0)</f>
        <v>Digital Piano (Clavinova)</v>
      </c>
      <c r="C49" t="s">
        <v>289</v>
      </c>
      <c r="D49" s="33">
        <v>548500</v>
      </c>
      <c r="E49" s="21">
        <f>(7350*Product_Catalog!D49)</f>
        <v>1447950</v>
      </c>
      <c r="F49" s="33">
        <v>365700</v>
      </c>
      <c r="G49" s="33">
        <v>173250</v>
      </c>
      <c r="H49" s="33">
        <v>582000</v>
      </c>
      <c r="I49" s="21">
        <f>(4725*Product_Catalog!D49)</f>
        <v>930825</v>
      </c>
      <c r="J49" s="33">
        <v>582000</v>
      </c>
      <c r="K49" s="33">
        <v>139500</v>
      </c>
      <c r="L49" s="33">
        <v>185350</v>
      </c>
      <c r="M49" s="33">
        <v>402500</v>
      </c>
      <c r="N49" s="33">
        <v>358000</v>
      </c>
      <c r="O49" s="33">
        <v>440000</v>
      </c>
      <c r="P49" s="33">
        <v>198550</v>
      </c>
      <c r="Q49" s="33">
        <v>769000</v>
      </c>
      <c r="R49" s="33">
        <v>319500</v>
      </c>
      <c r="S49" s="33">
        <v>769000</v>
      </c>
      <c r="T49" s="33">
        <v>769000</v>
      </c>
      <c r="U49" s="33">
        <v>402500</v>
      </c>
      <c r="V49" s="21">
        <f>(12000*Product_Catalog!D49)</f>
        <v>2364000</v>
      </c>
      <c r="W49" s="33">
        <v>392200</v>
      </c>
      <c r="X49" s="33">
        <v>582000</v>
      </c>
      <c r="Y49" s="21">
        <f>(5250*Product_Catalog!D49)</f>
        <v>1034250</v>
      </c>
      <c r="Z49" s="33">
        <v>440000</v>
      </c>
      <c r="AA49" s="21">
        <f>(8400*Product_Catalog!D49)</f>
        <v>1654800</v>
      </c>
      <c r="AB49" s="33">
        <v>198550</v>
      </c>
      <c r="AC49" s="33">
        <v>198550</v>
      </c>
      <c r="AD49" s="33">
        <v>218500</v>
      </c>
      <c r="AE49" s="34" t="str">
        <f>"Jakarta + Real Cost"</f>
        <v>Jakarta + Real Cost</v>
      </c>
      <c r="AF49" s="33">
        <v>198550</v>
      </c>
    </row>
    <row r="50" spans="1:32" ht="15" customHeight="1" x14ac:dyDescent="0.25">
      <c r="A50" s="6">
        <v>48</v>
      </c>
      <c r="B50" s="27" t="str">
        <f>VLOOKUP(Tbl_Price_List[[#This Row],[Product_Name]],Tbl_Prod_Catalog[[#This Row],[Product_Name]:[Class_Type]],8,0)</f>
        <v>Electone</v>
      </c>
      <c r="C50" t="s">
        <v>290</v>
      </c>
      <c r="D50" s="33">
        <v>506000</v>
      </c>
      <c r="E50" s="21">
        <f>(7350*Product_Catalog!D50)</f>
        <v>1146600</v>
      </c>
      <c r="F50" s="33">
        <v>287500</v>
      </c>
      <c r="G50" s="33">
        <v>151200</v>
      </c>
      <c r="H50" s="33">
        <v>504000</v>
      </c>
      <c r="I50" s="21">
        <f>(4725*Product_Catalog!D50)</f>
        <v>737100</v>
      </c>
      <c r="J50" s="33">
        <v>582000</v>
      </c>
      <c r="K50" s="33">
        <v>139500</v>
      </c>
      <c r="L50" s="33">
        <v>185350</v>
      </c>
      <c r="M50" s="33">
        <v>402500</v>
      </c>
      <c r="N50" s="33">
        <v>358000</v>
      </c>
      <c r="O50" s="33">
        <v>440000</v>
      </c>
      <c r="P50" s="33">
        <v>198550</v>
      </c>
      <c r="Q50" s="33">
        <v>770400</v>
      </c>
      <c r="R50" s="33">
        <v>307000</v>
      </c>
      <c r="S50" s="33">
        <v>770400</v>
      </c>
      <c r="T50" s="33">
        <v>770400</v>
      </c>
      <c r="U50" s="33">
        <v>387500</v>
      </c>
      <c r="V50" s="21">
        <f>(12000*Product_Catalog!D50)</f>
        <v>1872000</v>
      </c>
      <c r="W50" s="33">
        <v>373200</v>
      </c>
      <c r="X50" s="33">
        <v>504000</v>
      </c>
      <c r="Y50" s="21">
        <f>(5250*Product_Catalog!D50)</f>
        <v>819000</v>
      </c>
      <c r="Z50" s="33">
        <v>440000</v>
      </c>
      <c r="AA50" s="21">
        <f>(8400*Product_Catalog!D50)</f>
        <v>1310400</v>
      </c>
      <c r="AB50" s="33">
        <v>191400</v>
      </c>
      <c r="AC50" s="33">
        <v>198500</v>
      </c>
      <c r="AD50" s="33">
        <v>209500</v>
      </c>
      <c r="AE50" s="34" t="str">
        <f>"Jakarta + Real Cost"</f>
        <v>Jakarta + Real Cost</v>
      </c>
      <c r="AF50" s="33">
        <v>191400</v>
      </c>
    </row>
    <row r="51" spans="1:32" ht="15" customHeight="1" x14ac:dyDescent="0.25">
      <c r="A51" s="6">
        <v>49</v>
      </c>
      <c r="B51" s="27" t="str">
        <f>VLOOKUP(Tbl_Price_List[[#This Row],[Product_Name]],Tbl_Prod_Catalog[[#This Row],[Product_Name]:[Class_Type]],8,0)</f>
        <v>Electone</v>
      </c>
      <c r="C51" t="s">
        <v>291</v>
      </c>
      <c r="D51" s="33">
        <v>506000</v>
      </c>
      <c r="E51" s="21">
        <f>(7350*Product_Catalog!D51)</f>
        <v>2050650</v>
      </c>
      <c r="F51" s="33">
        <v>287500</v>
      </c>
      <c r="G51" s="33">
        <v>151200</v>
      </c>
      <c r="H51" s="33">
        <v>504000</v>
      </c>
      <c r="I51" s="21">
        <f>(4725*Product_Catalog!D51)</f>
        <v>1318275</v>
      </c>
      <c r="J51" s="33">
        <v>582000</v>
      </c>
      <c r="K51" s="33">
        <v>139500</v>
      </c>
      <c r="L51" s="33">
        <v>185350</v>
      </c>
      <c r="M51" s="33">
        <v>402500</v>
      </c>
      <c r="N51" s="33">
        <v>358000</v>
      </c>
      <c r="O51" s="33">
        <v>440000</v>
      </c>
      <c r="P51" s="33">
        <v>198550</v>
      </c>
      <c r="Q51" s="33">
        <v>770400</v>
      </c>
      <c r="R51" s="33">
        <v>307000</v>
      </c>
      <c r="S51" s="33">
        <v>770400</v>
      </c>
      <c r="T51" s="33">
        <v>770400</v>
      </c>
      <c r="U51" s="33">
        <v>387500</v>
      </c>
      <c r="V51" s="21">
        <f>(12000*Product_Catalog!D51)</f>
        <v>3348000</v>
      </c>
      <c r="W51" s="33">
        <v>373200</v>
      </c>
      <c r="X51" s="33">
        <v>504000</v>
      </c>
      <c r="Y51" s="21">
        <f>(5250*Product_Catalog!D51)</f>
        <v>1464750</v>
      </c>
      <c r="Z51" s="33">
        <v>440000</v>
      </c>
      <c r="AA51" s="21">
        <f>(8400*Product_Catalog!D51)</f>
        <v>2343600</v>
      </c>
      <c r="AB51" s="33">
        <v>191400</v>
      </c>
      <c r="AC51" s="33">
        <v>198500</v>
      </c>
      <c r="AD51" s="33">
        <v>209500</v>
      </c>
      <c r="AE51" s="34" t="str">
        <f>"Jakarta + Real Cost"</f>
        <v>Jakarta + Real Cost</v>
      </c>
      <c r="AF51" s="33">
        <v>191400</v>
      </c>
    </row>
    <row r="52" spans="1:32" ht="15" customHeight="1" x14ac:dyDescent="0.25">
      <c r="A52" s="6">
        <v>50</v>
      </c>
      <c r="B52" s="27" t="str">
        <f>VLOOKUP(Tbl_Price_List[[#This Row],[Product_Name]],Tbl_Prod_Catalog[[#This Row],[Product_Name]:[Class_Type]],8,0)</f>
        <v>Digital Piano (Clavinova)</v>
      </c>
      <c r="C52" t="s">
        <v>292</v>
      </c>
      <c r="D52" s="33">
        <v>548500</v>
      </c>
      <c r="E52" s="21">
        <f>(7350*Product_Catalog!D52)</f>
        <v>2322600</v>
      </c>
      <c r="F52" s="33">
        <v>365700</v>
      </c>
      <c r="G52" s="33">
        <v>173250</v>
      </c>
      <c r="H52" s="33">
        <v>582000</v>
      </c>
      <c r="I52" s="21">
        <f>(4725*Product_Catalog!D52)</f>
        <v>1493100</v>
      </c>
      <c r="J52" s="33">
        <v>582000</v>
      </c>
      <c r="K52" s="33">
        <v>139500</v>
      </c>
      <c r="L52" s="33">
        <v>185350</v>
      </c>
      <c r="M52" s="33">
        <v>402500</v>
      </c>
      <c r="N52" s="33">
        <v>358000</v>
      </c>
      <c r="O52" s="33">
        <v>440000</v>
      </c>
      <c r="P52" s="33">
        <v>198550</v>
      </c>
      <c r="Q52" s="33">
        <v>769000</v>
      </c>
      <c r="R52" s="33">
        <v>319500</v>
      </c>
      <c r="S52" s="33">
        <v>769000</v>
      </c>
      <c r="T52" s="33">
        <v>769000</v>
      </c>
      <c r="U52" s="33">
        <v>402500</v>
      </c>
      <c r="V52" s="21">
        <f>(12000*Product_Catalog!D52)</f>
        <v>3792000</v>
      </c>
      <c r="W52" s="33">
        <v>392200</v>
      </c>
      <c r="X52" s="33">
        <v>582000</v>
      </c>
      <c r="Y52" s="21">
        <f>(5250*Product_Catalog!D52)</f>
        <v>1659000</v>
      </c>
      <c r="Z52" s="33">
        <v>440000</v>
      </c>
      <c r="AA52" s="21">
        <f>(8400*Product_Catalog!D52)</f>
        <v>2654400</v>
      </c>
      <c r="AB52" s="33">
        <v>198550</v>
      </c>
      <c r="AC52" s="33">
        <v>198550</v>
      </c>
      <c r="AD52" s="33">
        <v>218500</v>
      </c>
      <c r="AE52" s="34" t="str">
        <f>"Jakarta + Real Cost"</f>
        <v>Jakarta + Real Cost</v>
      </c>
      <c r="AF52" s="33">
        <v>198550</v>
      </c>
    </row>
    <row r="53" spans="1:32" ht="15" customHeight="1" x14ac:dyDescent="0.25">
      <c r="A53" s="6">
        <v>51</v>
      </c>
      <c r="B53" s="27" t="str">
        <f>VLOOKUP(Tbl_Price_List[[#This Row],[Product_Name]],Tbl_Prod_Catalog[[#This Row],[Product_Name]:[Class_Type]],8,0)</f>
        <v>PA, MProd, Brass, Inst.Part, Acc.</v>
      </c>
      <c r="C53" t="s">
        <v>293</v>
      </c>
      <c r="D53" s="21">
        <f>11050*Tbl_Prod_Catalog[[#This Row],[Weight (kg)]]</f>
        <v>55250</v>
      </c>
      <c r="E53" s="21">
        <f>(7350*Product_Catalog!D53)</f>
        <v>58800</v>
      </c>
      <c r="F53" s="33">
        <f>5750*Tbl_Prod_Catalog[[#This Row],[Weight (kg)]]</f>
        <v>28750</v>
      </c>
      <c r="G53">
        <f>2500*Tbl_Prod_Catalog[[#This Row],[Weight (kg)]]</f>
        <v>12500</v>
      </c>
      <c r="H53">
        <f>8250*Tbl_Prod_Catalog[[#This Row],[Weight (kg)]]</f>
        <v>41250</v>
      </c>
      <c r="I53" s="21">
        <f>(4725*Product_Catalog!D53)</f>
        <v>37800</v>
      </c>
      <c r="J53" s="33">
        <v>582000</v>
      </c>
      <c r="K53" s="33">
        <v>139500</v>
      </c>
      <c r="L53" s="33">
        <v>185350</v>
      </c>
      <c r="M53" s="33">
        <v>402500</v>
      </c>
      <c r="N53" s="33">
        <v>358000</v>
      </c>
      <c r="O53" s="33">
        <v>440000</v>
      </c>
      <c r="P53" s="33">
        <v>198550</v>
      </c>
      <c r="Q53" s="33">
        <f>9400*Tbl_Prod_Catalog[[#This Row],[Weight (kg)]]</f>
        <v>47000</v>
      </c>
      <c r="R53" s="33">
        <f>5600*Tbl_Prod_Catalog[[#This Row],[Weight (kg)]]</f>
        <v>28000</v>
      </c>
      <c r="S53" s="33">
        <f>9400*Tbl_Prod_Catalog[[#This Row],[Weight (kg)]]</f>
        <v>47000</v>
      </c>
      <c r="T53" s="33">
        <f>9400*Tbl_Prod_Catalog[[#This Row],[Weight (kg)]]</f>
        <v>47000</v>
      </c>
      <c r="U53" s="33">
        <f>6900*Tbl_Prod_Catalog[[#This Row],[Weight (kg)]]</f>
        <v>34500</v>
      </c>
      <c r="V53" s="21">
        <f>(12000*Product_Catalog!D53)</f>
        <v>96000</v>
      </c>
      <c r="W53">
        <f>6350*Tbl_Prod_Catalog[[#This Row],[Weight (kg)]]</f>
        <v>31750</v>
      </c>
      <c r="X53">
        <f>8250*Tbl_Prod_Catalog[[#This Row],[Weight (kg)]]</f>
        <v>41250</v>
      </c>
      <c r="Y53" s="21">
        <f>(5250*Product_Catalog!D53)</f>
        <v>42000</v>
      </c>
      <c r="Z53">
        <f>3400*Tbl_Prod_Catalog[[#This Row],[Weight (kg)]]</f>
        <v>17000</v>
      </c>
      <c r="AA53" s="21">
        <f>(8400*Product_Catalog!D53)</f>
        <v>67200</v>
      </c>
      <c r="AB53">
        <f>2800*Tbl_Prod_Catalog[[#This Row],[Weight (kg)]]</f>
        <v>14000</v>
      </c>
      <c r="AC53">
        <f>3000*Tbl_Prod_Catalog[[#This Row],[Weight (kg)]]</f>
        <v>15000</v>
      </c>
      <c r="AD53">
        <f>4350*Tbl_Prod_Catalog[[#This Row],[Weight (kg)]]</f>
        <v>21750</v>
      </c>
      <c r="AE53" s="34" t="str">
        <f>"Jakarta + Real Cost"</f>
        <v>Jakarta + Real Cost</v>
      </c>
      <c r="AF53">
        <f>2800*Tbl_Prod_Catalog[[#This Row],[Weight (kg)]]</f>
        <v>14000</v>
      </c>
    </row>
    <row r="54" spans="1:32" ht="15" customHeight="1" x14ac:dyDescent="0.25">
      <c r="A54" s="6">
        <v>52</v>
      </c>
      <c r="B54" s="27" t="str">
        <f>VLOOKUP(Tbl_Price_List[[#This Row],[Product_Name]],Tbl_Prod_Catalog[[#This Row],[Product_Name]:[Class_Type]],8,0)</f>
        <v>Digital Piano (Clavinova)</v>
      </c>
      <c r="C54" t="s">
        <v>294</v>
      </c>
      <c r="D54" s="33">
        <v>548500</v>
      </c>
      <c r="E54" s="21">
        <f>(7350*Product_Catalog!D54)</f>
        <v>1455300</v>
      </c>
      <c r="F54" s="33">
        <v>365700</v>
      </c>
      <c r="G54" s="33">
        <v>173250</v>
      </c>
      <c r="H54" s="33">
        <v>582000</v>
      </c>
      <c r="I54" s="21">
        <f>(4725*Product_Catalog!D54)</f>
        <v>935550</v>
      </c>
      <c r="J54" s="33">
        <v>582000</v>
      </c>
      <c r="K54" s="33">
        <v>139500</v>
      </c>
      <c r="L54" s="33">
        <v>185350</v>
      </c>
      <c r="M54" s="33">
        <v>402500</v>
      </c>
      <c r="N54" s="33">
        <v>358000</v>
      </c>
      <c r="O54" s="33">
        <v>440000</v>
      </c>
      <c r="P54" s="33">
        <v>198550</v>
      </c>
      <c r="Q54" s="33">
        <v>769000</v>
      </c>
      <c r="R54" s="33">
        <v>319500</v>
      </c>
      <c r="S54" s="33">
        <v>769000</v>
      </c>
      <c r="T54" s="33">
        <v>769000</v>
      </c>
      <c r="U54" s="33">
        <v>402500</v>
      </c>
      <c r="V54" s="21">
        <f>(12000*Product_Catalog!D54)</f>
        <v>2376000</v>
      </c>
      <c r="W54" s="33">
        <v>392200</v>
      </c>
      <c r="X54" s="33">
        <v>582000</v>
      </c>
      <c r="Y54" s="21">
        <f>(5250*Product_Catalog!D54)</f>
        <v>1039500</v>
      </c>
      <c r="Z54" s="33">
        <v>440000</v>
      </c>
      <c r="AA54" s="21">
        <f>(8400*Product_Catalog!D54)</f>
        <v>1663200</v>
      </c>
      <c r="AB54" s="33">
        <v>198550</v>
      </c>
      <c r="AC54" s="33">
        <v>198550</v>
      </c>
      <c r="AD54" s="33">
        <v>218500</v>
      </c>
      <c r="AE54" s="34" t="str">
        <f>"Jakarta + Real Cost"</f>
        <v>Jakarta + Real Cost</v>
      </c>
      <c r="AF54" s="33">
        <v>198550</v>
      </c>
    </row>
    <row r="55" spans="1:32" ht="15" customHeight="1" x14ac:dyDescent="0.25">
      <c r="A55" s="6">
        <v>53</v>
      </c>
      <c r="B55" s="27" t="str">
        <f>VLOOKUP(Tbl_Price_List[[#This Row],[Product_Name]],Tbl_Prod_Catalog[[#This Row],[Product_Name]:[Class_Type]],8,0)</f>
        <v>Digital Piano (Clavinova)</v>
      </c>
      <c r="C55" t="s">
        <v>295</v>
      </c>
      <c r="D55" s="33">
        <v>548500</v>
      </c>
      <c r="E55" s="21">
        <f>(7350*Product_Catalog!D55)</f>
        <v>1271550</v>
      </c>
      <c r="F55" s="33">
        <v>365700</v>
      </c>
      <c r="G55" s="33">
        <v>173250</v>
      </c>
      <c r="H55" s="33">
        <v>582000</v>
      </c>
      <c r="I55" s="21">
        <f>(4725*Product_Catalog!D55)</f>
        <v>817425</v>
      </c>
      <c r="J55" s="33">
        <v>582000</v>
      </c>
      <c r="K55" s="33">
        <v>139500</v>
      </c>
      <c r="L55" s="33">
        <v>185350</v>
      </c>
      <c r="M55" s="33">
        <v>402500</v>
      </c>
      <c r="N55" s="33">
        <v>358000</v>
      </c>
      <c r="O55" s="33">
        <v>440000</v>
      </c>
      <c r="P55" s="33">
        <v>198550</v>
      </c>
      <c r="Q55" s="33">
        <v>769000</v>
      </c>
      <c r="R55" s="33">
        <v>319500</v>
      </c>
      <c r="S55" s="33">
        <v>769000</v>
      </c>
      <c r="T55" s="33">
        <v>769000</v>
      </c>
      <c r="U55" s="33">
        <v>402500</v>
      </c>
      <c r="V55" s="21">
        <f>(12000*Product_Catalog!D55)</f>
        <v>2076000</v>
      </c>
      <c r="W55" s="33">
        <v>392200</v>
      </c>
      <c r="X55" s="33">
        <v>582000</v>
      </c>
      <c r="Y55" s="21">
        <f>(5250*Product_Catalog!D55)</f>
        <v>908250</v>
      </c>
      <c r="Z55" s="33">
        <v>440000</v>
      </c>
      <c r="AA55" s="21">
        <f>(8400*Product_Catalog!D55)</f>
        <v>1453200</v>
      </c>
      <c r="AB55" s="33">
        <v>198550</v>
      </c>
      <c r="AC55" s="33">
        <v>198550</v>
      </c>
      <c r="AD55" s="33">
        <v>218500</v>
      </c>
      <c r="AE55" s="34" t="str">
        <f>"Jakarta + Real Cost"</f>
        <v>Jakarta + Real Cost</v>
      </c>
      <c r="AF55" s="33">
        <v>198550</v>
      </c>
    </row>
    <row r="56" spans="1:32" ht="15" customHeight="1" x14ac:dyDescent="0.25">
      <c r="A56" s="6">
        <v>54</v>
      </c>
      <c r="B56" s="27" t="str">
        <f>VLOOKUP(Tbl_Price_List[[#This Row],[Product_Name]],Tbl_Prod_Catalog[[#This Row],[Product_Name]:[Class_Type]],8,0)</f>
        <v>Digital Piano (Clavinova)</v>
      </c>
      <c r="C56" t="s">
        <v>296</v>
      </c>
      <c r="D56" s="33">
        <v>548500</v>
      </c>
      <c r="E56" s="21">
        <f>(7350*Product_Catalog!D56)</f>
        <v>1536150</v>
      </c>
      <c r="F56" s="33">
        <v>365700</v>
      </c>
      <c r="G56" s="33">
        <v>173250</v>
      </c>
      <c r="H56" s="33">
        <v>582000</v>
      </c>
      <c r="I56" s="21">
        <f>(4725*Product_Catalog!D56)</f>
        <v>987525</v>
      </c>
      <c r="J56" s="33">
        <v>582000</v>
      </c>
      <c r="K56" s="33">
        <v>139500</v>
      </c>
      <c r="L56" s="33">
        <v>185350</v>
      </c>
      <c r="M56" s="33">
        <v>402500</v>
      </c>
      <c r="N56" s="33">
        <v>358000</v>
      </c>
      <c r="O56" s="33">
        <v>440000</v>
      </c>
      <c r="P56" s="33">
        <v>198550</v>
      </c>
      <c r="Q56" s="33">
        <v>769000</v>
      </c>
      <c r="R56" s="33">
        <v>319500</v>
      </c>
      <c r="S56" s="33">
        <v>769000</v>
      </c>
      <c r="T56" s="33">
        <v>769000</v>
      </c>
      <c r="U56" s="33">
        <v>402500</v>
      </c>
      <c r="V56" s="21">
        <f>(12000*Product_Catalog!D56)</f>
        <v>2508000</v>
      </c>
      <c r="W56" s="33">
        <v>392200</v>
      </c>
      <c r="X56" s="33">
        <v>582000</v>
      </c>
      <c r="Y56" s="21">
        <f>(5250*Product_Catalog!D56)</f>
        <v>1097250</v>
      </c>
      <c r="Z56" s="33">
        <v>440000</v>
      </c>
      <c r="AA56" s="21">
        <f>(8400*Product_Catalog!D56)</f>
        <v>1755600</v>
      </c>
      <c r="AB56" s="33">
        <v>198550</v>
      </c>
      <c r="AC56" s="33">
        <v>198550</v>
      </c>
      <c r="AD56" s="33">
        <v>218500</v>
      </c>
      <c r="AE56" s="34" t="str">
        <f>"Jakarta + Real Cost"</f>
        <v>Jakarta + Real Cost</v>
      </c>
      <c r="AF56" s="33">
        <v>198550</v>
      </c>
    </row>
    <row r="57" spans="1:32" ht="15" customHeight="1" x14ac:dyDescent="0.25">
      <c r="A57" s="6">
        <v>55</v>
      </c>
      <c r="B57" s="27" t="str">
        <f>VLOOKUP(Tbl_Price_List[[#This Row],[Product_Name]],Tbl_Prod_Catalog[[#This Row],[Product_Name]:[Class_Type]],8,0)</f>
        <v>Digital Piano (Clavinova)</v>
      </c>
      <c r="C57" t="s">
        <v>297</v>
      </c>
      <c r="D57" s="33">
        <v>548500</v>
      </c>
      <c r="E57" s="21">
        <f>(7350*Product_Catalog!D57)</f>
        <v>2535750</v>
      </c>
      <c r="F57" s="33">
        <v>365700</v>
      </c>
      <c r="G57" s="33">
        <v>173250</v>
      </c>
      <c r="H57" s="33">
        <v>582000</v>
      </c>
      <c r="I57" s="21">
        <f>(4725*Product_Catalog!D57)</f>
        <v>1630125</v>
      </c>
      <c r="J57" s="33">
        <v>582000</v>
      </c>
      <c r="K57" s="33">
        <v>139500</v>
      </c>
      <c r="L57" s="33">
        <v>185350</v>
      </c>
      <c r="M57" s="33">
        <v>402500</v>
      </c>
      <c r="N57" s="33">
        <v>358000</v>
      </c>
      <c r="O57" s="33">
        <v>440000</v>
      </c>
      <c r="P57" s="33">
        <v>198550</v>
      </c>
      <c r="Q57" s="33">
        <v>769000</v>
      </c>
      <c r="R57" s="33">
        <v>319500</v>
      </c>
      <c r="S57" s="33">
        <v>769000</v>
      </c>
      <c r="T57" s="33">
        <v>769000</v>
      </c>
      <c r="U57" s="33">
        <v>402500</v>
      </c>
      <c r="V57" s="21">
        <f>(12000*Product_Catalog!D57)</f>
        <v>4140000</v>
      </c>
      <c r="W57" s="33">
        <v>392200</v>
      </c>
      <c r="X57" s="33">
        <v>582000</v>
      </c>
      <c r="Y57" s="21">
        <f>(5250*Product_Catalog!D57)</f>
        <v>1811250</v>
      </c>
      <c r="Z57" s="33">
        <v>440000</v>
      </c>
      <c r="AA57" s="21">
        <f>(8400*Product_Catalog!D57)</f>
        <v>2898000</v>
      </c>
      <c r="AB57" s="33">
        <v>198550</v>
      </c>
      <c r="AC57" s="33">
        <v>198550</v>
      </c>
      <c r="AD57" s="33">
        <v>218500</v>
      </c>
      <c r="AE57" s="34" t="str">
        <f>"Jakarta + Real Cost"</f>
        <v>Jakarta + Real Cost</v>
      </c>
      <c r="AF57" s="33">
        <v>198550</v>
      </c>
    </row>
    <row r="58" spans="1:32" ht="15" customHeight="1" x14ac:dyDescent="0.25">
      <c r="A58" s="6">
        <v>56</v>
      </c>
      <c r="B58" s="27" t="str">
        <f>VLOOKUP(Tbl_Price_List[[#This Row],[Product_Name]],Tbl_Prod_Catalog[[#This Row],[Product_Name]:[Class_Type]],8,0)</f>
        <v>Digital Piano (Clavinova)</v>
      </c>
      <c r="C58" t="s">
        <v>298</v>
      </c>
      <c r="D58" s="33">
        <v>548500</v>
      </c>
      <c r="E58" s="21">
        <f>(7350*Product_Catalog!D58)</f>
        <v>764400</v>
      </c>
      <c r="F58" s="33">
        <v>365700</v>
      </c>
      <c r="G58" s="33">
        <v>173250</v>
      </c>
      <c r="H58" s="33">
        <v>582000</v>
      </c>
      <c r="I58" s="21">
        <f>(4725*Product_Catalog!D58)</f>
        <v>491400</v>
      </c>
      <c r="J58" s="33">
        <v>582000</v>
      </c>
      <c r="K58" s="33">
        <v>139500</v>
      </c>
      <c r="L58" s="33">
        <v>185350</v>
      </c>
      <c r="M58" s="33">
        <v>402500</v>
      </c>
      <c r="N58" s="33">
        <v>358000</v>
      </c>
      <c r="O58" s="33">
        <v>440000</v>
      </c>
      <c r="P58" s="33">
        <v>198550</v>
      </c>
      <c r="Q58" s="33">
        <v>769000</v>
      </c>
      <c r="R58" s="33">
        <v>319500</v>
      </c>
      <c r="S58" s="33">
        <v>769000</v>
      </c>
      <c r="T58" s="33">
        <v>769000</v>
      </c>
      <c r="U58" s="33">
        <v>402500</v>
      </c>
      <c r="V58" s="21">
        <f>(12000*Product_Catalog!D58)</f>
        <v>1248000</v>
      </c>
      <c r="W58" s="33">
        <v>392200</v>
      </c>
      <c r="X58" s="33">
        <v>582000</v>
      </c>
      <c r="Y58" s="21">
        <f>(5250*Product_Catalog!D58)</f>
        <v>546000</v>
      </c>
      <c r="Z58" s="33">
        <v>440000</v>
      </c>
      <c r="AA58" s="21">
        <f>(8400*Product_Catalog!D58)</f>
        <v>873600</v>
      </c>
      <c r="AB58" s="33">
        <v>198550</v>
      </c>
      <c r="AC58" s="33">
        <v>198550</v>
      </c>
      <c r="AD58" s="33">
        <v>218500</v>
      </c>
      <c r="AE58" s="34" t="str">
        <f>"Jakarta + Real Cost"</f>
        <v>Jakarta + Real Cost</v>
      </c>
      <c r="AF58" s="33">
        <v>198550</v>
      </c>
    </row>
    <row r="59" spans="1:32" ht="15" customHeight="1" x14ac:dyDescent="0.25">
      <c r="A59" s="6">
        <v>57</v>
      </c>
      <c r="B59" s="27" t="str">
        <f>VLOOKUP(Tbl_Price_List[[#This Row],[Product_Name]],Tbl_Prod_Catalog[[#This Row],[Product_Name]:[Class_Type]],8,0)</f>
        <v>Digital Piano (Arius)</v>
      </c>
      <c r="C59" t="s">
        <v>353</v>
      </c>
      <c r="D59" s="33">
        <v>506000</v>
      </c>
      <c r="E59" s="21">
        <f>(7350*Product_Catalog!D59)</f>
        <v>639450</v>
      </c>
      <c r="F59" s="33">
        <v>287500</v>
      </c>
      <c r="G59" s="33">
        <v>151200</v>
      </c>
      <c r="H59" s="33">
        <v>504000</v>
      </c>
      <c r="I59" s="21">
        <f>(4725*Product_Catalog!D59)</f>
        <v>411075</v>
      </c>
      <c r="J59" s="33">
        <v>582000</v>
      </c>
      <c r="K59" s="33">
        <v>139500</v>
      </c>
      <c r="L59" s="33">
        <v>185350</v>
      </c>
      <c r="M59" s="33">
        <v>402500</v>
      </c>
      <c r="N59" s="33">
        <v>358000</v>
      </c>
      <c r="O59" s="33">
        <v>440000</v>
      </c>
      <c r="P59" s="33">
        <v>198550</v>
      </c>
      <c r="Q59" s="33">
        <v>770400</v>
      </c>
      <c r="R59" s="33">
        <v>307000</v>
      </c>
      <c r="S59" s="33">
        <v>770400</v>
      </c>
      <c r="T59" s="33">
        <v>770400</v>
      </c>
      <c r="U59" s="33">
        <v>387500</v>
      </c>
      <c r="V59" s="21">
        <f>(12000*Product_Catalog!D59)</f>
        <v>1044000</v>
      </c>
      <c r="W59" s="33">
        <v>373200</v>
      </c>
      <c r="X59" s="33">
        <v>504000</v>
      </c>
      <c r="Y59" s="21">
        <f>(5250*Product_Catalog!D59)</f>
        <v>456750</v>
      </c>
      <c r="Z59" s="33">
        <v>440000</v>
      </c>
      <c r="AA59" s="21">
        <f>(8400*Product_Catalog!D59)</f>
        <v>730800</v>
      </c>
      <c r="AB59" s="33">
        <v>191400</v>
      </c>
      <c r="AC59" s="33">
        <v>198500</v>
      </c>
      <c r="AD59" s="33">
        <v>209500</v>
      </c>
      <c r="AE59" s="34" t="str">
        <f>"Jakarta + Real Cost"</f>
        <v>Jakarta + Real Cost</v>
      </c>
      <c r="AF59" s="33">
        <v>191400</v>
      </c>
    </row>
    <row r="60" spans="1:32" ht="15" customHeight="1" x14ac:dyDescent="0.25">
      <c r="A60" s="6">
        <v>58</v>
      </c>
      <c r="B60" s="27" t="str">
        <f>VLOOKUP(Tbl_Price_List[[#This Row],[Product_Name]],Tbl_Prod_Catalog[[#This Row],[Product_Name]:[Class_Type]],8,0)</f>
        <v>Digital Piano (Arius)</v>
      </c>
      <c r="C60" t="s">
        <v>354</v>
      </c>
      <c r="D60" s="33">
        <v>506000</v>
      </c>
      <c r="E60" s="21">
        <f>(7350*Product_Catalog!D60)</f>
        <v>639450</v>
      </c>
      <c r="F60" s="33">
        <v>287500</v>
      </c>
      <c r="G60" s="33">
        <v>151200</v>
      </c>
      <c r="H60" s="33">
        <v>504000</v>
      </c>
      <c r="I60" s="21">
        <f>(4725*Product_Catalog!D60)</f>
        <v>411075</v>
      </c>
      <c r="J60" s="33">
        <v>582000</v>
      </c>
      <c r="K60" s="33">
        <v>139500</v>
      </c>
      <c r="L60" s="33">
        <v>185350</v>
      </c>
      <c r="M60" s="33">
        <v>402500</v>
      </c>
      <c r="N60" s="33">
        <v>358000</v>
      </c>
      <c r="O60" s="33">
        <v>440000</v>
      </c>
      <c r="P60" s="33">
        <v>198550</v>
      </c>
      <c r="Q60" s="33">
        <v>770400</v>
      </c>
      <c r="R60" s="33">
        <v>307000</v>
      </c>
      <c r="S60" s="33">
        <v>770400</v>
      </c>
      <c r="T60" s="33">
        <v>770400</v>
      </c>
      <c r="U60" s="33">
        <v>387500</v>
      </c>
      <c r="V60" s="21">
        <f>(12000*Product_Catalog!D60)</f>
        <v>1044000</v>
      </c>
      <c r="W60" s="33">
        <v>373200</v>
      </c>
      <c r="X60" s="33">
        <v>504000</v>
      </c>
      <c r="Y60" s="21">
        <f>(5250*Product_Catalog!D60)</f>
        <v>456750</v>
      </c>
      <c r="Z60" s="33">
        <v>440000</v>
      </c>
      <c r="AA60" s="21">
        <f>(8400*Product_Catalog!D60)</f>
        <v>730800</v>
      </c>
      <c r="AB60" s="33">
        <v>191400</v>
      </c>
      <c r="AC60" s="33">
        <v>198500</v>
      </c>
      <c r="AD60" s="33">
        <v>209500</v>
      </c>
      <c r="AE60" s="34" t="str">
        <f>"Jakarta + Real Cost"</f>
        <v>Jakarta + Real Cost</v>
      </c>
      <c r="AF60" s="33">
        <v>191400</v>
      </c>
    </row>
    <row r="61" spans="1:32" ht="15" customHeight="1" x14ac:dyDescent="0.25">
      <c r="A61" s="6">
        <v>59</v>
      </c>
      <c r="B61" s="27" t="str">
        <f>VLOOKUP(Tbl_Price_List[[#This Row],[Product_Name]],Tbl_Prod_Catalog[[#This Row],[Product_Name]:[Class_Type]],8,0)</f>
        <v>Electone</v>
      </c>
      <c r="C61" t="s">
        <v>299</v>
      </c>
      <c r="D61" s="33">
        <v>506000</v>
      </c>
      <c r="E61" s="21">
        <f>(7350*Product_Catalog!D61)</f>
        <v>0</v>
      </c>
      <c r="F61" s="33">
        <v>287500</v>
      </c>
      <c r="G61" s="33">
        <v>151200</v>
      </c>
      <c r="H61" s="33">
        <v>504000</v>
      </c>
      <c r="I61" s="21">
        <f>(4725*Product_Catalog!D61)</f>
        <v>0</v>
      </c>
      <c r="J61" s="33">
        <v>582000</v>
      </c>
      <c r="K61" s="33">
        <v>139500</v>
      </c>
      <c r="L61" s="33">
        <v>185350</v>
      </c>
      <c r="M61" s="33">
        <v>402500</v>
      </c>
      <c r="N61" s="33">
        <v>358000</v>
      </c>
      <c r="O61" s="33">
        <v>440000</v>
      </c>
      <c r="P61" s="33">
        <v>198550</v>
      </c>
      <c r="Q61" s="33">
        <v>770400</v>
      </c>
      <c r="R61" s="33">
        <v>307000</v>
      </c>
      <c r="S61" s="33">
        <v>770400</v>
      </c>
      <c r="T61" s="33">
        <v>770400</v>
      </c>
      <c r="U61" s="33">
        <v>387500</v>
      </c>
      <c r="V61" s="21">
        <f>(12000*Product_Catalog!D61)</f>
        <v>0</v>
      </c>
      <c r="W61" s="33">
        <v>373200</v>
      </c>
      <c r="X61" s="33">
        <v>504000</v>
      </c>
      <c r="Y61" s="21">
        <f>(5250*Product_Catalog!D61)</f>
        <v>0</v>
      </c>
      <c r="Z61" s="33">
        <v>440000</v>
      </c>
      <c r="AA61" s="21">
        <f>(8400*Product_Catalog!D61)</f>
        <v>0</v>
      </c>
      <c r="AB61" s="33">
        <v>191400</v>
      </c>
      <c r="AC61" s="33">
        <v>198500</v>
      </c>
      <c r="AD61" s="33">
        <v>209500</v>
      </c>
      <c r="AE61" s="34" t="str">
        <f>"Jakarta + Real Cost"</f>
        <v>Jakarta + Real Cost</v>
      </c>
      <c r="AF61" s="33">
        <v>191400</v>
      </c>
    </row>
    <row r="62" spans="1:32" ht="15" customHeight="1" x14ac:dyDescent="0.25">
      <c r="A62" s="6">
        <v>60</v>
      </c>
      <c r="B62" s="27" t="str">
        <f>VLOOKUP(Tbl_Price_List[[#This Row],[Product_Name]],Tbl_Prod_Catalog[[#This Row],[Product_Name]:[Class_Type]],8,0)</f>
        <v>Digital Piano (Clavinova)</v>
      </c>
      <c r="C62" t="s">
        <v>300</v>
      </c>
      <c r="D62" s="33">
        <v>548500</v>
      </c>
      <c r="E62" s="21">
        <f>(7350*Product_Catalog!D62)</f>
        <v>1271550</v>
      </c>
      <c r="F62" s="33">
        <v>365700</v>
      </c>
      <c r="G62" s="33">
        <v>173250</v>
      </c>
      <c r="H62" s="33">
        <v>582000</v>
      </c>
      <c r="I62" s="21">
        <f>(4725*Product_Catalog!D62)</f>
        <v>817425</v>
      </c>
      <c r="J62" s="33">
        <v>582000</v>
      </c>
      <c r="K62" s="33">
        <v>139500</v>
      </c>
      <c r="L62" s="33">
        <v>185350</v>
      </c>
      <c r="M62" s="33">
        <v>402500</v>
      </c>
      <c r="N62" s="33">
        <v>358000</v>
      </c>
      <c r="O62" s="33">
        <v>440000</v>
      </c>
      <c r="P62" s="33">
        <v>198550</v>
      </c>
      <c r="Q62" s="33">
        <v>769000</v>
      </c>
      <c r="R62" s="33">
        <v>319500</v>
      </c>
      <c r="S62" s="33">
        <v>769000</v>
      </c>
      <c r="T62" s="33">
        <v>769000</v>
      </c>
      <c r="U62" s="33">
        <v>402500</v>
      </c>
      <c r="V62" s="21">
        <f>(12000*Product_Catalog!D62)</f>
        <v>2076000</v>
      </c>
      <c r="W62" s="33">
        <v>392200</v>
      </c>
      <c r="X62" s="33">
        <v>582000</v>
      </c>
      <c r="Y62" s="21">
        <f>(5250*Product_Catalog!D62)</f>
        <v>908250</v>
      </c>
      <c r="Z62" s="33">
        <v>440000</v>
      </c>
      <c r="AA62" s="21">
        <f>(8400*Product_Catalog!D62)</f>
        <v>1453200</v>
      </c>
      <c r="AB62" s="33">
        <v>198550</v>
      </c>
      <c r="AC62" s="33">
        <v>198550</v>
      </c>
      <c r="AD62" s="33">
        <v>218500</v>
      </c>
      <c r="AE62" s="34" t="str">
        <f>"Jakarta + Real Cost"</f>
        <v>Jakarta + Real Cost</v>
      </c>
      <c r="AF62" s="33">
        <v>198550</v>
      </c>
    </row>
    <row r="63" spans="1:32" ht="15" customHeight="1" x14ac:dyDescent="0.25">
      <c r="A63" s="6">
        <v>61</v>
      </c>
      <c r="B63" s="27" t="str">
        <f>VLOOKUP(Tbl_Price_List[[#This Row],[Product_Name]],Tbl_Prod_Catalog[[#This Row],[Product_Name]:[Class_Type]],8,0)</f>
        <v>Digital Piano (Clavinova)</v>
      </c>
      <c r="C63" t="s">
        <v>301</v>
      </c>
      <c r="D63" s="33">
        <v>548500</v>
      </c>
      <c r="E63" s="21">
        <f>(7350*Product_Catalog!D63)</f>
        <v>1499400</v>
      </c>
      <c r="F63" s="33">
        <v>365700</v>
      </c>
      <c r="G63" s="33">
        <v>173250</v>
      </c>
      <c r="H63" s="33">
        <v>582000</v>
      </c>
      <c r="I63" s="21">
        <f>(4725*Product_Catalog!D63)</f>
        <v>963900</v>
      </c>
      <c r="J63" s="33">
        <v>582000</v>
      </c>
      <c r="K63" s="33">
        <v>139500</v>
      </c>
      <c r="L63" s="33">
        <v>185350</v>
      </c>
      <c r="M63" s="33">
        <v>402500</v>
      </c>
      <c r="N63" s="33">
        <v>358000</v>
      </c>
      <c r="O63" s="33">
        <v>440000</v>
      </c>
      <c r="P63" s="33">
        <v>198550</v>
      </c>
      <c r="Q63" s="33">
        <v>769000</v>
      </c>
      <c r="R63" s="33">
        <v>319500</v>
      </c>
      <c r="S63" s="33">
        <v>769000</v>
      </c>
      <c r="T63" s="33">
        <v>769000</v>
      </c>
      <c r="U63" s="33">
        <v>402500</v>
      </c>
      <c r="V63" s="21">
        <f>(12000*Product_Catalog!D63)</f>
        <v>2448000</v>
      </c>
      <c r="W63" s="33">
        <v>392200</v>
      </c>
      <c r="X63" s="33">
        <v>582000</v>
      </c>
      <c r="Y63" s="21">
        <f>(5250*Product_Catalog!D63)</f>
        <v>1071000</v>
      </c>
      <c r="Z63" s="33">
        <v>440000</v>
      </c>
      <c r="AA63" s="21">
        <f>(8400*Product_Catalog!D63)</f>
        <v>1713600</v>
      </c>
      <c r="AB63" s="33">
        <v>198550</v>
      </c>
      <c r="AC63" s="33">
        <v>198550</v>
      </c>
      <c r="AD63" s="33">
        <v>218500</v>
      </c>
      <c r="AE63" s="34" t="str">
        <f>"Jakarta + Real Cost"</f>
        <v>Jakarta + Real Cost</v>
      </c>
      <c r="AF63" s="33">
        <v>198550</v>
      </c>
    </row>
    <row r="64" spans="1:32" ht="15" customHeight="1" x14ac:dyDescent="0.25">
      <c r="A64" s="6">
        <v>62</v>
      </c>
      <c r="B64" s="27" t="str">
        <f>VLOOKUP(Tbl_Price_List[[#This Row],[Product_Name]],Tbl_Prod_Catalog[[#This Row],[Product_Name]:[Class_Type]],8,0)</f>
        <v>Digital Piano (Arius)</v>
      </c>
      <c r="C64" t="s">
        <v>302</v>
      </c>
      <c r="D64" s="33">
        <v>506000</v>
      </c>
      <c r="E64" s="21">
        <f>(7350*Product_Catalog!D64)</f>
        <v>0</v>
      </c>
      <c r="F64" s="33">
        <v>287500</v>
      </c>
      <c r="G64" s="33">
        <v>151200</v>
      </c>
      <c r="H64" s="33">
        <v>504000</v>
      </c>
      <c r="I64" s="21">
        <f>(4725*Product_Catalog!D64)</f>
        <v>0</v>
      </c>
      <c r="J64" s="33">
        <v>582000</v>
      </c>
      <c r="K64" s="33">
        <v>139500</v>
      </c>
      <c r="L64" s="33">
        <v>185350</v>
      </c>
      <c r="M64" s="33">
        <v>402500</v>
      </c>
      <c r="N64" s="33">
        <v>358000</v>
      </c>
      <c r="O64" s="33">
        <v>440000</v>
      </c>
      <c r="P64" s="33">
        <v>198550</v>
      </c>
      <c r="Q64" s="33">
        <v>770400</v>
      </c>
      <c r="R64" s="33">
        <v>307000</v>
      </c>
      <c r="S64" s="33">
        <v>770400</v>
      </c>
      <c r="T64" s="33">
        <v>770400</v>
      </c>
      <c r="U64" s="33">
        <v>387500</v>
      </c>
      <c r="V64" s="21">
        <f>(12000*Product_Catalog!D64)</f>
        <v>0</v>
      </c>
      <c r="W64" s="33">
        <v>373200</v>
      </c>
      <c r="X64" s="33">
        <v>504000</v>
      </c>
      <c r="Y64" s="21">
        <f>(5250*Product_Catalog!D64)</f>
        <v>0</v>
      </c>
      <c r="Z64" s="33">
        <v>440000</v>
      </c>
      <c r="AA64" s="21">
        <f>(8400*Product_Catalog!D64)</f>
        <v>0</v>
      </c>
      <c r="AB64" s="33">
        <v>191400</v>
      </c>
      <c r="AC64" s="33">
        <v>198500</v>
      </c>
      <c r="AD64" s="33">
        <v>209500</v>
      </c>
      <c r="AE64" s="34" t="str">
        <f>"Jakarta + Real Cost"</f>
        <v>Jakarta + Real Cost</v>
      </c>
      <c r="AF64" s="33">
        <v>191400</v>
      </c>
    </row>
    <row r="65" spans="1:32" ht="15" customHeight="1" x14ac:dyDescent="0.25">
      <c r="A65" s="6">
        <v>63</v>
      </c>
      <c r="B65" s="27" t="str">
        <f>VLOOKUP(Tbl_Price_List[[#This Row],[Product_Name]],Tbl_Prod_Catalog[[#This Row],[Product_Name]:[Class_Type]],8,0)</f>
        <v>Digital Piano (Clavinova)</v>
      </c>
      <c r="C65" t="s">
        <v>303</v>
      </c>
      <c r="D65" s="33">
        <v>548500</v>
      </c>
      <c r="E65" s="21">
        <f>(7350*Product_Catalog!D65)</f>
        <v>2388750</v>
      </c>
      <c r="F65" s="33">
        <v>365700</v>
      </c>
      <c r="G65" s="33">
        <v>173250</v>
      </c>
      <c r="H65" s="33">
        <v>582000</v>
      </c>
      <c r="I65" s="21">
        <f>(4725*Product_Catalog!D65)</f>
        <v>1535625</v>
      </c>
      <c r="J65" s="33">
        <v>582000</v>
      </c>
      <c r="K65" s="33">
        <v>139500</v>
      </c>
      <c r="L65" s="33">
        <v>185350</v>
      </c>
      <c r="M65" s="33">
        <v>402500</v>
      </c>
      <c r="N65" s="33">
        <v>358000</v>
      </c>
      <c r="O65" s="33">
        <v>440000</v>
      </c>
      <c r="P65" s="33">
        <v>198550</v>
      </c>
      <c r="Q65" s="33">
        <v>769000</v>
      </c>
      <c r="R65" s="33">
        <v>319500</v>
      </c>
      <c r="S65" s="33">
        <v>769000</v>
      </c>
      <c r="T65" s="33">
        <v>769000</v>
      </c>
      <c r="U65" s="33">
        <v>402500</v>
      </c>
      <c r="V65" s="21">
        <f>(12000*Product_Catalog!D65)</f>
        <v>3900000</v>
      </c>
      <c r="W65" s="33">
        <v>392200</v>
      </c>
      <c r="X65" s="33">
        <v>582000</v>
      </c>
      <c r="Y65" s="21">
        <f>(5250*Product_Catalog!D65)</f>
        <v>1706250</v>
      </c>
      <c r="Z65" s="33">
        <v>440000</v>
      </c>
      <c r="AA65" s="21">
        <f>(8400*Product_Catalog!D65)</f>
        <v>2730000</v>
      </c>
      <c r="AB65" s="33">
        <v>198550</v>
      </c>
      <c r="AC65" s="33">
        <v>198550</v>
      </c>
      <c r="AD65" s="33">
        <v>218500</v>
      </c>
      <c r="AE65" s="34" t="str">
        <f>"Jakarta + Real Cost"</f>
        <v>Jakarta + Real Cost</v>
      </c>
      <c r="AF65" s="33">
        <v>198550</v>
      </c>
    </row>
    <row r="66" spans="1:32" ht="15" customHeight="1" x14ac:dyDescent="0.25">
      <c r="A66" s="6">
        <v>64</v>
      </c>
      <c r="B66" s="27" t="str">
        <f>VLOOKUP(Tbl_Price_List[[#This Row],[Product_Name]],Tbl_Prod_Catalog[[#This Row],[Product_Name]:[Class_Type]],8,0)</f>
        <v>Digital Piano (Arius)</v>
      </c>
      <c r="C66" t="s">
        <v>304</v>
      </c>
      <c r="D66" s="33">
        <v>506000</v>
      </c>
      <c r="E66" s="21">
        <f>(7350*Product_Catalog!D66)</f>
        <v>624750</v>
      </c>
      <c r="F66" s="33">
        <v>287500</v>
      </c>
      <c r="G66" s="33">
        <v>151200</v>
      </c>
      <c r="H66" s="33">
        <v>504000</v>
      </c>
      <c r="I66" s="21">
        <f>(4725*Product_Catalog!D66)</f>
        <v>401625</v>
      </c>
      <c r="J66" s="33">
        <v>504000</v>
      </c>
      <c r="K66" s="33">
        <v>140400</v>
      </c>
      <c r="L66" s="33">
        <v>170500</v>
      </c>
      <c r="M66" s="33">
        <v>386500</v>
      </c>
      <c r="N66" s="33">
        <v>341500</v>
      </c>
      <c r="O66" s="33">
        <v>440000</v>
      </c>
      <c r="P66" s="33">
        <v>191400</v>
      </c>
      <c r="Q66" s="33">
        <v>770400</v>
      </c>
      <c r="R66" s="33">
        <v>307000</v>
      </c>
      <c r="S66" s="33">
        <v>770400</v>
      </c>
      <c r="T66" s="33">
        <v>770400</v>
      </c>
      <c r="U66" s="33">
        <v>387500</v>
      </c>
      <c r="V66" s="21">
        <f>(12000*Product_Catalog!D66)</f>
        <v>1020000</v>
      </c>
      <c r="W66" s="33">
        <v>373200</v>
      </c>
      <c r="X66" s="33">
        <v>504000</v>
      </c>
      <c r="Y66" s="21">
        <f>(5250*Product_Catalog!D66)</f>
        <v>446250</v>
      </c>
      <c r="Z66" s="33">
        <v>440000</v>
      </c>
      <c r="AA66" s="21">
        <f>(8400*Product_Catalog!D66)</f>
        <v>714000</v>
      </c>
      <c r="AB66" s="33">
        <v>191400</v>
      </c>
      <c r="AC66" s="33">
        <v>198500</v>
      </c>
      <c r="AD66" s="33">
        <v>209500</v>
      </c>
      <c r="AE66" s="34" t="str">
        <f>"Jakarta + Real Cost"</f>
        <v>Jakarta + Real Cost</v>
      </c>
      <c r="AF66" s="33">
        <v>191400</v>
      </c>
    </row>
    <row r="67" spans="1:32" ht="15" customHeight="1" x14ac:dyDescent="0.25">
      <c r="A67" s="6">
        <v>65</v>
      </c>
      <c r="B67" s="27" t="str">
        <f>VLOOKUP(Tbl_Price_List[[#This Row],[Product_Name]],Tbl_Prod_Catalog[[#This Row],[Product_Name]:[Class_Type]],8,0)</f>
        <v>Guitar</v>
      </c>
      <c r="C67" t="s">
        <v>314</v>
      </c>
      <c r="D67" s="33">
        <v>198700</v>
      </c>
      <c r="E67" s="21">
        <f>(7350*Product_Catalog!D67)</f>
        <v>418950</v>
      </c>
      <c r="F67" s="33">
        <v>114000</v>
      </c>
      <c r="G67" s="33">
        <v>49500</v>
      </c>
      <c r="H67" s="33">
        <v>142000</v>
      </c>
      <c r="I67" s="21">
        <f>(4725*Product_Catalog!D67)</f>
        <v>269325</v>
      </c>
      <c r="J67" s="33">
        <v>142200</v>
      </c>
      <c r="K67" s="33">
        <v>32700</v>
      </c>
      <c r="L67" s="33">
        <v>58500</v>
      </c>
      <c r="M67" s="33">
        <v>137500</v>
      </c>
      <c r="N67" s="33">
        <v>131000</v>
      </c>
      <c r="O67" s="33">
        <v>94600</v>
      </c>
      <c r="P67" s="33">
        <v>60500</v>
      </c>
      <c r="Q67" s="33">
        <v>161500</v>
      </c>
      <c r="R67" s="33">
        <v>121500</v>
      </c>
      <c r="S67" s="33">
        <v>161500</v>
      </c>
      <c r="T67" s="33">
        <v>161500</v>
      </c>
      <c r="U67" s="33">
        <v>133000</v>
      </c>
      <c r="V67" s="21">
        <f>(12000*Product_Catalog!D67)</f>
        <v>684000</v>
      </c>
      <c r="W67" s="33">
        <v>125500</v>
      </c>
      <c r="X67" s="33">
        <v>142000</v>
      </c>
      <c r="Y67" s="21">
        <f>(5250*Product_Catalog!D67)</f>
        <v>299250</v>
      </c>
      <c r="Z67" s="33">
        <v>94600</v>
      </c>
      <c r="AA67" s="21">
        <f>(8400*Product_Catalog!D67)</f>
        <v>478800</v>
      </c>
      <c r="AB67" s="33">
        <v>60500</v>
      </c>
      <c r="AC67" s="33">
        <v>63500</v>
      </c>
      <c r="AD67" s="33">
        <v>77000</v>
      </c>
      <c r="AE67" s="34" t="str">
        <f>"Jakarta + Real Cost"</f>
        <v>Jakarta + Real Cost</v>
      </c>
      <c r="AF67" s="33">
        <v>60500</v>
      </c>
    </row>
    <row r="68" spans="1:32" ht="15" customHeight="1" x14ac:dyDescent="0.25">
      <c r="A68" s="6">
        <v>66</v>
      </c>
      <c r="B68" s="27" t="str">
        <f>VLOOKUP(Tbl_Price_List[[#This Row],[Product_Name]],Tbl_Prod_Catalog[[#This Row],[Product_Name]:[Class_Type]],8,0)</f>
        <v>Guitar</v>
      </c>
      <c r="C68" t="s">
        <v>315</v>
      </c>
      <c r="D68" s="33">
        <v>198700</v>
      </c>
      <c r="E68" s="21">
        <f>(7350*Product_Catalog!D68)</f>
        <v>418950</v>
      </c>
      <c r="F68" s="33">
        <v>114000</v>
      </c>
      <c r="G68" s="33">
        <v>49500</v>
      </c>
      <c r="H68" s="33">
        <v>142000</v>
      </c>
      <c r="I68" s="21">
        <f>(4725*Product_Catalog!D68)</f>
        <v>269325</v>
      </c>
      <c r="J68" s="33">
        <v>142200</v>
      </c>
      <c r="K68" s="33">
        <v>32700</v>
      </c>
      <c r="L68" s="33">
        <v>58500</v>
      </c>
      <c r="M68" s="33">
        <v>137500</v>
      </c>
      <c r="N68" s="33">
        <v>131000</v>
      </c>
      <c r="O68" s="33">
        <v>94600</v>
      </c>
      <c r="P68" s="33">
        <v>60500</v>
      </c>
      <c r="Q68" s="33">
        <v>161500</v>
      </c>
      <c r="R68" s="33">
        <v>121500</v>
      </c>
      <c r="S68" s="33">
        <v>161500</v>
      </c>
      <c r="T68" s="33">
        <v>161500</v>
      </c>
      <c r="U68" s="33">
        <v>133000</v>
      </c>
      <c r="V68" s="21">
        <f>(12000*Product_Catalog!D68)</f>
        <v>684000</v>
      </c>
      <c r="W68" s="33">
        <v>125500</v>
      </c>
      <c r="X68" s="33">
        <v>142000</v>
      </c>
      <c r="Y68" s="21">
        <f>(5250*Product_Catalog!D68)</f>
        <v>299250</v>
      </c>
      <c r="Z68" s="33">
        <v>94600</v>
      </c>
      <c r="AA68" s="21">
        <f>(8400*Product_Catalog!D68)</f>
        <v>478800</v>
      </c>
      <c r="AB68" s="33">
        <v>60500</v>
      </c>
      <c r="AC68" s="33">
        <v>63500</v>
      </c>
      <c r="AD68" s="33">
        <v>77000</v>
      </c>
      <c r="AE68" s="34" t="str">
        <f>"Jakarta + Real Cost"</f>
        <v>Jakarta + Real Cost</v>
      </c>
      <c r="AF68" s="33">
        <v>60500</v>
      </c>
    </row>
    <row r="69" spans="1:32" ht="15" customHeight="1" x14ac:dyDescent="0.25">
      <c r="A69" s="6">
        <v>67</v>
      </c>
      <c r="B69" s="27" t="str">
        <f>VLOOKUP(Tbl_Price_List[[#This Row],[Product_Name]],Tbl_Prod_Catalog[[#This Row],[Product_Name]:[Class_Type]],8,0)</f>
        <v>Guitar</v>
      </c>
      <c r="C69" t="s">
        <v>316</v>
      </c>
      <c r="D69" s="33">
        <v>198700</v>
      </c>
      <c r="E69" s="21">
        <f>(7350*Product_Catalog!D69)</f>
        <v>418950</v>
      </c>
      <c r="F69" s="33">
        <v>114000</v>
      </c>
      <c r="G69" s="33">
        <v>49500</v>
      </c>
      <c r="H69" s="33">
        <v>142000</v>
      </c>
      <c r="I69" s="21">
        <f>(4725*Product_Catalog!D69)</f>
        <v>269325</v>
      </c>
      <c r="J69" s="33">
        <v>142200</v>
      </c>
      <c r="K69" s="33">
        <v>32700</v>
      </c>
      <c r="L69" s="33">
        <v>58500</v>
      </c>
      <c r="M69" s="33">
        <v>137500</v>
      </c>
      <c r="N69" s="33">
        <v>131000</v>
      </c>
      <c r="O69" s="33">
        <v>94600</v>
      </c>
      <c r="P69" s="33">
        <v>60500</v>
      </c>
      <c r="Q69" s="33">
        <v>161500</v>
      </c>
      <c r="R69" s="33">
        <v>121500</v>
      </c>
      <c r="S69" s="33">
        <v>161500</v>
      </c>
      <c r="T69" s="33">
        <v>161500</v>
      </c>
      <c r="U69" s="33">
        <v>133000</v>
      </c>
      <c r="V69" s="21">
        <f>(12000*Product_Catalog!D69)</f>
        <v>684000</v>
      </c>
      <c r="W69" s="33">
        <v>125500</v>
      </c>
      <c r="X69" s="33">
        <v>142000</v>
      </c>
      <c r="Y69" s="21">
        <f>(5250*Product_Catalog!D69)</f>
        <v>299250</v>
      </c>
      <c r="Z69" s="33">
        <v>94600</v>
      </c>
      <c r="AA69" s="21">
        <f>(8400*Product_Catalog!D69)</f>
        <v>478800</v>
      </c>
      <c r="AB69" s="33">
        <v>60500</v>
      </c>
      <c r="AC69" s="33">
        <v>63500</v>
      </c>
      <c r="AD69" s="33">
        <v>77000</v>
      </c>
      <c r="AE69" s="34" t="str">
        <f>"Jakarta + Real Cost"</f>
        <v>Jakarta + Real Cost</v>
      </c>
      <c r="AF69" s="33">
        <v>60500</v>
      </c>
    </row>
    <row r="70" spans="1:32" ht="15" customHeight="1" x14ac:dyDescent="0.25">
      <c r="A70" s="6">
        <v>68</v>
      </c>
      <c r="B70" s="27" t="str">
        <f>VLOOKUP(Tbl_Price_List[[#This Row],[Product_Name]],Tbl_Prod_Catalog[[#This Row],[Product_Name]:[Class_Type]],8,0)</f>
        <v>Guitar</v>
      </c>
      <c r="C70" t="s">
        <v>317</v>
      </c>
      <c r="D70" s="33">
        <v>198700</v>
      </c>
      <c r="E70" s="21">
        <f>(7350*Product_Catalog!D70)</f>
        <v>418950</v>
      </c>
      <c r="F70" s="33">
        <v>114000</v>
      </c>
      <c r="G70" s="33">
        <v>49500</v>
      </c>
      <c r="H70" s="33">
        <v>142000</v>
      </c>
      <c r="I70" s="21">
        <f>(4725*Product_Catalog!D70)</f>
        <v>269325</v>
      </c>
      <c r="J70" s="33">
        <v>142200</v>
      </c>
      <c r="K70" s="33">
        <v>32700</v>
      </c>
      <c r="L70" s="33">
        <v>58500</v>
      </c>
      <c r="M70" s="33">
        <v>137500</v>
      </c>
      <c r="N70" s="33">
        <v>131000</v>
      </c>
      <c r="O70" s="33">
        <v>94600</v>
      </c>
      <c r="P70" s="33">
        <v>60500</v>
      </c>
      <c r="Q70" s="33">
        <v>161500</v>
      </c>
      <c r="R70" s="33">
        <v>121500</v>
      </c>
      <c r="S70" s="33">
        <v>161500</v>
      </c>
      <c r="T70" s="33">
        <v>161500</v>
      </c>
      <c r="U70" s="33">
        <v>133000</v>
      </c>
      <c r="V70" s="21">
        <f>(12000*Product_Catalog!D70)</f>
        <v>684000</v>
      </c>
      <c r="W70" s="33">
        <v>125500</v>
      </c>
      <c r="X70" s="33">
        <v>142000</v>
      </c>
      <c r="Y70" s="21">
        <f>(5250*Product_Catalog!D70)</f>
        <v>299250</v>
      </c>
      <c r="Z70" s="33">
        <v>94600</v>
      </c>
      <c r="AA70" s="21">
        <f>(8400*Product_Catalog!D70)</f>
        <v>478800</v>
      </c>
      <c r="AB70" s="33">
        <v>60500</v>
      </c>
      <c r="AC70" s="33">
        <v>63500</v>
      </c>
      <c r="AD70" s="33">
        <v>77000</v>
      </c>
      <c r="AE70" s="34" t="str">
        <f>"Jakarta + Real Cost"</f>
        <v>Jakarta + Real Cost</v>
      </c>
      <c r="AF70" s="33">
        <v>60500</v>
      </c>
    </row>
    <row r="71" spans="1:32" ht="15" customHeight="1" x14ac:dyDescent="0.25">
      <c r="A71" s="6">
        <v>69</v>
      </c>
      <c r="B71" s="27" t="str">
        <f>VLOOKUP(Tbl_Price_List[[#This Row],[Product_Name]],Tbl_Prod_Catalog[[#This Row],[Product_Name]:[Class_Type]],8,0)</f>
        <v>Guitar</v>
      </c>
      <c r="C71" t="s">
        <v>318</v>
      </c>
      <c r="D71" s="33">
        <v>198700</v>
      </c>
      <c r="E71" s="21">
        <f>(7350*Product_Catalog!D71)</f>
        <v>418950</v>
      </c>
      <c r="F71" s="33">
        <v>114000</v>
      </c>
      <c r="G71" s="33">
        <v>49500</v>
      </c>
      <c r="H71" s="33">
        <v>142000</v>
      </c>
      <c r="I71" s="21">
        <f>(4725*Product_Catalog!D71)</f>
        <v>269325</v>
      </c>
      <c r="J71" s="33">
        <v>142200</v>
      </c>
      <c r="K71" s="33">
        <v>32700</v>
      </c>
      <c r="L71" s="33">
        <v>58500</v>
      </c>
      <c r="M71" s="33">
        <v>137500</v>
      </c>
      <c r="N71" s="33">
        <v>131000</v>
      </c>
      <c r="O71" s="33">
        <v>94600</v>
      </c>
      <c r="P71" s="33">
        <v>60500</v>
      </c>
      <c r="Q71" s="33">
        <v>161500</v>
      </c>
      <c r="R71" s="33">
        <v>121500</v>
      </c>
      <c r="S71" s="33">
        <v>161500</v>
      </c>
      <c r="T71" s="33">
        <v>161500</v>
      </c>
      <c r="U71" s="33">
        <v>133000</v>
      </c>
      <c r="V71" s="21">
        <f>(12000*Product_Catalog!D71)</f>
        <v>684000</v>
      </c>
      <c r="W71" s="33">
        <v>125500</v>
      </c>
      <c r="X71" s="33">
        <v>142000</v>
      </c>
      <c r="Y71" s="21">
        <f>(5250*Product_Catalog!D71)</f>
        <v>299250</v>
      </c>
      <c r="Z71" s="33">
        <v>94600</v>
      </c>
      <c r="AA71" s="21">
        <f>(8400*Product_Catalog!D71)</f>
        <v>478800</v>
      </c>
      <c r="AB71" s="33">
        <v>60500</v>
      </c>
      <c r="AC71" s="33">
        <v>63500</v>
      </c>
      <c r="AD71" s="33">
        <v>77000</v>
      </c>
      <c r="AE71" s="34" t="str">
        <f>"Jakarta + Real Cost"</f>
        <v>Jakarta + Real Cost</v>
      </c>
      <c r="AF71" s="33">
        <v>60500</v>
      </c>
    </row>
    <row r="72" spans="1:32" ht="15" customHeight="1" x14ac:dyDescent="0.25">
      <c r="A72" s="6">
        <v>70</v>
      </c>
      <c r="B72" s="27" t="str">
        <f>VLOOKUP(Tbl_Price_List[[#This Row],[Product_Name]],Tbl_Prod_Catalog[[#This Row],[Product_Name]:[Class_Type]],8,0)</f>
        <v>Guitar</v>
      </c>
      <c r="C72" t="s">
        <v>319</v>
      </c>
      <c r="D72" s="33">
        <v>198700</v>
      </c>
      <c r="E72" s="21">
        <f>(7350*Product_Catalog!D72)</f>
        <v>323400</v>
      </c>
      <c r="F72" s="33">
        <v>114000</v>
      </c>
      <c r="G72" s="33">
        <v>49500</v>
      </c>
      <c r="H72" s="33">
        <v>142000</v>
      </c>
      <c r="I72" s="21">
        <f>(4725*Product_Catalog!D72)</f>
        <v>207900</v>
      </c>
      <c r="J72" s="33">
        <v>142200</v>
      </c>
      <c r="K72" s="33">
        <v>32700</v>
      </c>
      <c r="L72" s="33">
        <v>58500</v>
      </c>
      <c r="M72" s="33">
        <v>137500</v>
      </c>
      <c r="N72" s="33">
        <v>131000</v>
      </c>
      <c r="O72" s="33">
        <v>94600</v>
      </c>
      <c r="P72" s="33">
        <v>60500</v>
      </c>
      <c r="Q72" s="33">
        <v>161500</v>
      </c>
      <c r="R72" s="33">
        <v>121500</v>
      </c>
      <c r="S72" s="33">
        <v>161500</v>
      </c>
      <c r="T72" s="33">
        <v>161500</v>
      </c>
      <c r="U72" s="33">
        <v>133000</v>
      </c>
      <c r="V72" s="21">
        <f>(12000*Product_Catalog!D72)</f>
        <v>528000</v>
      </c>
      <c r="W72" s="33">
        <v>125500</v>
      </c>
      <c r="X72" s="33">
        <v>142000</v>
      </c>
      <c r="Y72" s="21">
        <f>(5250*Product_Catalog!D72)</f>
        <v>231000</v>
      </c>
      <c r="Z72" s="33">
        <v>94600</v>
      </c>
      <c r="AA72" s="21">
        <f>(8400*Product_Catalog!D72)</f>
        <v>369600</v>
      </c>
      <c r="AB72" s="33">
        <v>60500</v>
      </c>
      <c r="AC72" s="33">
        <v>63500</v>
      </c>
      <c r="AD72" s="33">
        <v>77000</v>
      </c>
      <c r="AE72" s="34" t="str">
        <f>"Jakarta + Real Cost"</f>
        <v>Jakarta + Real Cost</v>
      </c>
      <c r="AF72" s="33">
        <v>60500</v>
      </c>
    </row>
    <row r="73" spans="1:32" ht="15" customHeight="1" x14ac:dyDescent="0.25">
      <c r="A73" s="6">
        <v>71</v>
      </c>
      <c r="B73" s="27" t="str">
        <f>VLOOKUP(Tbl_Price_List[[#This Row],[Product_Name]],Tbl_Prod_Catalog[[#This Row],[Product_Name]:[Class_Type]],8,0)</f>
        <v>Guitar</v>
      </c>
      <c r="C73" t="s">
        <v>355</v>
      </c>
      <c r="D73" s="33">
        <v>198700</v>
      </c>
      <c r="E73" s="21">
        <f>(7350*Product_Catalog!D73)</f>
        <v>543900</v>
      </c>
      <c r="F73" s="33">
        <v>114000</v>
      </c>
      <c r="G73" s="33">
        <v>49500</v>
      </c>
      <c r="H73" s="33">
        <v>142000</v>
      </c>
      <c r="I73" s="21">
        <f>(4725*Product_Catalog!D73)</f>
        <v>349650</v>
      </c>
      <c r="J73" s="33">
        <v>142200</v>
      </c>
      <c r="K73" s="33">
        <v>32700</v>
      </c>
      <c r="L73" s="33">
        <v>58500</v>
      </c>
      <c r="M73" s="33">
        <v>137500</v>
      </c>
      <c r="N73" s="33">
        <v>131000</v>
      </c>
      <c r="O73" s="33">
        <v>94600</v>
      </c>
      <c r="P73" s="33">
        <v>60500</v>
      </c>
      <c r="Q73" s="33">
        <v>161500</v>
      </c>
      <c r="R73" s="33">
        <v>121500</v>
      </c>
      <c r="S73" s="33">
        <v>161500</v>
      </c>
      <c r="T73" s="33">
        <v>161500</v>
      </c>
      <c r="U73" s="33">
        <v>133000</v>
      </c>
      <c r="V73" s="21">
        <f>(12000*Product_Catalog!D73)</f>
        <v>888000</v>
      </c>
      <c r="W73" s="33">
        <v>125500</v>
      </c>
      <c r="X73" s="33">
        <v>142000</v>
      </c>
      <c r="Y73" s="21">
        <f>(5250*Product_Catalog!D73)</f>
        <v>388500</v>
      </c>
      <c r="Z73" s="33">
        <v>94600</v>
      </c>
      <c r="AA73" s="21">
        <f>(8400*Product_Catalog!D73)</f>
        <v>621600</v>
      </c>
      <c r="AB73" s="33">
        <v>60500</v>
      </c>
      <c r="AC73" s="33">
        <v>63500</v>
      </c>
      <c r="AD73" s="33">
        <v>77000</v>
      </c>
      <c r="AE73" s="34" t="str">
        <f>"Jakarta + Real Cost"</f>
        <v>Jakarta + Real Cost</v>
      </c>
      <c r="AF73" s="33">
        <v>60500</v>
      </c>
    </row>
    <row r="74" spans="1:32" ht="15" customHeight="1" x14ac:dyDescent="0.25">
      <c r="A74" s="6">
        <v>72</v>
      </c>
      <c r="B74" s="27" t="str">
        <f>VLOOKUP(Tbl_Price_List[[#This Row],[Product_Name]],Tbl_Prod_Catalog[[#This Row],[Product_Name]:[Class_Type]],8,0)</f>
        <v>Guitar</v>
      </c>
      <c r="C74" t="s">
        <v>356</v>
      </c>
      <c r="D74" s="33">
        <v>198700</v>
      </c>
      <c r="E74" s="21">
        <f>(7350*Product_Catalog!D74)</f>
        <v>543900</v>
      </c>
      <c r="F74" s="33">
        <v>114000</v>
      </c>
      <c r="G74" s="33">
        <v>49500</v>
      </c>
      <c r="H74" s="33">
        <v>142000</v>
      </c>
      <c r="I74" s="21">
        <f>(4725*Product_Catalog!D74)</f>
        <v>349650</v>
      </c>
      <c r="J74" s="33">
        <v>142200</v>
      </c>
      <c r="K74" s="33">
        <v>32700</v>
      </c>
      <c r="L74" s="33">
        <v>58500</v>
      </c>
      <c r="M74" s="33">
        <v>137500</v>
      </c>
      <c r="N74" s="33">
        <v>131000</v>
      </c>
      <c r="O74" s="33">
        <v>94600</v>
      </c>
      <c r="P74" s="33">
        <v>60500</v>
      </c>
      <c r="Q74" s="33">
        <v>161500</v>
      </c>
      <c r="R74" s="33">
        <v>121500</v>
      </c>
      <c r="S74" s="33">
        <v>161500</v>
      </c>
      <c r="T74" s="33">
        <v>161500</v>
      </c>
      <c r="U74" s="33">
        <v>133000</v>
      </c>
      <c r="V74" s="21">
        <f>(12000*Product_Catalog!D74)</f>
        <v>888000</v>
      </c>
      <c r="W74" s="33">
        <v>125500</v>
      </c>
      <c r="X74" s="33">
        <v>142000</v>
      </c>
      <c r="Y74" s="21">
        <f>(5250*Product_Catalog!D74)</f>
        <v>388500</v>
      </c>
      <c r="Z74" s="33">
        <v>94600</v>
      </c>
      <c r="AA74" s="21">
        <f>(8400*Product_Catalog!D74)</f>
        <v>621600</v>
      </c>
      <c r="AB74" s="33">
        <v>60500</v>
      </c>
      <c r="AC74" s="33">
        <v>63500</v>
      </c>
      <c r="AD74" s="33">
        <v>77000</v>
      </c>
      <c r="AE74" s="34" t="str">
        <f>"Jakarta + Real Cost"</f>
        <v>Jakarta + Real Cost</v>
      </c>
      <c r="AF74" s="33">
        <v>60500</v>
      </c>
    </row>
    <row r="75" spans="1:32" ht="15" customHeight="1" x14ac:dyDescent="0.25">
      <c r="A75" s="6">
        <v>73</v>
      </c>
      <c r="B75" s="27" t="str">
        <f>VLOOKUP(Tbl_Price_List[[#This Row],[Product_Name]],Tbl_Prod_Catalog[[#This Row],[Product_Name]:[Class_Type]],8,0)</f>
        <v>Guitar</v>
      </c>
      <c r="C75" t="s">
        <v>320</v>
      </c>
      <c r="D75" s="33">
        <v>198700</v>
      </c>
      <c r="E75" s="21">
        <f>(7350*Product_Catalog!D75)</f>
        <v>529200</v>
      </c>
      <c r="F75" s="33">
        <v>114000</v>
      </c>
      <c r="G75" s="33">
        <v>49500</v>
      </c>
      <c r="H75" s="33">
        <v>142000</v>
      </c>
      <c r="I75" s="21">
        <f>(4725*Product_Catalog!D75)</f>
        <v>340200</v>
      </c>
      <c r="J75" s="33">
        <v>142200</v>
      </c>
      <c r="K75" s="33">
        <v>32700</v>
      </c>
      <c r="L75" s="33">
        <v>58500</v>
      </c>
      <c r="M75" s="33">
        <v>137500</v>
      </c>
      <c r="N75" s="33">
        <v>131000</v>
      </c>
      <c r="O75" s="33">
        <v>94600</v>
      </c>
      <c r="P75" s="33">
        <v>60500</v>
      </c>
      <c r="Q75" s="33">
        <v>161500</v>
      </c>
      <c r="R75" s="33">
        <v>121500</v>
      </c>
      <c r="S75" s="33">
        <v>161500</v>
      </c>
      <c r="T75" s="33">
        <v>161500</v>
      </c>
      <c r="U75" s="33">
        <v>133000</v>
      </c>
      <c r="V75" s="21">
        <f>(12000*Product_Catalog!D75)</f>
        <v>864000</v>
      </c>
      <c r="W75" s="33">
        <v>125500</v>
      </c>
      <c r="X75" s="33">
        <v>142000</v>
      </c>
      <c r="Y75" s="21">
        <f>(5250*Product_Catalog!D75)</f>
        <v>378000</v>
      </c>
      <c r="Z75" s="33">
        <v>94600</v>
      </c>
      <c r="AA75" s="21">
        <f>(8400*Product_Catalog!D75)</f>
        <v>604800</v>
      </c>
      <c r="AB75" s="33">
        <v>60500</v>
      </c>
      <c r="AC75" s="33">
        <v>63500</v>
      </c>
      <c r="AD75" s="33">
        <v>77000</v>
      </c>
      <c r="AE75" s="34" t="str">
        <f>"Jakarta + Real Cost"</f>
        <v>Jakarta + Real Cost</v>
      </c>
      <c r="AF75" s="33">
        <v>60500</v>
      </c>
    </row>
    <row r="76" spans="1:32" ht="15" customHeight="1" x14ac:dyDescent="0.25">
      <c r="A76" s="6">
        <v>74</v>
      </c>
      <c r="B76" s="27" t="str">
        <f>VLOOKUP(Tbl_Price_List[[#This Row],[Product_Name]],Tbl_Prod_Catalog[[#This Row],[Product_Name]:[Class_Type]],8,0)</f>
        <v>Guitar</v>
      </c>
      <c r="C76" t="s">
        <v>321</v>
      </c>
      <c r="D76" s="33">
        <v>198700</v>
      </c>
      <c r="E76" s="21">
        <f>(7350*Product_Catalog!D76)</f>
        <v>529200</v>
      </c>
      <c r="F76" s="33">
        <v>114000</v>
      </c>
      <c r="G76" s="33">
        <v>49500</v>
      </c>
      <c r="H76" s="33">
        <v>142000</v>
      </c>
      <c r="I76" s="21">
        <f>(4725*Product_Catalog!D76)</f>
        <v>340200</v>
      </c>
      <c r="J76" s="33">
        <v>142200</v>
      </c>
      <c r="K76" s="33">
        <v>32700</v>
      </c>
      <c r="L76" s="33">
        <v>58500</v>
      </c>
      <c r="M76" s="33">
        <v>137500</v>
      </c>
      <c r="N76" s="33">
        <v>131000</v>
      </c>
      <c r="O76" s="33">
        <v>94600</v>
      </c>
      <c r="P76" s="33">
        <v>60500</v>
      </c>
      <c r="Q76" s="33">
        <v>161500</v>
      </c>
      <c r="R76" s="33">
        <v>121500</v>
      </c>
      <c r="S76" s="33">
        <v>161500</v>
      </c>
      <c r="T76" s="33">
        <v>161500</v>
      </c>
      <c r="U76" s="33">
        <v>133000</v>
      </c>
      <c r="V76" s="21">
        <f>(12000*Product_Catalog!D76)</f>
        <v>864000</v>
      </c>
      <c r="W76" s="33">
        <v>125500</v>
      </c>
      <c r="X76" s="33">
        <v>142000</v>
      </c>
      <c r="Y76" s="21">
        <f>(5250*Product_Catalog!D76)</f>
        <v>378000</v>
      </c>
      <c r="Z76" s="33">
        <v>94600</v>
      </c>
      <c r="AA76" s="21">
        <f>(8400*Product_Catalog!D76)</f>
        <v>604800</v>
      </c>
      <c r="AB76" s="33">
        <v>60500</v>
      </c>
      <c r="AC76" s="33">
        <v>63500</v>
      </c>
      <c r="AD76" s="33">
        <v>77000</v>
      </c>
      <c r="AE76" s="34" t="str">
        <f>"Jakarta + Real Cost"</f>
        <v>Jakarta + Real Cost</v>
      </c>
      <c r="AF76" s="33">
        <v>60500</v>
      </c>
    </row>
    <row r="77" spans="1:32" ht="15" customHeight="1" x14ac:dyDescent="0.25">
      <c r="A77" s="6">
        <v>75</v>
      </c>
      <c r="B77" s="27" t="str">
        <f>VLOOKUP(Tbl_Price_List[[#This Row],[Product_Name]],Tbl_Prod_Catalog[[#This Row],[Product_Name]:[Class_Type]],8,0)</f>
        <v>Guitar</v>
      </c>
      <c r="C77" t="s">
        <v>322</v>
      </c>
      <c r="D77" s="33">
        <v>198700</v>
      </c>
      <c r="E77" s="21">
        <f>(7350*Product_Catalog!D77)</f>
        <v>529200</v>
      </c>
      <c r="F77" s="33">
        <v>114000</v>
      </c>
      <c r="G77" s="33">
        <v>49500</v>
      </c>
      <c r="H77" s="33">
        <v>142000</v>
      </c>
      <c r="I77" s="21">
        <f>(4725*Product_Catalog!D77)</f>
        <v>340200</v>
      </c>
      <c r="J77" s="33">
        <v>142200</v>
      </c>
      <c r="K77" s="33">
        <v>32700</v>
      </c>
      <c r="L77" s="33">
        <v>58500</v>
      </c>
      <c r="M77" s="33">
        <v>137500</v>
      </c>
      <c r="N77" s="33">
        <v>131000</v>
      </c>
      <c r="O77" s="33">
        <v>94600</v>
      </c>
      <c r="P77" s="33">
        <v>60500</v>
      </c>
      <c r="Q77" s="33">
        <v>161500</v>
      </c>
      <c r="R77" s="33">
        <v>121500</v>
      </c>
      <c r="S77" s="33">
        <v>161500</v>
      </c>
      <c r="T77" s="33">
        <v>161500</v>
      </c>
      <c r="U77" s="33">
        <v>133000</v>
      </c>
      <c r="V77" s="21">
        <f>(12000*Product_Catalog!D77)</f>
        <v>864000</v>
      </c>
      <c r="W77" s="33">
        <v>125500</v>
      </c>
      <c r="X77" s="33">
        <v>142000</v>
      </c>
      <c r="Y77" s="21">
        <f>(5250*Product_Catalog!D77)</f>
        <v>378000</v>
      </c>
      <c r="Z77" s="33">
        <v>94600</v>
      </c>
      <c r="AA77" s="21">
        <f>(8400*Product_Catalog!D77)</f>
        <v>604800</v>
      </c>
      <c r="AB77" s="33">
        <v>60500</v>
      </c>
      <c r="AC77" s="33">
        <v>63500</v>
      </c>
      <c r="AD77" s="33">
        <v>77000</v>
      </c>
      <c r="AE77" s="34" t="str">
        <f>"Jakarta + Real Cost"</f>
        <v>Jakarta + Real Cost</v>
      </c>
      <c r="AF77" s="33">
        <v>60500</v>
      </c>
    </row>
    <row r="78" spans="1:32" ht="15" customHeight="1" x14ac:dyDescent="0.25">
      <c r="A78" s="6">
        <v>76</v>
      </c>
      <c r="B78" s="27" t="str">
        <f>VLOOKUP(Tbl_Price_List[[#This Row],[Product_Name]],Tbl_Prod_Catalog[[#This Row],[Product_Name]:[Class_Type]],8,0)</f>
        <v>Guitar</v>
      </c>
      <c r="C78" t="s">
        <v>323</v>
      </c>
      <c r="D78" s="33">
        <v>198700</v>
      </c>
      <c r="E78" s="21">
        <f>(7350*Product_Catalog!D78)</f>
        <v>169050</v>
      </c>
      <c r="F78" s="33">
        <v>114000</v>
      </c>
      <c r="G78" s="33">
        <v>49500</v>
      </c>
      <c r="H78" s="33">
        <v>142000</v>
      </c>
      <c r="I78" s="21">
        <f>(4725*Product_Catalog!D78)</f>
        <v>108675</v>
      </c>
      <c r="J78" s="33">
        <v>142200</v>
      </c>
      <c r="K78" s="33">
        <v>32700</v>
      </c>
      <c r="L78" s="33">
        <v>58500</v>
      </c>
      <c r="M78" s="33">
        <v>137500</v>
      </c>
      <c r="N78" s="33">
        <v>131000</v>
      </c>
      <c r="O78" s="33">
        <v>94600</v>
      </c>
      <c r="P78" s="33">
        <v>60500</v>
      </c>
      <c r="Q78" s="33">
        <v>161500</v>
      </c>
      <c r="R78" s="33">
        <v>121500</v>
      </c>
      <c r="S78" s="33">
        <v>161500</v>
      </c>
      <c r="T78" s="33">
        <v>161500</v>
      </c>
      <c r="U78" s="33">
        <v>133000</v>
      </c>
      <c r="V78" s="21">
        <f>(12000*Product_Catalog!D78)</f>
        <v>276000</v>
      </c>
      <c r="W78" s="33">
        <v>125500</v>
      </c>
      <c r="X78" s="33">
        <v>142000</v>
      </c>
      <c r="Y78" s="21">
        <f>(5250*Product_Catalog!D78)</f>
        <v>120750</v>
      </c>
      <c r="Z78" s="33">
        <v>94600</v>
      </c>
      <c r="AA78" s="21">
        <f>(8400*Product_Catalog!D78)</f>
        <v>193200</v>
      </c>
      <c r="AB78" s="33">
        <v>60500</v>
      </c>
      <c r="AC78" s="33">
        <v>63500</v>
      </c>
      <c r="AD78" s="33">
        <v>77000</v>
      </c>
      <c r="AE78" s="34" t="str">
        <f>"Jakarta + Real Cost"</f>
        <v>Jakarta + Real Cost</v>
      </c>
      <c r="AF78" s="33">
        <v>60500</v>
      </c>
    </row>
    <row r="79" spans="1:32" ht="15" customHeight="1" x14ac:dyDescent="0.25">
      <c r="A79" s="6">
        <v>77</v>
      </c>
      <c r="B79" s="27" t="str">
        <f>VLOOKUP(Tbl_Price_List[[#This Row],[Product_Name]],Tbl_Prod_Catalog[[#This Row],[Product_Name]:[Class_Type]],8,0)</f>
        <v>Guitar</v>
      </c>
      <c r="C79" s="34" t="s">
        <v>324</v>
      </c>
      <c r="D79" s="33">
        <v>198700</v>
      </c>
      <c r="E79" s="21">
        <f>(7350*Product_Catalog!D79)</f>
        <v>345450</v>
      </c>
      <c r="F79" s="33">
        <v>114000</v>
      </c>
      <c r="G79" s="33">
        <v>49500</v>
      </c>
      <c r="H79" s="33">
        <v>142000</v>
      </c>
      <c r="I79" s="21">
        <f>(4725*Product_Catalog!D79)</f>
        <v>222075</v>
      </c>
      <c r="J79" s="33">
        <v>142200</v>
      </c>
      <c r="K79" s="33">
        <v>32700</v>
      </c>
      <c r="L79" s="33">
        <v>58500</v>
      </c>
      <c r="M79" s="33">
        <v>137500</v>
      </c>
      <c r="N79" s="33">
        <v>131000</v>
      </c>
      <c r="O79" s="33">
        <v>94600</v>
      </c>
      <c r="P79" s="33">
        <v>60500</v>
      </c>
      <c r="Q79" s="33">
        <v>161500</v>
      </c>
      <c r="R79" s="33">
        <v>121500</v>
      </c>
      <c r="S79" s="33">
        <v>161500</v>
      </c>
      <c r="T79" s="33">
        <v>161500</v>
      </c>
      <c r="U79" s="33">
        <v>133000</v>
      </c>
      <c r="V79" s="21">
        <f>(12000*Product_Catalog!D79)</f>
        <v>564000</v>
      </c>
      <c r="W79" s="33">
        <v>125500</v>
      </c>
      <c r="X79" s="33">
        <v>142000</v>
      </c>
      <c r="Y79" s="21">
        <f>(5250*Product_Catalog!D79)</f>
        <v>246750</v>
      </c>
      <c r="Z79" s="33">
        <v>94600</v>
      </c>
      <c r="AA79" s="21">
        <f>(8400*Product_Catalog!D79)</f>
        <v>394800</v>
      </c>
      <c r="AB79" s="33">
        <v>60500</v>
      </c>
      <c r="AC79" s="33">
        <v>63500</v>
      </c>
      <c r="AD79" s="33">
        <v>77000</v>
      </c>
      <c r="AE79" s="34" t="str">
        <f>"Jakarta + Real Cost"</f>
        <v>Jakarta + Real Cost</v>
      </c>
      <c r="AF79" s="33">
        <v>60500</v>
      </c>
    </row>
    <row r="80" spans="1:32" ht="15" customHeight="1" x14ac:dyDescent="0.25">
      <c r="A80" s="6">
        <v>78</v>
      </c>
      <c r="B80" s="27" t="str">
        <f>VLOOKUP(Tbl_Price_List[[#This Row],[Product_Name]],Tbl_Prod_Catalog[[#This Row],[Product_Name]:[Class_Type]],8,0)</f>
        <v>Electric Guitar</v>
      </c>
      <c r="C80" s="34" t="s">
        <v>325</v>
      </c>
      <c r="D80" s="34">
        <v>182000</v>
      </c>
      <c r="E80" s="21">
        <f>(7350*Product_Catalog!D80)</f>
        <v>124950</v>
      </c>
      <c r="F80" s="34">
        <v>38000</v>
      </c>
      <c r="G80" s="34">
        <v>36300</v>
      </c>
      <c r="H80" s="33">
        <v>49500</v>
      </c>
      <c r="I80" s="21">
        <f>(4725*Product_Catalog!D80)</f>
        <v>80325</v>
      </c>
      <c r="J80" s="34">
        <v>49500</v>
      </c>
      <c r="K80" s="34">
        <v>29000</v>
      </c>
      <c r="L80" s="34">
        <v>39000</v>
      </c>
      <c r="M80" s="34">
        <v>46000</v>
      </c>
      <c r="N80" s="34">
        <v>85500</v>
      </c>
      <c r="O80" s="34">
        <v>48500</v>
      </c>
      <c r="P80" s="34">
        <v>40500</v>
      </c>
      <c r="Q80" s="34">
        <v>54600</v>
      </c>
      <c r="R80" s="34">
        <v>58500</v>
      </c>
      <c r="S80" s="34">
        <v>54600</v>
      </c>
      <c r="T80" s="34">
        <v>54600</v>
      </c>
      <c r="U80" s="34">
        <v>46000</v>
      </c>
      <c r="V80" s="21">
        <f>(12000*Product_Catalog!D80)</f>
        <v>204000</v>
      </c>
      <c r="W80" s="34">
        <v>44500</v>
      </c>
      <c r="X80" s="33">
        <v>49500</v>
      </c>
      <c r="Y80" s="21">
        <f>(5250*Product_Catalog!D80)</f>
        <v>89250</v>
      </c>
      <c r="Z80" s="34">
        <v>48500</v>
      </c>
      <c r="AA80" s="21">
        <f>(8400*Product_Catalog!D80)</f>
        <v>142800</v>
      </c>
      <c r="AB80" s="34">
        <v>40500</v>
      </c>
      <c r="AC80" s="34">
        <v>41500</v>
      </c>
      <c r="AD80" s="34">
        <v>55700</v>
      </c>
      <c r="AE80" s="34" t="str">
        <f>"Jakarta + Real Cost"</f>
        <v>Jakarta + Real Cost</v>
      </c>
      <c r="AF80" s="34">
        <v>40500</v>
      </c>
    </row>
    <row r="81" spans="1:32" ht="15" customHeight="1" x14ac:dyDescent="0.25">
      <c r="A81" s="6">
        <v>79</v>
      </c>
      <c r="B81" s="27" t="str">
        <f>VLOOKUP(Tbl_Price_List[[#This Row],[Product_Name]],Tbl_Prod_Catalog[[#This Row],[Product_Name]:[Class_Type]],8,0)</f>
        <v>Electric Guitar</v>
      </c>
      <c r="C81" s="34" t="s">
        <v>326</v>
      </c>
      <c r="D81" s="34">
        <v>182000</v>
      </c>
      <c r="E81" s="21">
        <f>(7350*Product_Catalog!D81)</f>
        <v>183750</v>
      </c>
      <c r="F81" s="34">
        <v>38000</v>
      </c>
      <c r="G81" s="34">
        <v>36300</v>
      </c>
      <c r="H81" s="33">
        <v>49500</v>
      </c>
      <c r="I81" s="21">
        <f>(4725*Product_Catalog!D81)</f>
        <v>118125</v>
      </c>
      <c r="J81" s="34">
        <v>49500</v>
      </c>
      <c r="K81" s="34">
        <v>29000</v>
      </c>
      <c r="L81" s="34">
        <v>39000</v>
      </c>
      <c r="M81" s="34">
        <v>46000</v>
      </c>
      <c r="N81" s="34">
        <v>85500</v>
      </c>
      <c r="O81" s="34">
        <v>48500</v>
      </c>
      <c r="P81" s="34">
        <v>40500</v>
      </c>
      <c r="Q81" s="34">
        <v>54600</v>
      </c>
      <c r="R81" s="34">
        <v>58500</v>
      </c>
      <c r="S81" s="34">
        <v>54600</v>
      </c>
      <c r="T81" s="34">
        <v>54600</v>
      </c>
      <c r="U81" s="34">
        <v>46000</v>
      </c>
      <c r="V81" s="21">
        <f>(12000*Product_Catalog!D81)</f>
        <v>300000</v>
      </c>
      <c r="W81" s="34">
        <v>44500</v>
      </c>
      <c r="X81" s="33">
        <v>49500</v>
      </c>
      <c r="Y81" s="21">
        <f>(5250*Product_Catalog!D81)</f>
        <v>131250</v>
      </c>
      <c r="Z81" s="34">
        <v>48500</v>
      </c>
      <c r="AA81" s="21">
        <f>(8400*Product_Catalog!D81)</f>
        <v>210000</v>
      </c>
      <c r="AB81" s="34">
        <v>40500</v>
      </c>
      <c r="AC81" s="34">
        <v>41500</v>
      </c>
      <c r="AD81" s="34">
        <v>55700</v>
      </c>
      <c r="AE81" s="34" t="str">
        <f>"Jakarta + Real Cost"</f>
        <v>Jakarta + Real Cost</v>
      </c>
      <c r="AF81" s="34">
        <v>40500</v>
      </c>
    </row>
    <row r="82" spans="1:32" ht="15" customHeight="1" x14ac:dyDescent="0.25">
      <c r="A82" s="6">
        <v>80</v>
      </c>
      <c r="B82" s="27" t="str">
        <f>VLOOKUP(Tbl_Price_List[[#This Row],[Product_Name]],Tbl_Prod_Catalog[[#This Row],[Product_Name]:[Class_Type]],8,0)</f>
        <v>Guitar</v>
      </c>
      <c r="C82" s="34" t="s">
        <v>327</v>
      </c>
      <c r="D82" s="33">
        <v>198700</v>
      </c>
      <c r="E82" s="21">
        <f>(7350*Product_Catalog!D82)</f>
        <v>88200</v>
      </c>
      <c r="F82" s="33">
        <v>114000</v>
      </c>
      <c r="G82" s="33">
        <v>49500</v>
      </c>
      <c r="H82" s="33">
        <v>142000</v>
      </c>
      <c r="I82" s="21">
        <f>(4725*Product_Catalog!D82)</f>
        <v>56700</v>
      </c>
      <c r="J82" s="33">
        <v>142200</v>
      </c>
      <c r="K82" s="33">
        <v>32700</v>
      </c>
      <c r="L82" s="33">
        <v>58500</v>
      </c>
      <c r="M82" s="33">
        <v>137500</v>
      </c>
      <c r="N82" s="33">
        <v>131000</v>
      </c>
      <c r="O82" s="33">
        <v>94600</v>
      </c>
      <c r="P82" s="33">
        <v>60500</v>
      </c>
      <c r="Q82" s="33">
        <v>161500</v>
      </c>
      <c r="R82" s="33">
        <v>121500</v>
      </c>
      <c r="S82" s="33">
        <v>161500</v>
      </c>
      <c r="T82" s="33">
        <v>161500</v>
      </c>
      <c r="U82" s="33">
        <v>133000</v>
      </c>
      <c r="V82" s="21">
        <f>(12000*Product_Catalog!D82)</f>
        <v>144000</v>
      </c>
      <c r="W82" s="33">
        <v>125500</v>
      </c>
      <c r="X82" s="33">
        <v>142000</v>
      </c>
      <c r="Y82" s="21">
        <f>(5250*Product_Catalog!D82)</f>
        <v>63000</v>
      </c>
      <c r="Z82" s="33">
        <v>94600</v>
      </c>
      <c r="AA82" s="21">
        <f>(8400*Product_Catalog!D82)</f>
        <v>100800</v>
      </c>
      <c r="AB82" s="33">
        <v>60500</v>
      </c>
      <c r="AC82" s="33">
        <v>63500</v>
      </c>
      <c r="AD82" s="33">
        <v>77000</v>
      </c>
      <c r="AE82" s="34" t="str">
        <f>"Jakarta + Real Cost"</f>
        <v>Jakarta + Real Cost</v>
      </c>
      <c r="AF82" s="33">
        <v>60500</v>
      </c>
    </row>
    <row r="83" spans="1:32" ht="15" customHeight="1" x14ac:dyDescent="0.25">
      <c r="A83" s="6">
        <v>81</v>
      </c>
      <c r="B83" s="27" t="str">
        <f>VLOOKUP(Tbl_Price_List[[#This Row],[Product_Name]],Tbl_Prod_Catalog[[#This Row],[Product_Name]:[Class_Type]],8,0)</f>
        <v>Electric Guitar</v>
      </c>
      <c r="C83" s="34" t="s">
        <v>328</v>
      </c>
      <c r="D83" s="34">
        <v>182000</v>
      </c>
      <c r="E83" s="21">
        <f>(7350*Product_Catalog!D83)</f>
        <v>95550</v>
      </c>
      <c r="F83" s="34">
        <v>38000</v>
      </c>
      <c r="G83" s="34">
        <v>36300</v>
      </c>
      <c r="H83" s="33">
        <v>49500</v>
      </c>
      <c r="I83" s="21">
        <f>(4725*Product_Catalog!D83)</f>
        <v>61425</v>
      </c>
      <c r="J83" s="34">
        <v>49500</v>
      </c>
      <c r="K83" s="34">
        <v>29000</v>
      </c>
      <c r="L83" s="34">
        <v>39000</v>
      </c>
      <c r="M83" s="34">
        <v>46000</v>
      </c>
      <c r="N83" s="34">
        <v>85500</v>
      </c>
      <c r="O83" s="34">
        <v>48500</v>
      </c>
      <c r="P83" s="34">
        <v>40500</v>
      </c>
      <c r="Q83" s="34">
        <v>54600</v>
      </c>
      <c r="R83" s="34">
        <v>58500</v>
      </c>
      <c r="S83" s="34">
        <v>54600</v>
      </c>
      <c r="T83" s="34">
        <v>54600</v>
      </c>
      <c r="U83" s="34">
        <v>46000</v>
      </c>
      <c r="V83" s="21">
        <f>(12000*Product_Catalog!D83)</f>
        <v>156000</v>
      </c>
      <c r="W83" s="34">
        <v>44500</v>
      </c>
      <c r="X83" s="33">
        <v>49500</v>
      </c>
      <c r="Y83" s="21">
        <f>(5250*Product_Catalog!D83)</f>
        <v>68250</v>
      </c>
      <c r="Z83" s="34">
        <v>48500</v>
      </c>
      <c r="AA83" s="21">
        <f>(8400*Product_Catalog!D83)</f>
        <v>109200</v>
      </c>
      <c r="AB83" s="34">
        <v>40500</v>
      </c>
      <c r="AC83" s="34">
        <v>41500</v>
      </c>
      <c r="AD83" s="34">
        <v>55700</v>
      </c>
      <c r="AE83" s="34" t="str">
        <f>"Jakarta + Real Cost"</f>
        <v>Jakarta + Real Cost</v>
      </c>
      <c r="AF83" s="34">
        <v>40500</v>
      </c>
    </row>
    <row r="84" spans="1:32" ht="15" customHeight="1" x14ac:dyDescent="0.25">
      <c r="A84" s="6">
        <v>82</v>
      </c>
      <c r="B84" s="27" t="str">
        <f>VLOOKUP(Tbl_Price_List[[#This Row],[Product_Name]],Tbl_Prod_Catalog[[#This Row],[Product_Name]:[Class_Type]],8,0)</f>
        <v>Electric Guitar</v>
      </c>
      <c r="C84" s="34" t="s">
        <v>329</v>
      </c>
      <c r="D84" s="34">
        <v>182000</v>
      </c>
      <c r="E84" s="21">
        <f>(7350*Product_Catalog!D84)</f>
        <v>95550</v>
      </c>
      <c r="F84" s="34">
        <v>38000</v>
      </c>
      <c r="G84" s="34">
        <v>36300</v>
      </c>
      <c r="H84" s="33">
        <v>49500</v>
      </c>
      <c r="I84" s="21">
        <f>(4725*Product_Catalog!D84)</f>
        <v>61425</v>
      </c>
      <c r="J84" s="34">
        <v>49500</v>
      </c>
      <c r="K84" s="34">
        <v>29000</v>
      </c>
      <c r="L84" s="34">
        <v>39000</v>
      </c>
      <c r="M84" s="34">
        <v>46000</v>
      </c>
      <c r="N84" s="34">
        <v>85500</v>
      </c>
      <c r="O84" s="34">
        <v>48500</v>
      </c>
      <c r="P84" s="34">
        <v>40500</v>
      </c>
      <c r="Q84" s="34">
        <v>54600</v>
      </c>
      <c r="R84" s="34">
        <v>58500</v>
      </c>
      <c r="S84" s="34">
        <v>54600</v>
      </c>
      <c r="T84" s="34">
        <v>54600</v>
      </c>
      <c r="U84" s="34">
        <v>46000</v>
      </c>
      <c r="V84" s="21">
        <f>(12000*Product_Catalog!D84)</f>
        <v>156000</v>
      </c>
      <c r="W84" s="34">
        <v>44500</v>
      </c>
      <c r="X84" s="33">
        <v>49500</v>
      </c>
      <c r="Y84" s="21">
        <f>(5250*Product_Catalog!D84)</f>
        <v>68250</v>
      </c>
      <c r="Z84" s="34">
        <v>48500</v>
      </c>
      <c r="AA84" s="21">
        <f>(8400*Product_Catalog!D84)</f>
        <v>109200</v>
      </c>
      <c r="AB84" s="34">
        <v>40500</v>
      </c>
      <c r="AC84" s="34">
        <v>41500</v>
      </c>
      <c r="AD84" s="34">
        <v>55700</v>
      </c>
      <c r="AE84" s="34" t="str">
        <f>"Jakarta + Real Cost"</f>
        <v>Jakarta + Real Cost</v>
      </c>
      <c r="AF84" s="34">
        <v>40500</v>
      </c>
    </row>
    <row r="85" spans="1:32" ht="15" customHeight="1" x14ac:dyDescent="0.25">
      <c r="A85" s="6">
        <v>83</v>
      </c>
      <c r="B85" s="27" t="str">
        <f>VLOOKUP(Tbl_Price_List[[#This Row],[Product_Name]],Tbl_Prod_Catalog[[#This Row],[Product_Name]:[Class_Type]],8,0)</f>
        <v>Electric Guitar</v>
      </c>
      <c r="C85" s="34" t="s">
        <v>330</v>
      </c>
      <c r="D85" s="34">
        <v>182000</v>
      </c>
      <c r="E85" s="21">
        <f>(7350*Product_Catalog!D85)</f>
        <v>117600</v>
      </c>
      <c r="F85" s="34">
        <v>38000</v>
      </c>
      <c r="G85" s="34">
        <v>36300</v>
      </c>
      <c r="H85" s="33">
        <v>49500</v>
      </c>
      <c r="I85" s="21">
        <f>(4725*Product_Catalog!D85)</f>
        <v>75600</v>
      </c>
      <c r="J85" s="34">
        <v>49500</v>
      </c>
      <c r="K85" s="34">
        <v>29000</v>
      </c>
      <c r="L85" s="34">
        <v>39000</v>
      </c>
      <c r="M85" s="34">
        <v>46000</v>
      </c>
      <c r="N85" s="34">
        <v>85500</v>
      </c>
      <c r="O85" s="34">
        <v>48500</v>
      </c>
      <c r="P85" s="34">
        <v>40500</v>
      </c>
      <c r="Q85" s="34">
        <v>54600</v>
      </c>
      <c r="R85" s="34">
        <v>58500</v>
      </c>
      <c r="S85" s="34">
        <v>54600</v>
      </c>
      <c r="T85" s="34">
        <v>54600</v>
      </c>
      <c r="U85" s="34">
        <v>46000</v>
      </c>
      <c r="V85" s="21">
        <f>(12000*Product_Catalog!D85)</f>
        <v>192000</v>
      </c>
      <c r="W85" s="34">
        <v>44500</v>
      </c>
      <c r="X85" s="33">
        <v>49500</v>
      </c>
      <c r="Y85" s="21">
        <f>(5250*Product_Catalog!D85)</f>
        <v>84000</v>
      </c>
      <c r="Z85" s="34">
        <v>48500</v>
      </c>
      <c r="AA85" s="21">
        <f>(8400*Product_Catalog!D85)</f>
        <v>134400</v>
      </c>
      <c r="AB85" s="34">
        <v>40500</v>
      </c>
      <c r="AC85" s="34">
        <v>41500</v>
      </c>
      <c r="AD85" s="34">
        <v>55700</v>
      </c>
      <c r="AE85" s="34" t="str">
        <f>"Jakarta + Real Cost"</f>
        <v>Jakarta + Real Cost</v>
      </c>
      <c r="AF85" s="34">
        <v>40500</v>
      </c>
    </row>
    <row r="86" spans="1:32" ht="15" customHeight="1" x14ac:dyDescent="0.25">
      <c r="A86" s="6">
        <v>84</v>
      </c>
      <c r="B86" s="27" t="str">
        <f>VLOOKUP(Tbl_Price_List[[#This Row],[Product_Name]],Tbl_Prod_Catalog[[#This Row],[Product_Name]:[Class_Type]],8,0)</f>
        <v>Electric Guitar</v>
      </c>
      <c r="C86" s="34" t="s">
        <v>331</v>
      </c>
      <c r="D86" s="34">
        <v>182000</v>
      </c>
      <c r="E86" s="21">
        <f>(7350*Product_Catalog!D86)</f>
        <v>132300</v>
      </c>
      <c r="F86" s="34">
        <v>38000</v>
      </c>
      <c r="G86" s="34">
        <v>36300</v>
      </c>
      <c r="H86" s="33">
        <v>49500</v>
      </c>
      <c r="I86" s="21">
        <f>(4725*Product_Catalog!D86)</f>
        <v>85050</v>
      </c>
      <c r="J86" s="34">
        <v>49500</v>
      </c>
      <c r="K86" s="34">
        <v>29000</v>
      </c>
      <c r="L86" s="34">
        <v>39000</v>
      </c>
      <c r="M86" s="34">
        <v>46000</v>
      </c>
      <c r="N86" s="34">
        <v>85500</v>
      </c>
      <c r="O86" s="34">
        <v>48500</v>
      </c>
      <c r="P86" s="34">
        <v>40500</v>
      </c>
      <c r="Q86" s="34">
        <v>54600</v>
      </c>
      <c r="R86" s="34">
        <v>58500</v>
      </c>
      <c r="S86" s="34">
        <v>54600</v>
      </c>
      <c r="T86" s="34">
        <v>54600</v>
      </c>
      <c r="U86" s="34">
        <v>46000</v>
      </c>
      <c r="V86" s="21">
        <f>(12000*Product_Catalog!D86)</f>
        <v>216000</v>
      </c>
      <c r="W86" s="34">
        <v>44500</v>
      </c>
      <c r="X86" s="33">
        <v>49500</v>
      </c>
      <c r="Y86" s="21">
        <f>(5250*Product_Catalog!D86)</f>
        <v>94500</v>
      </c>
      <c r="Z86" s="34">
        <v>48500</v>
      </c>
      <c r="AA86" s="21">
        <f>(8400*Product_Catalog!D86)</f>
        <v>151200</v>
      </c>
      <c r="AB86" s="34">
        <v>40500</v>
      </c>
      <c r="AC86" s="34">
        <v>41500</v>
      </c>
      <c r="AD86" s="34">
        <v>55700</v>
      </c>
      <c r="AE86" s="34" t="str">
        <f>"Jakarta + Real Cost"</f>
        <v>Jakarta + Real Cost</v>
      </c>
      <c r="AF86" s="34">
        <v>40500</v>
      </c>
    </row>
    <row r="87" spans="1:32" ht="15" customHeight="1" x14ac:dyDescent="0.25">
      <c r="A87" s="6">
        <v>85</v>
      </c>
      <c r="B87" s="27" t="str">
        <f>VLOOKUP(Tbl_Price_List[[#This Row],[Product_Name]],Tbl_Prod_Catalog[[#This Row],[Product_Name]:[Class_Type]],8,0)</f>
        <v>Guitar</v>
      </c>
      <c r="C87" s="34" t="s">
        <v>332</v>
      </c>
      <c r="D87" s="33">
        <v>198700</v>
      </c>
      <c r="E87" s="21">
        <f>(7350*Product_Catalog!D87)</f>
        <v>242550</v>
      </c>
      <c r="F87" s="33">
        <v>114000</v>
      </c>
      <c r="G87" s="33">
        <v>49500</v>
      </c>
      <c r="H87" s="33">
        <v>142000</v>
      </c>
      <c r="I87" s="21">
        <f>(4725*Product_Catalog!D87)</f>
        <v>155925</v>
      </c>
      <c r="J87" s="33">
        <v>142200</v>
      </c>
      <c r="K87" s="33">
        <v>32700</v>
      </c>
      <c r="L87" s="33">
        <v>58500</v>
      </c>
      <c r="M87" s="33">
        <v>137500</v>
      </c>
      <c r="N87" s="33">
        <v>131000</v>
      </c>
      <c r="O87" s="33">
        <v>94600</v>
      </c>
      <c r="P87" s="33">
        <v>60500</v>
      </c>
      <c r="Q87" s="33">
        <v>161500</v>
      </c>
      <c r="R87" s="33">
        <v>121500</v>
      </c>
      <c r="S87" s="33">
        <v>161500</v>
      </c>
      <c r="T87" s="33">
        <v>161500</v>
      </c>
      <c r="U87" s="33">
        <v>133000</v>
      </c>
      <c r="V87" s="21">
        <f>(12000*Product_Catalog!D87)</f>
        <v>396000</v>
      </c>
      <c r="W87" s="33">
        <v>125500</v>
      </c>
      <c r="X87" s="33">
        <v>142000</v>
      </c>
      <c r="Y87" s="21">
        <f>(5250*Product_Catalog!D87)</f>
        <v>173250</v>
      </c>
      <c r="Z87" s="33">
        <v>94600</v>
      </c>
      <c r="AA87" s="21">
        <f>(8400*Product_Catalog!D87)</f>
        <v>277200</v>
      </c>
      <c r="AB87" s="33">
        <v>60500</v>
      </c>
      <c r="AC87" s="33">
        <v>63500</v>
      </c>
      <c r="AD87" s="33">
        <v>77000</v>
      </c>
      <c r="AE87" s="34" t="str">
        <f>"Jakarta + Real Cost"</f>
        <v>Jakarta + Real Cost</v>
      </c>
      <c r="AF87" s="33">
        <v>60500</v>
      </c>
    </row>
    <row r="88" spans="1:32" ht="15" customHeight="1" x14ac:dyDescent="0.25">
      <c r="A88" s="6">
        <v>86</v>
      </c>
      <c r="B88" s="27" t="str">
        <f>VLOOKUP(Tbl_Price_List[[#This Row],[Product_Name]],Tbl_Prod_Catalog[[#This Row],[Product_Name]:[Class_Type]],8,0)</f>
        <v>Guitar</v>
      </c>
      <c r="C88" s="34" t="s">
        <v>333</v>
      </c>
      <c r="D88" s="33">
        <v>198700</v>
      </c>
      <c r="E88" s="21">
        <f>(7350*Product_Catalog!D88)</f>
        <v>132300</v>
      </c>
      <c r="F88" s="33">
        <v>114000</v>
      </c>
      <c r="G88" s="33">
        <v>49500</v>
      </c>
      <c r="H88" s="33">
        <v>142000</v>
      </c>
      <c r="I88" s="21">
        <f>(4725*Product_Catalog!D88)</f>
        <v>85050</v>
      </c>
      <c r="J88" s="33">
        <v>142200</v>
      </c>
      <c r="K88" s="33">
        <v>32700</v>
      </c>
      <c r="L88" s="33">
        <v>58500</v>
      </c>
      <c r="M88" s="33">
        <v>137500</v>
      </c>
      <c r="N88" s="33">
        <v>131000</v>
      </c>
      <c r="O88" s="33">
        <v>94600</v>
      </c>
      <c r="P88" s="33">
        <v>60500</v>
      </c>
      <c r="Q88" s="33">
        <v>161500</v>
      </c>
      <c r="R88" s="33">
        <v>121500</v>
      </c>
      <c r="S88" s="33">
        <v>161500</v>
      </c>
      <c r="T88" s="33">
        <v>161500</v>
      </c>
      <c r="U88" s="33">
        <v>133000</v>
      </c>
      <c r="V88" s="21">
        <f>(12000*Product_Catalog!D88)</f>
        <v>216000</v>
      </c>
      <c r="W88" s="33">
        <v>125500</v>
      </c>
      <c r="X88" s="33">
        <v>142000</v>
      </c>
      <c r="Y88" s="21">
        <f>(5250*Product_Catalog!D88)</f>
        <v>94500</v>
      </c>
      <c r="Z88" s="33">
        <v>94600</v>
      </c>
      <c r="AA88" s="21">
        <f>(8400*Product_Catalog!D88)</f>
        <v>151200</v>
      </c>
      <c r="AB88" s="33">
        <v>60500</v>
      </c>
      <c r="AC88" s="33">
        <v>63500</v>
      </c>
      <c r="AD88" s="33">
        <v>77000</v>
      </c>
      <c r="AE88" s="34" t="str">
        <f>"Jakarta + Real Cost"</f>
        <v>Jakarta + Real Cost</v>
      </c>
      <c r="AF88" s="33">
        <v>60500</v>
      </c>
    </row>
    <row r="89" spans="1:32" ht="15" customHeight="1" x14ac:dyDescent="0.25">
      <c r="A89" s="6">
        <v>87</v>
      </c>
      <c r="B89" s="27" t="str">
        <f>VLOOKUP(Tbl_Price_List[[#This Row],[Product_Name]],Tbl_Prod_Catalog[[#This Row],[Product_Name]:[Class_Type]],8,0)</f>
        <v>Electric Guitar</v>
      </c>
      <c r="C89" s="34" t="s">
        <v>334</v>
      </c>
      <c r="D89" s="34">
        <v>182000</v>
      </c>
      <c r="E89" s="21">
        <f>(7350*Product_Catalog!D89)</f>
        <v>117600</v>
      </c>
      <c r="F89" s="34">
        <v>38000</v>
      </c>
      <c r="G89" s="34">
        <v>36300</v>
      </c>
      <c r="H89" s="33">
        <v>49500</v>
      </c>
      <c r="I89" s="21">
        <f>(4725*Product_Catalog!D89)</f>
        <v>75600</v>
      </c>
      <c r="J89" s="34">
        <v>49500</v>
      </c>
      <c r="K89" s="34">
        <v>29000</v>
      </c>
      <c r="L89" s="34">
        <v>39000</v>
      </c>
      <c r="M89" s="34">
        <v>46000</v>
      </c>
      <c r="N89" s="34">
        <v>85500</v>
      </c>
      <c r="O89" s="34">
        <v>48500</v>
      </c>
      <c r="P89" s="34">
        <v>40500</v>
      </c>
      <c r="Q89" s="34">
        <v>54600</v>
      </c>
      <c r="R89" s="34">
        <v>58500</v>
      </c>
      <c r="S89" s="34">
        <v>54600</v>
      </c>
      <c r="T89" s="34">
        <v>54600</v>
      </c>
      <c r="U89" s="34">
        <v>46000</v>
      </c>
      <c r="V89" s="21">
        <f>(12000*Product_Catalog!D89)</f>
        <v>192000</v>
      </c>
      <c r="W89" s="34">
        <v>44500</v>
      </c>
      <c r="X89" s="33">
        <v>49500</v>
      </c>
      <c r="Y89" s="21">
        <f>(5250*Product_Catalog!D89)</f>
        <v>84000</v>
      </c>
      <c r="Z89" s="34">
        <v>48500</v>
      </c>
      <c r="AA89" s="21">
        <f>(8400*Product_Catalog!D89)</f>
        <v>134400</v>
      </c>
      <c r="AB89" s="34">
        <v>40500</v>
      </c>
      <c r="AC89" s="34">
        <v>41500</v>
      </c>
      <c r="AD89" s="34">
        <v>55700</v>
      </c>
      <c r="AE89" s="34" t="str">
        <f>"Jakarta + Real Cost"</f>
        <v>Jakarta + Real Cost</v>
      </c>
      <c r="AF89" s="34">
        <v>40500</v>
      </c>
    </row>
    <row r="90" spans="1:32" ht="15" customHeight="1" x14ac:dyDescent="0.25">
      <c r="A90" s="6">
        <v>88</v>
      </c>
      <c r="B90" s="27" t="str">
        <f>VLOOKUP(Tbl_Price_List[[#This Row],[Product_Name]],Tbl_Prod_Catalog[[#This Row],[Product_Name]:[Class_Type]],8,0)</f>
        <v>Electric Guitar</v>
      </c>
      <c r="C90" s="34" t="s">
        <v>335</v>
      </c>
      <c r="D90" s="34">
        <v>182000</v>
      </c>
      <c r="E90" s="21">
        <f>(7350*Product_Catalog!D90)</f>
        <v>117600</v>
      </c>
      <c r="F90" s="34">
        <v>38000</v>
      </c>
      <c r="G90" s="34">
        <v>36300</v>
      </c>
      <c r="H90" s="33">
        <v>49500</v>
      </c>
      <c r="I90" s="21">
        <f>(4725*Product_Catalog!D90)</f>
        <v>75600</v>
      </c>
      <c r="J90" s="34">
        <v>49500</v>
      </c>
      <c r="K90" s="34">
        <v>29000</v>
      </c>
      <c r="L90" s="34">
        <v>39000</v>
      </c>
      <c r="M90" s="34">
        <v>46000</v>
      </c>
      <c r="N90" s="34">
        <v>85500</v>
      </c>
      <c r="O90" s="34">
        <v>48500</v>
      </c>
      <c r="P90" s="34">
        <v>40500</v>
      </c>
      <c r="Q90" s="34">
        <v>54600</v>
      </c>
      <c r="R90" s="34">
        <v>58500</v>
      </c>
      <c r="S90" s="34">
        <v>54600</v>
      </c>
      <c r="T90" s="34">
        <v>54600</v>
      </c>
      <c r="U90" s="34">
        <v>46000</v>
      </c>
      <c r="V90" s="21">
        <f>(12000*Product_Catalog!D90)</f>
        <v>192000</v>
      </c>
      <c r="W90" s="34">
        <v>44500</v>
      </c>
      <c r="X90" s="33">
        <v>49500</v>
      </c>
      <c r="Y90" s="21">
        <f>(5250*Product_Catalog!D90)</f>
        <v>84000</v>
      </c>
      <c r="Z90" s="34">
        <v>48500</v>
      </c>
      <c r="AA90" s="21">
        <f>(8400*Product_Catalog!D90)</f>
        <v>134400</v>
      </c>
      <c r="AB90" s="34">
        <v>40500</v>
      </c>
      <c r="AC90" s="34">
        <v>41500</v>
      </c>
      <c r="AD90" s="34">
        <v>55700</v>
      </c>
      <c r="AE90" s="34" t="str">
        <f>"Jakarta + Real Cost"</f>
        <v>Jakarta + Real Cost</v>
      </c>
      <c r="AF90" s="34">
        <v>40500</v>
      </c>
    </row>
    <row r="91" spans="1:32" ht="15" customHeight="1" x14ac:dyDescent="0.25">
      <c r="A91" s="6">
        <v>89</v>
      </c>
      <c r="B91" s="27" t="str">
        <f>VLOOKUP(Tbl_Price_List[[#This Row],[Product_Name]],Tbl_Prod_Catalog[[#This Row],[Product_Name]:[Class_Type]],8,0)</f>
        <v>Guitar</v>
      </c>
      <c r="C91" s="34" t="s">
        <v>336</v>
      </c>
      <c r="D91" s="33">
        <v>198700</v>
      </c>
      <c r="E91" s="21">
        <f>(7350*Product_Catalog!D91)</f>
        <v>161700</v>
      </c>
      <c r="F91" s="33">
        <v>114000</v>
      </c>
      <c r="G91" s="33">
        <v>49500</v>
      </c>
      <c r="H91" s="33">
        <v>142000</v>
      </c>
      <c r="I91" s="21">
        <f>(4725*Product_Catalog!D91)</f>
        <v>103950</v>
      </c>
      <c r="J91" s="33">
        <v>142200</v>
      </c>
      <c r="K91" s="33">
        <v>32700</v>
      </c>
      <c r="L91" s="33">
        <v>58500</v>
      </c>
      <c r="M91" s="33">
        <v>137500</v>
      </c>
      <c r="N91" s="33">
        <v>131000</v>
      </c>
      <c r="O91" s="33">
        <v>94600</v>
      </c>
      <c r="P91" s="33">
        <v>60500</v>
      </c>
      <c r="Q91" s="33">
        <v>161500</v>
      </c>
      <c r="R91" s="33">
        <v>121500</v>
      </c>
      <c r="S91" s="33">
        <v>161500</v>
      </c>
      <c r="T91" s="33">
        <v>161500</v>
      </c>
      <c r="U91" s="33">
        <v>133000</v>
      </c>
      <c r="V91" s="21">
        <f>(12000*Product_Catalog!D91)</f>
        <v>264000</v>
      </c>
      <c r="W91" s="33">
        <v>125500</v>
      </c>
      <c r="X91" s="33">
        <v>142000</v>
      </c>
      <c r="Y91" s="21">
        <f>(5250*Product_Catalog!D91)</f>
        <v>115500</v>
      </c>
      <c r="Z91" s="33">
        <v>94600</v>
      </c>
      <c r="AA91" s="21">
        <f>(8400*Product_Catalog!D91)</f>
        <v>184800</v>
      </c>
      <c r="AB91" s="33">
        <v>60500</v>
      </c>
      <c r="AC91" s="33">
        <v>63500</v>
      </c>
      <c r="AD91" s="33">
        <v>77000</v>
      </c>
      <c r="AE91" s="34" t="str">
        <f>"Jakarta + Real Cost"</f>
        <v>Jakarta + Real Cost</v>
      </c>
      <c r="AF91" s="33">
        <v>60500</v>
      </c>
    </row>
    <row r="92" spans="1:32" ht="15" customHeight="1" x14ac:dyDescent="0.25">
      <c r="A92" s="6">
        <v>90</v>
      </c>
      <c r="B92" s="27" t="str">
        <f>VLOOKUP(Tbl_Price_List[[#This Row],[Product_Name]],Tbl_Prod_Catalog[[#This Row],[Product_Name]:[Class_Type]],8,0)</f>
        <v>Guitar</v>
      </c>
      <c r="C92" s="34" t="s">
        <v>337</v>
      </c>
      <c r="D92" s="33">
        <v>198700</v>
      </c>
      <c r="E92" s="21">
        <f>(7350*Product_Catalog!D92)</f>
        <v>29400</v>
      </c>
      <c r="F92" s="33">
        <v>114000</v>
      </c>
      <c r="G92" s="33">
        <v>49500</v>
      </c>
      <c r="H92" s="33">
        <v>142000</v>
      </c>
      <c r="I92" s="21">
        <f>(4725*Product_Catalog!D92)</f>
        <v>18900</v>
      </c>
      <c r="J92" s="33">
        <v>142200</v>
      </c>
      <c r="K92" s="33">
        <v>32700</v>
      </c>
      <c r="L92" s="33">
        <v>58500</v>
      </c>
      <c r="M92" s="33">
        <v>137500</v>
      </c>
      <c r="N92" s="33">
        <v>131000</v>
      </c>
      <c r="O92" s="33">
        <v>94600</v>
      </c>
      <c r="P92" s="33">
        <v>60500</v>
      </c>
      <c r="Q92" s="33">
        <v>161500</v>
      </c>
      <c r="R92" s="33">
        <v>121500</v>
      </c>
      <c r="S92" s="33">
        <v>161500</v>
      </c>
      <c r="T92" s="33">
        <v>161500</v>
      </c>
      <c r="U92" s="33">
        <v>133000</v>
      </c>
      <c r="V92" s="21">
        <f>(12000*Product_Catalog!D92)</f>
        <v>48000</v>
      </c>
      <c r="W92" s="33">
        <v>125500</v>
      </c>
      <c r="X92" s="33">
        <v>142000</v>
      </c>
      <c r="Y92" s="21">
        <f>(5250*Product_Catalog!D92)</f>
        <v>21000</v>
      </c>
      <c r="Z92" s="33">
        <v>94600</v>
      </c>
      <c r="AA92" s="21">
        <f>(8400*Product_Catalog!D92)</f>
        <v>33600</v>
      </c>
      <c r="AB92" s="33">
        <v>60500</v>
      </c>
      <c r="AC92" s="33">
        <v>63500</v>
      </c>
      <c r="AD92" s="33">
        <v>77000</v>
      </c>
      <c r="AE92" s="34" t="str">
        <f>"Jakarta + Real Cost"</f>
        <v>Jakarta + Real Cost</v>
      </c>
      <c r="AF92" s="33">
        <v>60500</v>
      </c>
    </row>
    <row r="93" spans="1:32" ht="15" customHeight="1" x14ac:dyDescent="0.25">
      <c r="A93" s="6">
        <v>91</v>
      </c>
      <c r="B93" s="27" t="str">
        <f>VLOOKUP(Tbl_Price_List[[#This Row],[Product_Name]],Tbl_Prod_Catalog[[#This Row],[Product_Name]:[Class_Type]],8,0)</f>
        <v>Guitar</v>
      </c>
      <c r="C93" s="34" t="s">
        <v>338</v>
      </c>
      <c r="D93" s="33">
        <v>198700</v>
      </c>
      <c r="E93" s="21">
        <f>(7350*Product_Catalog!D93)</f>
        <v>22050</v>
      </c>
      <c r="F93" s="33">
        <v>114000</v>
      </c>
      <c r="G93" s="33">
        <v>49500</v>
      </c>
      <c r="H93" s="33">
        <v>142000</v>
      </c>
      <c r="I93" s="21">
        <f>(4725*Product_Catalog!D93)</f>
        <v>14175</v>
      </c>
      <c r="J93" s="33">
        <v>142200</v>
      </c>
      <c r="K93" s="33">
        <v>32700</v>
      </c>
      <c r="L93" s="33">
        <v>58500</v>
      </c>
      <c r="M93" s="33">
        <v>137500</v>
      </c>
      <c r="N93" s="33">
        <v>131000</v>
      </c>
      <c r="O93" s="33">
        <v>94600</v>
      </c>
      <c r="P93" s="33">
        <v>60500</v>
      </c>
      <c r="Q93" s="33">
        <v>161500</v>
      </c>
      <c r="R93" s="33">
        <v>121500</v>
      </c>
      <c r="S93" s="33">
        <v>161500</v>
      </c>
      <c r="T93" s="33">
        <v>161500</v>
      </c>
      <c r="U93" s="33">
        <v>133000</v>
      </c>
      <c r="V93" s="21">
        <f>(12000*Product_Catalog!D93)</f>
        <v>36000</v>
      </c>
      <c r="W93" s="33">
        <v>125500</v>
      </c>
      <c r="X93" s="33">
        <v>142000</v>
      </c>
      <c r="Y93" s="21">
        <f>(5250*Product_Catalog!D93)</f>
        <v>15750</v>
      </c>
      <c r="Z93" s="33">
        <v>94600</v>
      </c>
      <c r="AA93" s="21">
        <f>(8400*Product_Catalog!D93)</f>
        <v>25200</v>
      </c>
      <c r="AB93" s="33">
        <v>60500</v>
      </c>
      <c r="AC93" s="33">
        <v>63500</v>
      </c>
      <c r="AD93" s="33">
        <v>77000</v>
      </c>
      <c r="AE93" s="34" t="str">
        <f>"Jakarta + Real Cost"</f>
        <v>Jakarta + Real Cost</v>
      </c>
      <c r="AF93" s="33">
        <v>60500</v>
      </c>
    </row>
    <row r="94" spans="1:32" ht="15" customHeight="1" x14ac:dyDescent="0.25">
      <c r="A94" s="6">
        <v>92</v>
      </c>
      <c r="B94" s="27" t="str">
        <f>VLOOKUP(Tbl_Price_List[[#This Row],[Product_Name]],Tbl_Prod_Catalog[[#This Row],[Product_Name]:[Class_Type]],8,0)</f>
        <v>Guitar</v>
      </c>
      <c r="C94" s="34" t="s">
        <v>339</v>
      </c>
      <c r="D94" s="33">
        <v>198700</v>
      </c>
      <c r="E94" s="21">
        <f>(7350*Product_Catalog!D94)</f>
        <v>418950</v>
      </c>
      <c r="F94" s="33">
        <v>114000</v>
      </c>
      <c r="G94" s="33">
        <v>49500</v>
      </c>
      <c r="H94" s="33">
        <v>142000</v>
      </c>
      <c r="I94" s="21">
        <f>(4725*Product_Catalog!D94)</f>
        <v>269325</v>
      </c>
      <c r="J94" s="33">
        <v>142200</v>
      </c>
      <c r="K94" s="33">
        <v>32700</v>
      </c>
      <c r="L94" s="33">
        <v>58500</v>
      </c>
      <c r="M94" s="33">
        <v>137500</v>
      </c>
      <c r="N94" s="33">
        <v>131000</v>
      </c>
      <c r="O94" s="33">
        <v>94600</v>
      </c>
      <c r="P94" s="33">
        <v>60500</v>
      </c>
      <c r="Q94" s="33">
        <v>161500</v>
      </c>
      <c r="R94" s="33">
        <v>121500</v>
      </c>
      <c r="S94" s="33">
        <v>161500</v>
      </c>
      <c r="T94" s="33">
        <v>161500</v>
      </c>
      <c r="U94" s="33">
        <v>133000</v>
      </c>
      <c r="V94" s="21">
        <f>(12000*Product_Catalog!D94)</f>
        <v>684000</v>
      </c>
      <c r="W94" s="33">
        <v>125500</v>
      </c>
      <c r="X94" s="33">
        <v>142000</v>
      </c>
      <c r="Y94" s="21">
        <f>(5250*Product_Catalog!D94)</f>
        <v>299250</v>
      </c>
      <c r="Z94" s="33">
        <v>94600</v>
      </c>
      <c r="AA94" s="21">
        <f>(8400*Product_Catalog!D94)</f>
        <v>478800</v>
      </c>
      <c r="AB94" s="33">
        <v>60500</v>
      </c>
      <c r="AC94" s="33">
        <v>63500</v>
      </c>
      <c r="AD94" s="33">
        <v>77000</v>
      </c>
      <c r="AE94" s="34" t="str">
        <f>"Jakarta + Real Cost"</f>
        <v>Jakarta + Real Cost</v>
      </c>
      <c r="AF94" s="33">
        <v>60500</v>
      </c>
    </row>
    <row r="95" spans="1:32" ht="15" customHeight="1" x14ac:dyDescent="0.25">
      <c r="A95" s="6">
        <v>93</v>
      </c>
      <c r="B95" s="27" t="str">
        <f>VLOOKUP(Tbl_Price_List[[#This Row],[Product_Name]],Tbl_Prod_Catalog[[#This Row],[Product_Name]:[Class_Type]],8,0)</f>
        <v>Guitar</v>
      </c>
      <c r="C95" s="34" t="s">
        <v>340</v>
      </c>
      <c r="D95" s="33">
        <v>198700</v>
      </c>
      <c r="E95" s="21">
        <f>(7350*Product_Catalog!D95)</f>
        <v>323400</v>
      </c>
      <c r="F95" s="33">
        <v>114000</v>
      </c>
      <c r="G95" s="33">
        <v>49500</v>
      </c>
      <c r="H95" s="33">
        <v>142000</v>
      </c>
      <c r="I95" s="21">
        <f>(4725*Product_Catalog!D95)</f>
        <v>207900</v>
      </c>
      <c r="J95" s="33">
        <v>142200</v>
      </c>
      <c r="K95" s="33">
        <v>32700</v>
      </c>
      <c r="L95" s="33">
        <v>58500</v>
      </c>
      <c r="M95" s="33">
        <v>137500</v>
      </c>
      <c r="N95" s="33">
        <v>131000</v>
      </c>
      <c r="O95" s="33">
        <v>94600</v>
      </c>
      <c r="P95" s="33">
        <v>60500</v>
      </c>
      <c r="Q95" s="33">
        <v>161500</v>
      </c>
      <c r="R95" s="33">
        <v>121500</v>
      </c>
      <c r="S95" s="33">
        <v>161500</v>
      </c>
      <c r="T95" s="33">
        <v>161500</v>
      </c>
      <c r="U95" s="33">
        <v>133000</v>
      </c>
      <c r="V95" s="21">
        <f>(12000*Product_Catalog!D95)</f>
        <v>528000</v>
      </c>
      <c r="W95" s="33">
        <v>125500</v>
      </c>
      <c r="X95" s="33">
        <v>142000</v>
      </c>
      <c r="Y95" s="21">
        <f>(5250*Product_Catalog!D95)</f>
        <v>231000</v>
      </c>
      <c r="Z95" s="33">
        <v>94600</v>
      </c>
      <c r="AA95" s="21">
        <f>(8400*Product_Catalog!D95)</f>
        <v>369600</v>
      </c>
      <c r="AB95" s="33">
        <v>60500</v>
      </c>
      <c r="AC95" s="33">
        <v>63500</v>
      </c>
      <c r="AD95" s="33">
        <v>77000</v>
      </c>
      <c r="AE95" s="34" t="str">
        <f>"Jakarta + Real Cost"</f>
        <v>Jakarta + Real Cost</v>
      </c>
      <c r="AF95" s="33">
        <v>60500</v>
      </c>
    </row>
    <row r="96" spans="1:32" ht="15" customHeight="1" x14ac:dyDescent="0.25">
      <c r="A96" s="6">
        <v>94</v>
      </c>
      <c r="B96" s="27" t="str">
        <f>VLOOKUP(Tbl_Price_List[[#This Row],[Product_Name]],Tbl_Prod_Catalog[[#This Row],[Product_Name]:[Class_Type]],8,0)</f>
        <v>Electric Guitar</v>
      </c>
      <c r="C96" s="34" t="s">
        <v>341</v>
      </c>
      <c r="D96" s="34">
        <v>182000</v>
      </c>
      <c r="E96" s="21">
        <f>(7350*Product_Catalog!D96)</f>
        <v>44100</v>
      </c>
      <c r="F96" s="34">
        <v>38000</v>
      </c>
      <c r="G96" s="34">
        <v>36300</v>
      </c>
      <c r="H96" s="33">
        <v>49500</v>
      </c>
      <c r="I96" s="21">
        <f>(4725*Product_Catalog!D96)</f>
        <v>28350</v>
      </c>
      <c r="J96" s="34">
        <v>49500</v>
      </c>
      <c r="K96" s="34">
        <v>29000</v>
      </c>
      <c r="L96" s="34">
        <v>39000</v>
      </c>
      <c r="M96" s="34">
        <v>46000</v>
      </c>
      <c r="N96" s="34">
        <v>85500</v>
      </c>
      <c r="O96" s="34">
        <v>48500</v>
      </c>
      <c r="P96" s="34">
        <v>40500</v>
      </c>
      <c r="Q96" s="34">
        <v>54600</v>
      </c>
      <c r="R96" s="34">
        <v>58500</v>
      </c>
      <c r="S96" s="34">
        <v>54600</v>
      </c>
      <c r="T96" s="34">
        <v>54600</v>
      </c>
      <c r="U96" s="34">
        <v>46000</v>
      </c>
      <c r="V96" s="21">
        <f>(12000*Product_Catalog!D96)</f>
        <v>72000</v>
      </c>
      <c r="W96" s="34">
        <v>44500</v>
      </c>
      <c r="X96" s="33">
        <v>49500</v>
      </c>
      <c r="Y96" s="21">
        <f>(5250*Product_Catalog!D96)</f>
        <v>31500</v>
      </c>
      <c r="Z96" s="34">
        <v>48500</v>
      </c>
      <c r="AA96" s="21">
        <f>(8400*Product_Catalog!D96)</f>
        <v>50400</v>
      </c>
      <c r="AB96" s="34">
        <v>40500</v>
      </c>
      <c r="AC96" s="34">
        <v>41500</v>
      </c>
      <c r="AD96" s="34">
        <v>55700</v>
      </c>
      <c r="AE96" s="34" t="str">
        <f>"Jakarta + Real Cost"</f>
        <v>Jakarta + Real Cost</v>
      </c>
      <c r="AF96" s="34">
        <v>40500</v>
      </c>
    </row>
    <row r="97" spans="1:32" ht="15" customHeight="1" x14ac:dyDescent="0.25">
      <c r="A97" s="6">
        <v>95</v>
      </c>
      <c r="B97" s="27" t="str">
        <f>VLOOKUP(Tbl_Price_List[[#This Row],[Product_Name]],Tbl_Prod_Catalog[[#This Row],[Product_Name]:[Class_Type]],8,0)</f>
        <v>Guitar</v>
      </c>
      <c r="C97" s="34" t="s">
        <v>351</v>
      </c>
      <c r="D97" s="33">
        <v>198700</v>
      </c>
      <c r="E97" s="21">
        <f>(7350*Product_Catalog!D97)</f>
        <v>0</v>
      </c>
      <c r="F97" s="33">
        <v>114000</v>
      </c>
      <c r="G97" s="33">
        <v>49500</v>
      </c>
      <c r="H97" s="33">
        <v>142000</v>
      </c>
      <c r="I97" s="21">
        <f>(4725*Product_Catalog!D97)</f>
        <v>0</v>
      </c>
      <c r="J97" s="33">
        <v>142200</v>
      </c>
      <c r="K97" s="33">
        <v>32700</v>
      </c>
      <c r="L97" s="33">
        <v>58500</v>
      </c>
      <c r="M97" s="33">
        <v>137500</v>
      </c>
      <c r="N97" s="33">
        <v>131000</v>
      </c>
      <c r="O97" s="33">
        <v>94600</v>
      </c>
      <c r="P97" s="33">
        <v>60500</v>
      </c>
      <c r="Q97" s="33">
        <v>161500</v>
      </c>
      <c r="R97" s="33">
        <v>121500</v>
      </c>
      <c r="S97" s="33">
        <v>161500</v>
      </c>
      <c r="T97" s="33">
        <v>161500</v>
      </c>
      <c r="U97" s="33">
        <v>133000</v>
      </c>
      <c r="V97" s="21">
        <f>(12000*Product_Catalog!D97)</f>
        <v>0</v>
      </c>
      <c r="W97" s="33">
        <v>125500</v>
      </c>
      <c r="X97" s="33">
        <v>142000</v>
      </c>
      <c r="Y97" s="21">
        <f>(5250*Product_Catalog!D97)</f>
        <v>0</v>
      </c>
      <c r="Z97" s="33">
        <v>94600</v>
      </c>
      <c r="AA97" s="21">
        <f>(8400*Product_Catalog!D97)</f>
        <v>0</v>
      </c>
      <c r="AB97" s="33">
        <v>60500</v>
      </c>
      <c r="AC97" s="33">
        <v>63500</v>
      </c>
      <c r="AD97" s="33">
        <v>77000</v>
      </c>
      <c r="AE97" s="34" t="str">
        <f>"Jakarta + Real Cost"</f>
        <v>Jakarta + Real Cost</v>
      </c>
      <c r="AF97" s="33">
        <v>60500</v>
      </c>
    </row>
    <row r="98" spans="1:32" ht="15" customHeight="1" x14ac:dyDescent="0.25">
      <c r="A98" s="6">
        <v>96</v>
      </c>
      <c r="B98" s="27" t="str">
        <f>VLOOKUP(Tbl_Price_List[[#This Row],[Product_Name]],Tbl_Prod_Catalog[[#This Row],[Product_Name]:[Class_Type]],8,0)</f>
        <v>Guitar</v>
      </c>
      <c r="C98" s="34" t="s">
        <v>352</v>
      </c>
      <c r="D98" s="33">
        <v>198700</v>
      </c>
      <c r="E98" s="21">
        <f>(7350*Product_Catalog!D98)</f>
        <v>0</v>
      </c>
      <c r="F98" s="33">
        <v>114000</v>
      </c>
      <c r="G98" s="33">
        <v>49500</v>
      </c>
      <c r="H98" s="33">
        <v>142000</v>
      </c>
      <c r="I98" s="21">
        <f>(4725*Product_Catalog!D98)</f>
        <v>0</v>
      </c>
      <c r="J98" s="33">
        <v>142200</v>
      </c>
      <c r="K98" s="33">
        <v>32700</v>
      </c>
      <c r="L98" s="33">
        <v>58500</v>
      </c>
      <c r="M98" s="33">
        <v>137500</v>
      </c>
      <c r="N98" s="33">
        <v>131000</v>
      </c>
      <c r="O98" s="33">
        <v>94600</v>
      </c>
      <c r="P98" s="33">
        <v>60500</v>
      </c>
      <c r="Q98" s="33">
        <v>161500</v>
      </c>
      <c r="R98" s="33">
        <v>121500</v>
      </c>
      <c r="S98" s="33">
        <v>161500</v>
      </c>
      <c r="T98" s="33">
        <v>161500</v>
      </c>
      <c r="U98" s="33">
        <v>133000</v>
      </c>
      <c r="V98" s="21">
        <f>(12000*Product_Catalog!D98)</f>
        <v>0</v>
      </c>
      <c r="W98" s="33">
        <v>125500</v>
      </c>
      <c r="X98" s="33">
        <v>142000</v>
      </c>
      <c r="Y98" s="21">
        <f>(5250*Product_Catalog!D98)</f>
        <v>0</v>
      </c>
      <c r="Z98" s="33">
        <v>94600</v>
      </c>
      <c r="AA98" s="21">
        <f>(8400*Product_Catalog!D98)</f>
        <v>0</v>
      </c>
      <c r="AB98" s="33">
        <v>60500</v>
      </c>
      <c r="AC98" s="33">
        <v>63500</v>
      </c>
      <c r="AD98" s="33">
        <v>77000</v>
      </c>
      <c r="AE98" s="34" t="str">
        <f>"Jakarta + Real Cost"</f>
        <v>Jakarta + Real Cost</v>
      </c>
      <c r="AF98" s="33">
        <v>60500</v>
      </c>
    </row>
    <row r="99" spans="1:32" ht="15" customHeight="1" x14ac:dyDescent="0.25">
      <c r="A99" s="6">
        <v>97</v>
      </c>
      <c r="B99" s="27" t="str">
        <f>VLOOKUP(Tbl_Price_List[[#This Row],[Product_Name]],Tbl_Prod_Catalog[[#This Row],[Product_Name]:[Class_Type]],8,0)</f>
        <v>Guitar</v>
      </c>
      <c r="C99" s="34" t="s">
        <v>344</v>
      </c>
      <c r="D99" s="33">
        <v>198700</v>
      </c>
      <c r="E99" s="21">
        <f>(7350*Product_Catalog!D99)</f>
        <v>132300</v>
      </c>
      <c r="F99" s="33">
        <v>114000</v>
      </c>
      <c r="G99" s="33">
        <v>49500</v>
      </c>
      <c r="H99" s="33">
        <v>142000</v>
      </c>
      <c r="I99" s="21">
        <f>(4725*Product_Catalog!D99)</f>
        <v>85050</v>
      </c>
      <c r="J99" s="33">
        <v>142200</v>
      </c>
      <c r="K99" s="33">
        <v>32700</v>
      </c>
      <c r="L99" s="33">
        <v>58500</v>
      </c>
      <c r="M99" s="33">
        <v>137500</v>
      </c>
      <c r="N99" s="33">
        <v>131000</v>
      </c>
      <c r="O99" s="33">
        <v>94600</v>
      </c>
      <c r="P99" s="33">
        <v>60500</v>
      </c>
      <c r="Q99" s="33">
        <v>161500</v>
      </c>
      <c r="R99" s="33">
        <v>121500</v>
      </c>
      <c r="S99" s="33">
        <v>161500</v>
      </c>
      <c r="T99" s="33">
        <v>161500</v>
      </c>
      <c r="U99" s="33">
        <v>133000</v>
      </c>
      <c r="V99" s="21">
        <f>(12000*Product_Catalog!D99)</f>
        <v>216000</v>
      </c>
      <c r="W99" s="33">
        <v>125500</v>
      </c>
      <c r="X99" s="33">
        <v>142000</v>
      </c>
      <c r="Y99" s="21">
        <f>(5250*Product_Catalog!D99)</f>
        <v>94500</v>
      </c>
      <c r="Z99" s="33">
        <v>94600</v>
      </c>
      <c r="AA99" s="21">
        <f>(8400*Product_Catalog!D99)</f>
        <v>151200</v>
      </c>
      <c r="AB99" s="33">
        <v>60500</v>
      </c>
      <c r="AC99" s="33">
        <v>63500</v>
      </c>
      <c r="AD99" s="33">
        <v>77000</v>
      </c>
      <c r="AE99" s="34" t="str">
        <f>"Jakarta + Real Cost"</f>
        <v>Jakarta + Real Cost</v>
      </c>
      <c r="AF99" s="33">
        <v>60500</v>
      </c>
    </row>
    <row r="100" spans="1:32" ht="15" customHeight="1" x14ac:dyDescent="0.25">
      <c r="A100" s="6">
        <v>98</v>
      </c>
      <c r="B100" s="27" t="str">
        <f>VLOOKUP(Tbl_Price_List[[#This Row],[Product_Name]],Tbl_Prod_Catalog[[#This Row],[Product_Name]:[Class_Type]],8,0)</f>
        <v>PA, MProd, Brass, Inst.Part, Acc.</v>
      </c>
      <c r="C100" s="34" t="s">
        <v>345</v>
      </c>
      <c r="D100" s="21">
        <f>11050*Tbl_Prod_Catalog[[#This Row],[Weight (kg)]]</f>
        <v>110500</v>
      </c>
      <c r="E100" s="21">
        <f>(7350*Product_Catalog!D100)</f>
        <v>0</v>
      </c>
      <c r="F100" s="33">
        <f>5750*Tbl_Prod_Catalog[[#This Row],[Weight (kg)]]</f>
        <v>57500</v>
      </c>
      <c r="G100">
        <f>2500*Tbl_Prod_Catalog[[#This Row],[Weight (kg)]]</f>
        <v>25000</v>
      </c>
      <c r="H100">
        <f>8250*Tbl_Prod_Catalog[[#This Row],[Weight (kg)]]</f>
        <v>82500</v>
      </c>
      <c r="I100" s="21">
        <f>(4725*Product_Catalog!D100)</f>
        <v>0</v>
      </c>
      <c r="J100">
        <f>8250*Tbl_Prod_Catalog[[#This Row],[Weight (kg)]]</f>
        <v>82500</v>
      </c>
      <c r="K100">
        <f>2450*Tbl_Prod_Catalog[[#This Row],[Weight (kg)]]</f>
        <v>24500</v>
      </c>
      <c r="L100">
        <f>2600*Tbl_Prod_Catalog[[#This Row],[Weight (kg)]]</f>
        <v>26000</v>
      </c>
      <c r="M100">
        <f>6900*Tbl_Prod_Catalog[[#This Row],[Weight (kg)]]</f>
        <v>69000</v>
      </c>
      <c r="N100">
        <f>5600*Tbl_Prod_Catalog[[#This Row],[Weight (kg)]]</f>
        <v>56000</v>
      </c>
      <c r="O100">
        <f>3400*Tbl_Prod_Catalog[[#This Row],[Weight (kg)]]</f>
        <v>34000</v>
      </c>
      <c r="P100">
        <f>2800*Tbl_Prod_Catalog[[#This Row],[Weight (kg)]]</f>
        <v>28000</v>
      </c>
      <c r="Q100">
        <f>9400*Tbl_Prod_Catalog[[#This Row],[Weight (kg)]]</f>
        <v>94000</v>
      </c>
      <c r="R100">
        <f>5600*Tbl_Prod_Catalog[[#This Row],[Weight (kg)]]</f>
        <v>56000</v>
      </c>
      <c r="S100">
        <f>9400*Tbl_Prod_Catalog[[#This Row],[Weight (kg)]]</f>
        <v>94000</v>
      </c>
      <c r="T100">
        <f>9400*Tbl_Prod_Catalog[[#This Row],[Weight (kg)]]</f>
        <v>94000</v>
      </c>
      <c r="U100">
        <f>6900*Tbl_Prod_Catalog[[#This Row],[Weight (kg)]]</f>
        <v>69000</v>
      </c>
      <c r="V100" s="21">
        <f>(12000*Product_Catalog!D100)</f>
        <v>0</v>
      </c>
      <c r="W100">
        <f>6350*Tbl_Prod_Catalog[[#This Row],[Weight (kg)]]</f>
        <v>63500</v>
      </c>
      <c r="X100">
        <f>8250*Tbl_Prod_Catalog[[#This Row],[Weight (kg)]]</f>
        <v>82500</v>
      </c>
      <c r="Y100" s="21">
        <f>(5250*Product_Catalog!D100)</f>
        <v>0</v>
      </c>
      <c r="Z100">
        <f>3400*Tbl_Prod_Catalog[[#This Row],[Weight (kg)]]</f>
        <v>34000</v>
      </c>
      <c r="AA100" s="21">
        <f>(8400*Product_Catalog!D100)</f>
        <v>0</v>
      </c>
      <c r="AB100">
        <f>2800*Tbl_Prod_Catalog[[#This Row],[Weight (kg)]]</f>
        <v>28000</v>
      </c>
      <c r="AC100">
        <f>3000*Tbl_Prod_Catalog[[#This Row],[Weight (kg)]]</f>
        <v>30000</v>
      </c>
      <c r="AD100">
        <f>4350*Tbl_Prod_Catalog[[#This Row],[Weight (kg)]]</f>
        <v>43500</v>
      </c>
      <c r="AE100" s="34" t="str">
        <f>"Jakarta + Real Cost"</f>
        <v>Jakarta + Real Cost</v>
      </c>
      <c r="AF100">
        <f>2800*Tbl_Prod_Catalog[[#This Row],[Weight (kg)]]</f>
        <v>28000</v>
      </c>
    </row>
    <row r="101" spans="1:32" ht="15" customHeight="1" x14ac:dyDescent="0.25">
      <c r="A101" s="6">
        <v>99</v>
      </c>
      <c r="B101" s="27" t="str">
        <f>VLOOKUP(Tbl_Price_List[[#This Row],[Product_Name]],Tbl_Prod_Catalog[[#This Row],[Product_Name]:[Class_Type]],8,0)</f>
        <v>Electric Guitar</v>
      </c>
      <c r="C101" s="34" t="s">
        <v>346</v>
      </c>
      <c r="D101" s="34">
        <v>182000</v>
      </c>
      <c r="E101" s="21">
        <f>(7350*Product_Catalog!D101)</f>
        <v>88200</v>
      </c>
      <c r="F101" s="34">
        <v>38000</v>
      </c>
      <c r="G101" s="34">
        <v>36300</v>
      </c>
      <c r="H101" s="33">
        <v>49500</v>
      </c>
      <c r="I101" s="21">
        <f>(4725*Product_Catalog!D101)</f>
        <v>56700</v>
      </c>
      <c r="J101" s="34">
        <v>49500</v>
      </c>
      <c r="K101" s="34">
        <v>29000</v>
      </c>
      <c r="L101" s="34">
        <v>39000</v>
      </c>
      <c r="M101" s="34">
        <v>46000</v>
      </c>
      <c r="N101" s="34">
        <v>85500</v>
      </c>
      <c r="O101" s="34">
        <v>48500</v>
      </c>
      <c r="P101" s="34">
        <v>40500</v>
      </c>
      <c r="Q101" s="34">
        <v>54600</v>
      </c>
      <c r="R101" s="34">
        <v>58500</v>
      </c>
      <c r="S101" s="34">
        <v>54600</v>
      </c>
      <c r="T101" s="34">
        <v>54600</v>
      </c>
      <c r="U101" s="34">
        <v>46000</v>
      </c>
      <c r="V101" s="21">
        <f>(12000*Product_Catalog!D101)</f>
        <v>144000</v>
      </c>
      <c r="W101" s="34">
        <v>44500</v>
      </c>
      <c r="X101" s="33">
        <v>49500</v>
      </c>
      <c r="Y101" s="21">
        <f>(5250*Product_Catalog!D101)</f>
        <v>63000</v>
      </c>
      <c r="Z101" s="34">
        <v>48500</v>
      </c>
      <c r="AA101" s="21">
        <f>(8400*Product_Catalog!D101)</f>
        <v>100800</v>
      </c>
      <c r="AB101" s="34">
        <v>40500</v>
      </c>
      <c r="AC101" s="34">
        <v>41500</v>
      </c>
      <c r="AD101" s="34">
        <v>55700</v>
      </c>
      <c r="AE101" s="34" t="str">
        <f>"Jakarta + Real Cost"</f>
        <v>Jakarta + Real Cost</v>
      </c>
      <c r="AF101" s="34">
        <v>40500</v>
      </c>
    </row>
    <row r="102" spans="1:32" ht="15" customHeight="1" x14ac:dyDescent="0.25">
      <c r="A102" s="6">
        <v>100</v>
      </c>
      <c r="B102" s="27" t="str">
        <f>VLOOKUP(Tbl_Price_List[[#This Row],[Product_Name]],Tbl_Prod_Catalog[[#This Row],[Product_Name]:[Class_Type]],8,0)</f>
        <v>Electric Guitar</v>
      </c>
      <c r="C102" s="34" t="s">
        <v>347</v>
      </c>
      <c r="D102" s="34">
        <v>182000</v>
      </c>
      <c r="E102" s="21">
        <f>(7350*Product_Catalog!D102)</f>
        <v>110250</v>
      </c>
      <c r="F102" s="34">
        <v>38000</v>
      </c>
      <c r="G102" s="34">
        <v>36300</v>
      </c>
      <c r="H102" s="33">
        <v>49500</v>
      </c>
      <c r="I102" s="21">
        <f>(4725*Product_Catalog!D102)</f>
        <v>70875</v>
      </c>
      <c r="J102" s="34">
        <v>49500</v>
      </c>
      <c r="K102" s="34">
        <v>29000</v>
      </c>
      <c r="L102" s="34">
        <v>39000</v>
      </c>
      <c r="M102" s="34">
        <v>46000</v>
      </c>
      <c r="N102" s="34">
        <v>85500</v>
      </c>
      <c r="O102" s="34">
        <v>48500</v>
      </c>
      <c r="P102" s="34">
        <v>40500</v>
      </c>
      <c r="Q102" s="34">
        <v>54600</v>
      </c>
      <c r="R102" s="34">
        <v>58500</v>
      </c>
      <c r="S102" s="34">
        <v>54600</v>
      </c>
      <c r="T102" s="34">
        <v>54600</v>
      </c>
      <c r="U102" s="34">
        <v>46000</v>
      </c>
      <c r="V102" s="21">
        <f>(12000*Product_Catalog!D102)</f>
        <v>180000</v>
      </c>
      <c r="W102" s="34">
        <v>44500</v>
      </c>
      <c r="X102" s="33">
        <v>49500</v>
      </c>
      <c r="Y102" s="21">
        <f>(5250*Product_Catalog!D102)</f>
        <v>78750</v>
      </c>
      <c r="Z102" s="34">
        <v>48500</v>
      </c>
      <c r="AA102" s="21">
        <f>(8400*Product_Catalog!D102)</f>
        <v>126000</v>
      </c>
      <c r="AB102" s="34">
        <v>40500</v>
      </c>
      <c r="AC102" s="34">
        <v>41500</v>
      </c>
      <c r="AD102" s="34">
        <v>55700</v>
      </c>
      <c r="AE102" s="34" t="str">
        <f>"Jakarta + Real Cost"</f>
        <v>Jakarta + Real Cost</v>
      </c>
      <c r="AF102" s="34">
        <v>40500</v>
      </c>
    </row>
    <row r="103" spans="1:32" ht="15" customHeight="1" x14ac:dyDescent="0.25">
      <c r="A103" s="6">
        <v>101</v>
      </c>
      <c r="B103" s="27" t="str">
        <f>VLOOKUP(Tbl_Price_List[[#This Row],[Product_Name]],Tbl_Prod_Catalog[[#This Row],[Product_Name]:[Class_Type]],8,0)</f>
        <v>PA, MProd, Brass, Inst.Part, Acc.</v>
      </c>
      <c r="C103" s="34" t="s">
        <v>348</v>
      </c>
      <c r="D103" s="21">
        <f>11050*Tbl_Prod_Catalog[[#This Row],[Weight (kg)]]</f>
        <v>33150</v>
      </c>
      <c r="E103" s="21">
        <f>(7350*Product_Catalog!D103)</f>
        <v>0</v>
      </c>
      <c r="F103" s="33">
        <f>5750*Tbl_Prod_Catalog[[#This Row],[Weight (kg)]]</f>
        <v>17250</v>
      </c>
      <c r="G103">
        <f>2500*Tbl_Prod_Catalog[[#This Row],[Weight (kg)]]</f>
        <v>7500</v>
      </c>
      <c r="H103">
        <f>8250*Tbl_Prod_Catalog[[#This Row],[Weight (kg)]]</f>
        <v>24750</v>
      </c>
      <c r="I103" s="21">
        <f>(4725*Product_Catalog!D103)</f>
        <v>0</v>
      </c>
      <c r="J103">
        <f>8250*Tbl_Prod_Catalog[[#This Row],[Weight (kg)]]</f>
        <v>24750</v>
      </c>
      <c r="K103">
        <f>2450*Tbl_Prod_Catalog[[#This Row],[Weight (kg)]]</f>
        <v>7350</v>
      </c>
      <c r="L103">
        <f>2600*Tbl_Prod_Catalog[[#This Row],[Weight (kg)]]</f>
        <v>7800</v>
      </c>
      <c r="M103">
        <f>6900*Tbl_Prod_Catalog[[#This Row],[Weight (kg)]]</f>
        <v>20700</v>
      </c>
      <c r="N103">
        <f>5600*Tbl_Prod_Catalog[[#This Row],[Weight (kg)]]</f>
        <v>16800</v>
      </c>
      <c r="O103">
        <f>3400*Tbl_Prod_Catalog[[#This Row],[Weight (kg)]]</f>
        <v>10200</v>
      </c>
      <c r="P103">
        <f>2800*Tbl_Prod_Catalog[[#This Row],[Weight (kg)]]</f>
        <v>8400</v>
      </c>
      <c r="Q103">
        <f>9400*Tbl_Prod_Catalog[[#This Row],[Weight (kg)]]</f>
        <v>28200</v>
      </c>
      <c r="R103">
        <f>5600*Tbl_Prod_Catalog[[#This Row],[Weight (kg)]]</f>
        <v>16800</v>
      </c>
      <c r="S103">
        <f>9400*Tbl_Prod_Catalog[[#This Row],[Weight (kg)]]</f>
        <v>28200</v>
      </c>
      <c r="T103">
        <f>9400*Tbl_Prod_Catalog[[#This Row],[Weight (kg)]]</f>
        <v>28200</v>
      </c>
      <c r="U103">
        <f>6900*Tbl_Prod_Catalog[[#This Row],[Weight (kg)]]</f>
        <v>20700</v>
      </c>
      <c r="V103" s="21">
        <f>(12000*Product_Catalog!D103)</f>
        <v>0</v>
      </c>
      <c r="W103">
        <f>6350*Tbl_Prod_Catalog[[#This Row],[Weight (kg)]]</f>
        <v>19050</v>
      </c>
      <c r="X103">
        <f>8250*Tbl_Prod_Catalog[[#This Row],[Weight (kg)]]</f>
        <v>24750</v>
      </c>
      <c r="Y103" s="21">
        <f>(5250*Product_Catalog!D103)</f>
        <v>0</v>
      </c>
      <c r="Z103">
        <f>3400*Tbl_Prod_Catalog[[#This Row],[Weight (kg)]]</f>
        <v>10200</v>
      </c>
      <c r="AA103" s="21">
        <f>(8400*Product_Catalog!D103)</f>
        <v>0</v>
      </c>
      <c r="AB103">
        <f>2800*Tbl_Prod_Catalog[[#This Row],[Weight (kg)]]</f>
        <v>8400</v>
      </c>
      <c r="AC103">
        <f>3000*Tbl_Prod_Catalog[[#This Row],[Weight (kg)]]</f>
        <v>9000</v>
      </c>
      <c r="AD103">
        <f>4350*Tbl_Prod_Catalog[[#This Row],[Weight (kg)]]</f>
        <v>13050</v>
      </c>
      <c r="AE103" s="34" t="str">
        <f>"Jakarta + Real Cost"</f>
        <v>Jakarta + Real Cost</v>
      </c>
      <c r="AF103">
        <f>2800*Tbl_Prod_Catalog[[#This Row],[Weight (kg)]]</f>
        <v>8400</v>
      </c>
    </row>
    <row r="104" spans="1:32" ht="15" customHeight="1" x14ac:dyDescent="0.25">
      <c r="A104" s="6">
        <v>102</v>
      </c>
      <c r="B104" s="27" t="str">
        <f>VLOOKUP(Tbl_Price_List[[#This Row],[Product_Name]],Tbl_Prod_Catalog[[#This Row],[Product_Name]:[Class_Type]],8,0)</f>
        <v>PA, MProd, Brass, Inst.Part, Acc.</v>
      </c>
      <c r="C104" s="34" t="s">
        <v>349</v>
      </c>
      <c r="D104" s="21">
        <f>11050*Tbl_Prod_Catalog[[#This Row],[Weight (kg)]]</f>
        <v>110500</v>
      </c>
      <c r="E104" s="21">
        <f>(7350*Product_Catalog!D104)</f>
        <v>0</v>
      </c>
      <c r="F104" s="33">
        <f>5750*Tbl_Prod_Catalog[[#This Row],[Weight (kg)]]</f>
        <v>57500</v>
      </c>
      <c r="G104">
        <f>2500*Tbl_Prod_Catalog[[#This Row],[Weight (kg)]]</f>
        <v>25000</v>
      </c>
      <c r="H104">
        <f>8250*Tbl_Prod_Catalog[[#This Row],[Weight (kg)]]</f>
        <v>82500</v>
      </c>
      <c r="I104" s="21">
        <f>(4725*Product_Catalog!D104)</f>
        <v>0</v>
      </c>
      <c r="J104">
        <f>8250*Tbl_Prod_Catalog[[#This Row],[Weight (kg)]]</f>
        <v>82500</v>
      </c>
      <c r="K104">
        <f>2450*Tbl_Prod_Catalog[[#This Row],[Weight (kg)]]</f>
        <v>24500</v>
      </c>
      <c r="L104">
        <f>2600*Tbl_Prod_Catalog[[#This Row],[Weight (kg)]]</f>
        <v>26000</v>
      </c>
      <c r="M104">
        <f>6900*Tbl_Prod_Catalog[[#This Row],[Weight (kg)]]</f>
        <v>69000</v>
      </c>
      <c r="N104">
        <f>5600*Tbl_Prod_Catalog[[#This Row],[Weight (kg)]]</f>
        <v>56000</v>
      </c>
      <c r="O104">
        <f>3400*Tbl_Prod_Catalog[[#This Row],[Weight (kg)]]</f>
        <v>34000</v>
      </c>
      <c r="P104">
        <f>2800*Tbl_Prod_Catalog[[#This Row],[Weight (kg)]]</f>
        <v>28000</v>
      </c>
      <c r="Q104">
        <f>9400*Tbl_Prod_Catalog[[#This Row],[Weight (kg)]]</f>
        <v>94000</v>
      </c>
      <c r="R104">
        <f>5600*Tbl_Prod_Catalog[[#This Row],[Weight (kg)]]</f>
        <v>56000</v>
      </c>
      <c r="S104">
        <f>9400*Tbl_Prod_Catalog[[#This Row],[Weight (kg)]]</f>
        <v>94000</v>
      </c>
      <c r="T104">
        <f>9400*Tbl_Prod_Catalog[[#This Row],[Weight (kg)]]</f>
        <v>94000</v>
      </c>
      <c r="U104">
        <f>6900*Tbl_Prod_Catalog[[#This Row],[Weight (kg)]]</f>
        <v>69000</v>
      </c>
      <c r="V104" s="21">
        <f>(12000*Product_Catalog!D104)</f>
        <v>0</v>
      </c>
      <c r="W104">
        <f>6350*Tbl_Prod_Catalog[[#This Row],[Weight (kg)]]</f>
        <v>63500</v>
      </c>
      <c r="X104">
        <f>8250*Tbl_Prod_Catalog[[#This Row],[Weight (kg)]]</f>
        <v>82500</v>
      </c>
      <c r="Y104" s="21">
        <f>(5250*Product_Catalog!D104)</f>
        <v>0</v>
      </c>
      <c r="Z104">
        <f>3400*Tbl_Prod_Catalog[[#This Row],[Weight (kg)]]</f>
        <v>34000</v>
      </c>
      <c r="AA104" s="21">
        <f>(8400*Product_Catalog!D104)</f>
        <v>0</v>
      </c>
      <c r="AB104">
        <f>2800*Tbl_Prod_Catalog[[#This Row],[Weight (kg)]]</f>
        <v>28000</v>
      </c>
      <c r="AC104">
        <f>3000*Tbl_Prod_Catalog[[#This Row],[Weight (kg)]]</f>
        <v>30000</v>
      </c>
      <c r="AD104">
        <f>4350*Tbl_Prod_Catalog[[#This Row],[Weight (kg)]]</f>
        <v>43500</v>
      </c>
      <c r="AE104" s="34" t="str">
        <f>"Jakarta + Real Cost"</f>
        <v>Jakarta + Real Cost</v>
      </c>
      <c r="AF104">
        <f>2800*Tbl_Prod_Catalog[[#This Row],[Weight (kg)]]</f>
        <v>28000</v>
      </c>
    </row>
    <row r="105" spans="1:32" ht="15" customHeight="1" x14ac:dyDescent="0.25">
      <c r="A105" s="6">
        <v>103</v>
      </c>
      <c r="B105" s="27" t="str">
        <f>VLOOKUP(Tbl_Price_List[[#This Row],[Product_Name]],Tbl_Prod_Catalog[[#This Row],[Product_Name]:[Class_Type]],8,0)</f>
        <v>PA, MProd, Brass, Inst.Part, Acc.</v>
      </c>
      <c r="C105" s="34" t="s">
        <v>350</v>
      </c>
      <c r="D105" s="21">
        <f>11050*Tbl_Prod_Catalog[[#This Row],[Weight (kg)]]</f>
        <v>67405</v>
      </c>
      <c r="E105" s="21">
        <f>(7350*Product_Catalog!D105)</f>
        <v>0</v>
      </c>
      <c r="F105" s="33">
        <f>5750*Tbl_Prod_Catalog[[#This Row],[Weight (kg)]]</f>
        <v>35075</v>
      </c>
      <c r="G105">
        <f>2500*Tbl_Prod_Catalog[[#This Row],[Weight (kg)]]</f>
        <v>15250</v>
      </c>
      <c r="H105">
        <f>8250*Tbl_Prod_Catalog[[#This Row],[Weight (kg)]]</f>
        <v>50325</v>
      </c>
      <c r="I105" s="21">
        <f>(4725*Product_Catalog!D105)</f>
        <v>0</v>
      </c>
      <c r="J105">
        <f>8250*Tbl_Prod_Catalog[[#This Row],[Weight (kg)]]</f>
        <v>50325</v>
      </c>
      <c r="K105">
        <f>2450*Tbl_Prod_Catalog[[#This Row],[Weight (kg)]]</f>
        <v>14945</v>
      </c>
      <c r="L105">
        <f>2600*Tbl_Prod_Catalog[[#This Row],[Weight (kg)]]</f>
        <v>15859.999999999998</v>
      </c>
      <c r="M105">
        <f>6900*Tbl_Prod_Catalog[[#This Row],[Weight (kg)]]</f>
        <v>42090</v>
      </c>
      <c r="N105">
        <f>5600*Tbl_Prod_Catalog[[#This Row],[Weight (kg)]]</f>
        <v>34160</v>
      </c>
      <c r="O105">
        <f>3400*Tbl_Prod_Catalog[[#This Row],[Weight (kg)]]</f>
        <v>20740</v>
      </c>
      <c r="P105">
        <f>2800*Tbl_Prod_Catalog[[#This Row],[Weight (kg)]]</f>
        <v>17080</v>
      </c>
      <c r="Q105">
        <f>9400*Tbl_Prod_Catalog[[#This Row],[Weight (kg)]]</f>
        <v>57340</v>
      </c>
      <c r="R105">
        <f>5600*Tbl_Prod_Catalog[[#This Row],[Weight (kg)]]</f>
        <v>34160</v>
      </c>
      <c r="S105">
        <f>9400*Tbl_Prod_Catalog[[#This Row],[Weight (kg)]]</f>
        <v>57340</v>
      </c>
      <c r="T105">
        <f>9400*Tbl_Prod_Catalog[[#This Row],[Weight (kg)]]</f>
        <v>57340</v>
      </c>
      <c r="U105">
        <f>6900*Tbl_Prod_Catalog[[#This Row],[Weight (kg)]]</f>
        <v>42090</v>
      </c>
      <c r="V105" s="21">
        <f>(12000*Product_Catalog!D105)</f>
        <v>0</v>
      </c>
      <c r="W105">
        <f>6350*Tbl_Prod_Catalog[[#This Row],[Weight (kg)]]</f>
        <v>38735</v>
      </c>
      <c r="X105">
        <f>8250*Tbl_Prod_Catalog[[#This Row],[Weight (kg)]]</f>
        <v>50325</v>
      </c>
      <c r="Y105" s="21">
        <f>(5250*Product_Catalog!D105)</f>
        <v>0</v>
      </c>
      <c r="Z105">
        <f>3400*Tbl_Prod_Catalog[[#This Row],[Weight (kg)]]</f>
        <v>20740</v>
      </c>
      <c r="AA105" s="21">
        <f>(8400*Product_Catalog!D105)</f>
        <v>0</v>
      </c>
      <c r="AB105">
        <f>2800*Tbl_Prod_Catalog[[#This Row],[Weight (kg)]]</f>
        <v>17080</v>
      </c>
      <c r="AC105">
        <f>3000*Tbl_Prod_Catalog[[#This Row],[Weight (kg)]]</f>
        <v>18300</v>
      </c>
      <c r="AD105">
        <f>4350*Tbl_Prod_Catalog[[#This Row],[Weight (kg)]]</f>
        <v>26535</v>
      </c>
      <c r="AE105" s="34" t="str">
        <f>"Jakarta + Real Cost"</f>
        <v>Jakarta + Real Cost</v>
      </c>
      <c r="AF105">
        <f>2800*Tbl_Prod_Catalog[[#This Row],[Weight (kg)]]</f>
        <v>17080</v>
      </c>
    </row>
    <row r="106" spans="1:32" ht="15" customHeight="1" x14ac:dyDescent="0.25">
      <c r="A106" s="6">
        <v>104</v>
      </c>
      <c r="B106" s="27" t="str">
        <f>VLOOKUP(Tbl_Price_List[[#This Row],[Product_Name]],Tbl_Prod_Catalog[[#This Row],[Product_Name]:[Class_Type]],8,0)</f>
        <v>PA, MProd, Brass, Inst.Part, Acc.</v>
      </c>
      <c r="C106" s="34" t="s">
        <v>409</v>
      </c>
      <c r="D106" s="21">
        <f>11050*Tbl_Prod_Catalog[[#This Row],[Weight (kg)]]</f>
        <v>430950</v>
      </c>
      <c r="E106" s="21">
        <f>(7350*Product_Catalog!D106)</f>
        <v>257250</v>
      </c>
      <c r="F106" s="33">
        <f>5750*Tbl_Prod_Catalog[[#This Row],[Weight (kg)]]</f>
        <v>224250</v>
      </c>
      <c r="G106">
        <f>2500*Tbl_Prod_Catalog[[#This Row],[Weight (kg)]]</f>
        <v>97500</v>
      </c>
      <c r="H106">
        <f>8250*Tbl_Prod_Catalog[[#This Row],[Weight (kg)]]</f>
        <v>321750</v>
      </c>
      <c r="I106" s="21">
        <f>(4725*Product_Catalog!D106)</f>
        <v>165375</v>
      </c>
      <c r="J106">
        <f>8250*Tbl_Prod_Catalog[[#This Row],[Weight (kg)]]</f>
        <v>321750</v>
      </c>
      <c r="K106">
        <f>2450*Tbl_Prod_Catalog[[#This Row],[Weight (kg)]]</f>
        <v>95550</v>
      </c>
      <c r="L106">
        <f>2600*Tbl_Prod_Catalog[[#This Row],[Weight (kg)]]</f>
        <v>101400</v>
      </c>
      <c r="M106">
        <f>6900*Tbl_Prod_Catalog[[#This Row],[Weight (kg)]]</f>
        <v>269100</v>
      </c>
      <c r="N106">
        <f>5600*Tbl_Prod_Catalog[[#This Row],[Weight (kg)]]</f>
        <v>218400</v>
      </c>
      <c r="O106">
        <f>3400*Tbl_Prod_Catalog[[#This Row],[Weight (kg)]]</f>
        <v>132600</v>
      </c>
      <c r="P106">
        <f>2800*Tbl_Prod_Catalog[[#This Row],[Weight (kg)]]</f>
        <v>109200</v>
      </c>
      <c r="Q106">
        <f>9400*Tbl_Prod_Catalog[[#This Row],[Weight (kg)]]</f>
        <v>366600</v>
      </c>
      <c r="R106">
        <f>5600*Tbl_Prod_Catalog[[#This Row],[Weight (kg)]]</f>
        <v>218400</v>
      </c>
      <c r="S106">
        <f>9400*Tbl_Prod_Catalog[[#This Row],[Weight (kg)]]</f>
        <v>366600</v>
      </c>
      <c r="T106">
        <f>9400*Tbl_Prod_Catalog[[#This Row],[Weight (kg)]]</f>
        <v>366600</v>
      </c>
      <c r="U106">
        <f>6900*Tbl_Prod_Catalog[[#This Row],[Weight (kg)]]</f>
        <v>269100</v>
      </c>
      <c r="V106" s="21">
        <f>(12000*Product_Catalog!D106)</f>
        <v>420000</v>
      </c>
      <c r="W106">
        <f>6350*Tbl_Prod_Catalog[[#This Row],[Weight (kg)]]</f>
        <v>247650</v>
      </c>
      <c r="X106">
        <f>8250*Tbl_Prod_Catalog[[#This Row],[Weight (kg)]]</f>
        <v>321750</v>
      </c>
      <c r="Y106" s="21">
        <f>(5250*Product_Catalog!D106)</f>
        <v>183750</v>
      </c>
      <c r="Z106">
        <f>3400*Tbl_Prod_Catalog[[#This Row],[Weight (kg)]]</f>
        <v>132600</v>
      </c>
      <c r="AA106" s="21">
        <f>(8400*Product_Catalog!D106)</f>
        <v>294000</v>
      </c>
      <c r="AB106">
        <f>2800*Tbl_Prod_Catalog[[#This Row],[Weight (kg)]]</f>
        <v>109200</v>
      </c>
      <c r="AC106">
        <f>3000*Tbl_Prod_Catalog[[#This Row],[Weight (kg)]]</f>
        <v>117000</v>
      </c>
      <c r="AD106">
        <f>4350*Tbl_Prod_Catalog[[#This Row],[Weight (kg)]]</f>
        <v>169650</v>
      </c>
      <c r="AE106" s="34" t="str">
        <f>"Jakarta + Real Cost"</f>
        <v>Jakarta + Real Cost</v>
      </c>
      <c r="AF106">
        <f>2800*Tbl_Prod_Catalog[[#This Row],[Weight (kg)]]</f>
        <v>109200</v>
      </c>
    </row>
    <row r="107" spans="1:32" ht="15" customHeight="1" x14ac:dyDescent="0.25">
      <c r="A107" s="6">
        <v>105</v>
      </c>
      <c r="B107" s="27" t="str">
        <f>VLOOKUP(Tbl_Price_List[[#This Row],[Product_Name]],Tbl_Prod_Catalog[[#This Row],[Product_Name]:[Class_Type]],8,0)</f>
        <v>PA, MProd, Brass, Inst.Part, Acc.</v>
      </c>
      <c r="C107" s="34" t="s">
        <v>357</v>
      </c>
      <c r="D107" s="21">
        <f>11050*Tbl_Prod_Catalog[[#This Row],[Weight (kg)]]</f>
        <v>165750</v>
      </c>
      <c r="E107" s="21">
        <f>(7350*Product_Catalog!D107)</f>
        <v>485100</v>
      </c>
      <c r="F107" s="33">
        <f>5750*Tbl_Prod_Catalog[[#This Row],[Weight (kg)]]</f>
        <v>86250</v>
      </c>
      <c r="G107">
        <f>2500*Tbl_Prod_Catalog[[#This Row],[Weight (kg)]]</f>
        <v>37500</v>
      </c>
      <c r="H107">
        <f>8250*Tbl_Prod_Catalog[[#This Row],[Weight (kg)]]</f>
        <v>123750</v>
      </c>
      <c r="I107" s="21">
        <f>(4725*Product_Catalog!D107)</f>
        <v>311850</v>
      </c>
      <c r="J107">
        <f>8250*Tbl_Prod_Catalog[[#This Row],[Weight (kg)]]</f>
        <v>123750</v>
      </c>
      <c r="K107">
        <f>2450*Tbl_Prod_Catalog[[#This Row],[Weight (kg)]]</f>
        <v>36750</v>
      </c>
      <c r="L107">
        <f>2600*Tbl_Prod_Catalog[[#This Row],[Weight (kg)]]</f>
        <v>39000</v>
      </c>
      <c r="M107">
        <f>6900*Tbl_Prod_Catalog[[#This Row],[Weight (kg)]]</f>
        <v>103500</v>
      </c>
      <c r="N107">
        <f>5600*Tbl_Prod_Catalog[[#This Row],[Weight (kg)]]</f>
        <v>84000</v>
      </c>
      <c r="O107">
        <f>3400*Tbl_Prod_Catalog[[#This Row],[Weight (kg)]]</f>
        <v>51000</v>
      </c>
      <c r="P107">
        <f>2800*Tbl_Prod_Catalog[[#This Row],[Weight (kg)]]</f>
        <v>42000</v>
      </c>
      <c r="Q107">
        <f>9400*Tbl_Prod_Catalog[[#This Row],[Weight (kg)]]</f>
        <v>141000</v>
      </c>
      <c r="R107">
        <f>5600*Tbl_Prod_Catalog[[#This Row],[Weight (kg)]]</f>
        <v>84000</v>
      </c>
      <c r="S107">
        <f>9400*Tbl_Prod_Catalog[[#This Row],[Weight (kg)]]</f>
        <v>141000</v>
      </c>
      <c r="T107">
        <f>9400*Tbl_Prod_Catalog[[#This Row],[Weight (kg)]]</f>
        <v>141000</v>
      </c>
      <c r="U107">
        <f>6900*Tbl_Prod_Catalog[[#This Row],[Weight (kg)]]</f>
        <v>103500</v>
      </c>
      <c r="V107" s="21">
        <f>(12000*Product_Catalog!D107)</f>
        <v>792000</v>
      </c>
      <c r="W107">
        <f>6350*Tbl_Prod_Catalog[[#This Row],[Weight (kg)]]</f>
        <v>95250</v>
      </c>
      <c r="X107">
        <f>8250*Tbl_Prod_Catalog[[#This Row],[Weight (kg)]]</f>
        <v>123750</v>
      </c>
      <c r="Y107" s="21">
        <f>(5250*Product_Catalog!D107)</f>
        <v>346500</v>
      </c>
      <c r="Z107">
        <f>3400*Tbl_Prod_Catalog[[#This Row],[Weight (kg)]]</f>
        <v>51000</v>
      </c>
      <c r="AA107" s="21">
        <f>(8400*Product_Catalog!D107)</f>
        <v>554400</v>
      </c>
      <c r="AB107">
        <f>2800*Tbl_Prod_Catalog[[#This Row],[Weight (kg)]]</f>
        <v>42000</v>
      </c>
      <c r="AC107">
        <f>3000*Tbl_Prod_Catalog[[#This Row],[Weight (kg)]]</f>
        <v>45000</v>
      </c>
      <c r="AD107">
        <f>4350*Tbl_Prod_Catalog[[#This Row],[Weight (kg)]]</f>
        <v>65250</v>
      </c>
      <c r="AE107" s="34" t="str">
        <f>"Jakarta + Real Cost"</f>
        <v>Jakarta + Real Cost</v>
      </c>
      <c r="AF107">
        <f>2800*Tbl_Prod_Catalog[[#This Row],[Weight (kg)]]</f>
        <v>42000</v>
      </c>
    </row>
    <row r="108" spans="1:32" ht="15" customHeight="1" x14ac:dyDescent="0.25">
      <c r="A108" s="6">
        <v>106</v>
      </c>
      <c r="B108" s="27" t="str">
        <f>VLOOKUP(Tbl_Price_List[[#This Row],[Product_Name]],Tbl_Prod_Catalog[[#This Row],[Product_Name]:[Class_Type]],8,0)</f>
        <v>PA, MProd, Brass, Inst.Part, Acc.</v>
      </c>
      <c r="C108" s="34" t="s">
        <v>358</v>
      </c>
      <c r="D108" s="21">
        <f>11050*Tbl_Prod_Catalog[[#This Row],[Weight (kg)]]</f>
        <v>486200</v>
      </c>
      <c r="E108" s="21">
        <f>(7350*Product_Catalog!D108)</f>
        <v>0</v>
      </c>
      <c r="F108" s="33">
        <f>5750*Tbl_Prod_Catalog[[#This Row],[Weight (kg)]]</f>
        <v>253000</v>
      </c>
      <c r="G108">
        <f>2500*Tbl_Prod_Catalog[[#This Row],[Weight (kg)]]</f>
        <v>110000</v>
      </c>
      <c r="H108">
        <f>8250*Tbl_Prod_Catalog[[#This Row],[Weight (kg)]]</f>
        <v>363000</v>
      </c>
      <c r="I108" s="21">
        <f>(4725*Product_Catalog!D108)</f>
        <v>0</v>
      </c>
      <c r="J108">
        <f>8250*Tbl_Prod_Catalog[[#This Row],[Weight (kg)]]</f>
        <v>363000</v>
      </c>
      <c r="K108">
        <f>2450*Tbl_Prod_Catalog[[#This Row],[Weight (kg)]]</f>
        <v>107800</v>
      </c>
      <c r="L108">
        <f>2600*Tbl_Prod_Catalog[[#This Row],[Weight (kg)]]</f>
        <v>114400</v>
      </c>
      <c r="M108">
        <f>6900*Tbl_Prod_Catalog[[#This Row],[Weight (kg)]]</f>
        <v>303600</v>
      </c>
      <c r="N108">
        <f>5600*Tbl_Prod_Catalog[[#This Row],[Weight (kg)]]</f>
        <v>246400</v>
      </c>
      <c r="O108">
        <f>3400*Tbl_Prod_Catalog[[#This Row],[Weight (kg)]]</f>
        <v>149600</v>
      </c>
      <c r="P108">
        <f>2800*Tbl_Prod_Catalog[[#This Row],[Weight (kg)]]</f>
        <v>123200</v>
      </c>
      <c r="Q108">
        <f>9400*Tbl_Prod_Catalog[[#This Row],[Weight (kg)]]</f>
        <v>413600</v>
      </c>
      <c r="R108">
        <f>5600*Tbl_Prod_Catalog[[#This Row],[Weight (kg)]]</f>
        <v>246400</v>
      </c>
      <c r="S108">
        <f>9400*Tbl_Prod_Catalog[[#This Row],[Weight (kg)]]</f>
        <v>413600</v>
      </c>
      <c r="T108">
        <f>9400*Tbl_Prod_Catalog[[#This Row],[Weight (kg)]]</f>
        <v>413600</v>
      </c>
      <c r="U108">
        <f>6900*Tbl_Prod_Catalog[[#This Row],[Weight (kg)]]</f>
        <v>303600</v>
      </c>
      <c r="V108" s="21">
        <f>(12000*Product_Catalog!D108)</f>
        <v>0</v>
      </c>
      <c r="W108">
        <f>6350*Tbl_Prod_Catalog[[#This Row],[Weight (kg)]]</f>
        <v>279400</v>
      </c>
      <c r="X108">
        <f>8250*Tbl_Prod_Catalog[[#This Row],[Weight (kg)]]</f>
        <v>363000</v>
      </c>
      <c r="Y108" s="21">
        <f>(5250*Product_Catalog!D108)</f>
        <v>0</v>
      </c>
      <c r="Z108">
        <f>3400*Tbl_Prod_Catalog[[#This Row],[Weight (kg)]]</f>
        <v>149600</v>
      </c>
      <c r="AA108" s="21">
        <f>(8400*Product_Catalog!D108)</f>
        <v>0</v>
      </c>
      <c r="AB108">
        <f>2800*Tbl_Prod_Catalog[[#This Row],[Weight (kg)]]</f>
        <v>123200</v>
      </c>
      <c r="AC108">
        <f>3000*Tbl_Prod_Catalog[[#This Row],[Weight (kg)]]</f>
        <v>132000</v>
      </c>
      <c r="AD108">
        <f>4350*Tbl_Prod_Catalog[[#This Row],[Weight (kg)]]</f>
        <v>191400</v>
      </c>
      <c r="AE108" s="34" t="str">
        <f>"Jakarta + Real Cost"</f>
        <v>Jakarta + Real Cost</v>
      </c>
      <c r="AF108">
        <f>2800*Tbl_Prod_Catalog[[#This Row],[Weight (kg)]]</f>
        <v>123200</v>
      </c>
    </row>
    <row r="109" spans="1:32" ht="15" customHeight="1" x14ac:dyDescent="0.25">
      <c r="A109" s="6">
        <v>107</v>
      </c>
      <c r="B109" s="27" t="str">
        <f>VLOOKUP(Tbl_Price_List[[#This Row],[Product_Name]],Tbl_Prod_Catalog[[#This Row],[Product_Name]:[Class_Type]],8,0)</f>
        <v>PA, MProd, Brass, Inst.Part, Acc.</v>
      </c>
      <c r="C109" s="34" t="s">
        <v>359</v>
      </c>
      <c r="D109" s="21">
        <f>11050*Tbl_Prod_Catalog[[#This Row],[Weight (kg)]]</f>
        <v>110500</v>
      </c>
      <c r="E109" s="21">
        <f>(7350*Product_Catalog!D109)</f>
        <v>0</v>
      </c>
      <c r="F109" s="33">
        <f>5750*Tbl_Prod_Catalog[[#This Row],[Weight (kg)]]</f>
        <v>57500</v>
      </c>
      <c r="G109">
        <f>2500*Tbl_Prod_Catalog[[#This Row],[Weight (kg)]]</f>
        <v>25000</v>
      </c>
      <c r="H109">
        <f>8250*Tbl_Prod_Catalog[[#This Row],[Weight (kg)]]</f>
        <v>82500</v>
      </c>
      <c r="I109" s="21">
        <f>(4725*Product_Catalog!D109)</f>
        <v>0</v>
      </c>
      <c r="J109">
        <f>8250*Tbl_Prod_Catalog[[#This Row],[Weight (kg)]]</f>
        <v>82500</v>
      </c>
      <c r="K109">
        <f>2450*Tbl_Prod_Catalog[[#This Row],[Weight (kg)]]</f>
        <v>24500</v>
      </c>
      <c r="L109">
        <f>2600*Tbl_Prod_Catalog[[#This Row],[Weight (kg)]]</f>
        <v>26000</v>
      </c>
      <c r="M109">
        <f>6900*Tbl_Prod_Catalog[[#This Row],[Weight (kg)]]</f>
        <v>69000</v>
      </c>
      <c r="N109">
        <f>5600*Tbl_Prod_Catalog[[#This Row],[Weight (kg)]]</f>
        <v>56000</v>
      </c>
      <c r="O109">
        <f>3400*Tbl_Prod_Catalog[[#This Row],[Weight (kg)]]</f>
        <v>34000</v>
      </c>
      <c r="P109">
        <f>2800*Tbl_Prod_Catalog[[#This Row],[Weight (kg)]]</f>
        <v>28000</v>
      </c>
      <c r="Q109">
        <f>9400*Tbl_Prod_Catalog[[#This Row],[Weight (kg)]]</f>
        <v>94000</v>
      </c>
      <c r="R109">
        <f>5600*Tbl_Prod_Catalog[[#This Row],[Weight (kg)]]</f>
        <v>56000</v>
      </c>
      <c r="S109">
        <f>9400*Tbl_Prod_Catalog[[#This Row],[Weight (kg)]]</f>
        <v>94000</v>
      </c>
      <c r="T109">
        <f>9400*Tbl_Prod_Catalog[[#This Row],[Weight (kg)]]</f>
        <v>94000</v>
      </c>
      <c r="U109">
        <f>6900*Tbl_Prod_Catalog[[#This Row],[Weight (kg)]]</f>
        <v>69000</v>
      </c>
      <c r="V109" s="21">
        <f>(12000*Product_Catalog!D109)</f>
        <v>0</v>
      </c>
      <c r="W109">
        <f>6350*Tbl_Prod_Catalog[[#This Row],[Weight (kg)]]</f>
        <v>63500</v>
      </c>
      <c r="X109">
        <f>8250*Tbl_Prod_Catalog[[#This Row],[Weight (kg)]]</f>
        <v>82500</v>
      </c>
      <c r="Y109" s="21">
        <f>(5250*Product_Catalog!D109)</f>
        <v>0</v>
      </c>
      <c r="Z109">
        <f>3400*Tbl_Prod_Catalog[[#This Row],[Weight (kg)]]</f>
        <v>34000</v>
      </c>
      <c r="AA109" s="21">
        <f>(8400*Product_Catalog!D109)</f>
        <v>0</v>
      </c>
      <c r="AB109">
        <f>2800*Tbl_Prod_Catalog[[#This Row],[Weight (kg)]]</f>
        <v>28000</v>
      </c>
      <c r="AC109">
        <f>3000*Tbl_Prod_Catalog[[#This Row],[Weight (kg)]]</f>
        <v>30000</v>
      </c>
      <c r="AD109">
        <f>4350*Tbl_Prod_Catalog[[#This Row],[Weight (kg)]]</f>
        <v>43500</v>
      </c>
      <c r="AE109" s="34" t="str">
        <f>"Jakarta + Real Cost"</f>
        <v>Jakarta + Real Cost</v>
      </c>
      <c r="AF109">
        <f>2800*Tbl_Prod_Catalog[[#This Row],[Weight (kg)]]</f>
        <v>28000</v>
      </c>
    </row>
    <row r="110" spans="1:32" ht="15" customHeight="1" x14ac:dyDescent="0.25">
      <c r="A110" s="6">
        <v>108</v>
      </c>
      <c r="B110" s="27" t="str">
        <f>VLOOKUP(Tbl_Price_List[[#This Row],[Product_Name]],Tbl_Prod_Catalog[[#This Row],[Product_Name]:[Class_Type]],8,0)</f>
        <v>PA, MProd, Brass, Inst.Part, Acc.</v>
      </c>
      <c r="C110" s="34" t="s">
        <v>360</v>
      </c>
      <c r="D110" s="21">
        <f>11050*Tbl_Prod_Catalog[[#This Row],[Weight (kg)]]</f>
        <v>110500</v>
      </c>
      <c r="E110" s="21">
        <f>(7350*Product_Catalog!D110)</f>
        <v>0</v>
      </c>
      <c r="F110" s="33">
        <f>5750*Tbl_Prod_Catalog[[#This Row],[Weight (kg)]]</f>
        <v>57500</v>
      </c>
      <c r="G110">
        <f>2500*Tbl_Prod_Catalog[[#This Row],[Weight (kg)]]</f>
        <v>25000</v>
      </c>
      <c r="H110">
        <f>8250*Tbl_Prod_Catalog[[#This Row],[Weight (kg)]]</f>
        <v>82500</v>
      </c>
      <c r="I110" s="21">
        <f>(4725*Product_Catalog!D110)</f>
        <v>0</v>
      </c>
      <c r="J110">
        <f>8250*Tbl_Prod_Catalog[[#This Row],[Weight (kg)]]</f>
        <v>82500</v>
      </c>
      <c r="K110">
        <f>2450*Tbl_Prod_Catalog[[#This Row],[Weight (kg)]]</f>
        <v>24500</v>
      </c>
      <c r="L110">
        <f>2600*Tbl_Prod_Catalog[[#This Row],[Weight (kg)]]</f>
        <v>26000</v>
      </c>
      <c r="M110">
        <f>6900*Tbl_Prod_Catalog[[#This Row],[Weight (kg)]]</f>
        <v>69000</v>
      </c>
      <c r="N110">
        <f>5600*Tbl_Prod_Catalog[[#This Row],[Weight (kg)]]</f>
        <v>56000</v>
      </c>
      <c r="O110">
        <f>3400*Tbl_Prod_Catalog[[#This Row],[Weight (kg)]]</f>
        <v>34000</v>
      </c>
      <c r="P110">
        <f>2800*Tbl_Prod_Catalog[[#This Row],[Weight (kg)]]</f>
        <v>28000</v>
      </c>
      <c r="Q110">
        <f>9400*Tbl_Prod_Catalog[[#This Row],[Weight (kg)]]</f>
        <v>94000</v>
      </c>
      <c r="R110">
        <f>5600*Tbl_Prod_Catalog[[#This Row],[Weight (kg)]]</f>
        <v>56000</v>
      </c>
      <c r="S110">
        <f>9400*Tbl_Prod_Catalog[[#This Row],[Weight (kg)]]</f>
        <v>94000</v>
      </c>
      <c r="T110">
        <f>9400*Tbl_Prod_Catalog[[#This Row],[Weight (kg)]]</f>
        <v>94000</v>
      </c>
      <c r="U110">
        <f>6900*Tbl_Prod_Catalog[[#This Row],[Weight (kg)]]</f>
        <v>69000</v>
      </c>
      <c r="V110" s="21">
        <f>(12000*Product_Catalog!D110)</f>
        <v>0</v>
      </c>
      <c r="W110">
        <f>6350*Tbl_Prod_Catalog[[#This Row],[Weight (kg)]]</f>
        <v>63500</v>
      </c>
      <c r="X110">
        <f>8250*Tbl_Prod_Catalog[[#This Row],[Weight (kg)]]</f>
        <v>82500</v>
      </c>
      <c r="Y110" s="21">
        <f>(5250*Product_Catalog!D110)</f>
        <v>0</v>
      </c>
      <c r="Z110">
        <f>3400*Tbl_Prod_Catalog[[#This Row],[Weight (kg)]]</f>
        <v>34000</v>
      </c>
      <c r="AA110" s="21">
        <f>(8400*Product_Catalog!D110)</f>
        <v>0</v>
      </c>
      <c r="AB110">
        <f>2800*Tbl_Prod_Catalog[[#This Row],[Weight (kg)]]</f>
        <v>28000</v>
      </c>
      <c r="AC110">
        <f>3000*Tbl_Prod_Catalog[[#This Row],[Weight (kg)]]</f>
        <v>30000</v>
      </c>
      <c r="AD110">
        <f>4350*Tbl_Prod_Catalog[[#This Row],[Weight (kg)]]</f>
        <v>43500</v>
      </c>
      <c r="AE110" s="34" t="str">
        <f>"Jakarta + Real Cost"</f>
        <v>Jakarta + Real Cost</v>
      </c>
      <c r="AF110">
        <f>2800*Tbl_Prod_Catalog[[#This Row],[Weight (kg)]]</f>
        <v>28000</v>
      </c>
    </row>
    <row r="111" spans="1:32" ht="15" customHeight="1" x14ac:dyDescent="0.25">
      <c r="A111" s="6">
        <v>109</v>
      </c>
      <c r="B111" s="27" t="str">
        <f>VLOOKUP(Tbl_Price_List[[#This Row],[Product_Name]],Tbl_Prod_Catalog[[#This Row],[Product_Name]:[Class_Type]],8,0)</f>
        <v>PA, MProd, Brass, Inst.Part, Acc.</v>
      </c>
      <c r="C111" s="34" t="s">
        <v>361</v>
      </c>
      <c r="D111" s="21">
        <f>11050*Tbl_Prod_Catalog[[#This Row],[Weight (kg)]]</f>
        <v>1082900</v>
      </c>
      <c r="E111" s="21">
        <f>(7350*Product_Catalog!D111)</f>
        <v>0</v>
      </c>
      <c r="F111" s="33">
        <f>5750*Tbl_Prod_Catalog[[#This Row],[Weight (kg)]]</f>
        <v>563500</v>
      </c>
      <c r="G111">
        <f>2500*Tbl_Prod_Catalog[[#This Row],[Weight (kg)]]</f>
        <v>245000</v>
      </c>
      <c r="H111">
        <f>8250*Tbl_Prod_Catalog[[#This Row],[Weight (kg)]]</f>
        <v>808500</v>
      </c>
      <c r="I111" s="21">
        <f>(4725*Product_Catalog!D111)</f>
        <v>0</v>
      </c>
      <c r="J111">
        <f>8250*Tbl_Prod_Catalog[[#This Row],[Weight (kg)]]</f>
        <v>808500</v>
      </c>
      <c r="K111">
        <f>2450*Tbl_Prod_Catalog[[#This Row],[Weight (kg)]]</f>
        <v>240100</v>
      </c>
      <c r="L111">
        <f>2600*Tbl_Prod_Catalog[[#This Row],[Weight (kg)]]</f>
        <v>254800</v>
      </c>
      <c r="M111">
        <f>6900*Tbl_Prod_Catalog[[#This Row],[Weight (kg)]]</f>
        <v>676200</v>
      </c>
      <c r="N111">
        <f>5600*Tbl_Prod_Catalog[[#This Row],[Weight (kg)]]</f>
        <v>548800</v>
      </c>
      <c r="O111">
        <f>3400*Tbl_Prod_Catalog[[#This Row],[Weight (kg)]]</f>
        <v>333200</v>
      </c>
      <c r="P111">
        <f>2800*Tbl_Prod_Catalog[[#This Row],[Weight (kg)]]</f>
        <v>274400</v>
      </c>
      <c r="Q111">
        <f>9400*Tbl_Prod_Catalog[[#This Row],[Weight (kg)]]</f>
        <v>921200</v>
      </c>
      <c r="R111">
        <f>5600*Tbl_Prod_Catalog[[#This Row],[Weight (kg)]]</f>
        <v>548800</v>
      </c>
      <c r="S111">
        <f>9400*Tbl_Prod_Catalog[[#This Row],[Weight (kg)]]</f>
        <v>921200</v>
      </c>
      <c r="T111">
        <f>9400*Tbl_Prod_Catalog[[#This Row],[Weight (kg)]]</f>
        <v>921200</v>
      </c>
      <c r="U111">
        <f>6900*Tbl_Prod_Catalog[[#This Row],[Weight (kg)]]</f>
        <v>676200</v>
      </c>
      <c r="V111" s="21">
        <f>(12000*Product_Catalog!D111)</f>
        <v>0</v>
      </c>
      <c r="W111">
        <f>6350*Tbl_Prod_Catalog[[#This Row],[Weight (kg)]]</f>
        <v>622300</v>
      </c>
      <c r="X111">
        <f>8250*Tbl_Prod_Catalog[[#This Row],[Weight (kg)]]</f>
        <v>808500</v>
      </c>
      <c r="Y111" s="21">
        <f>(5250*Product_Catalog!D111)</f>
        <v>0</v>
      </c>
      <c r="Z111">
        <f>3400*Tbl_Prod_Catalog[[#This Row],[Weight (kg)]]</f>
        <v>333200</v>
      </c>
      <c r="AA111" s="21">
        <f>(8400*Product_Catalog!D111)</f>
        <v>0</v>
      </c>
      <c r="AB111">
        <f>2800*Tbl_Prod_Catalog[[#This Row],[Weight (kg)]]</f>
        <v>274400</v>
      </c>
      <c r="AC111">
        <f>3000*Tbl_Prod_Catalog[[#This Row],[Weight (kg)]]</f>
        <v>294000</v>
      </c>
      <c r="AD111">
        <f>4350*Tbl_Prod_Catalog[[#This Row],[Weight (kg)]]</f>
        <v>426300</v>
      </c>
      <c r="AE111" s="34" t="str">
        <f>"Jakarta + Real Cost"</f>
        <v>Jakarta + Real Cost</v>
      </c>
      <c r="AF111">
        <f>2800*Tbl_Prod_Catalog[[#This Row],[Weight (kg)]]</f>
        <v>274400</v>
      </c>
    </row>
    <row r="112" spans="1:32" ht="15" customHeight="1" x14ac:dyDescent="0.25">
      <c r="A112" s="6">
        <v>110</v>
      </c>
      <c r="B112" s="27" t="str">
        <f>VLOOKUP(Tbl_Price_List[[#This Row],[Product_Name]],Tbl_Prod_Catalog[[#This Row],[Product_Name]:[Class_Type]],8,0)</f>
        <v>PA, MProd, Brass, Inst.Part, Acc.</v>
      </c>
      <c r="C112" s="34" t="s">
        <v>362</v>
      </c>
      <c r="D112" s="21">
        <f>11050*Tbl_Prod_Catalog[[#This Row],[Weight (kg)]]</f>
        <v>121550</v>
      </c>
      <c r="E112" s="21">
        <f>(7350*Product_Catalog!D112)</f>
        <v>0</v>
      </c>
      <c r="F112" s="33">
        <f>5750*Tbl_Prod_Catalog[[#This Row],[Weight (kg)]]</f>
        <v>63250</v>
      </c>
      <c r="G112">
        <f>2500*Tbl_Prod_Catalog[[#This Row],[Weight (kg)]]</f>
        <v>27500</v>
      </c>
      <c r="H112">
        <f>8250*Tbl_Prod_Catalog[[#This Row],[Weight (kg)]]</f>
        <v>90750</v>
      </c>
      <c r="I112" s="21">
        <f>(4725*Product_Catalog!D112)</f>
        <v>0</v>
      </c>
      <c r="J112">
        <f>8250*Tbl_Prod_Catalog[[#This Row],[Weight (kg)]]</f>
        <v>90750</v>
      </c>
      <c r="K112">
        <f>2450*Tbl_Prod_Catalog[[#This Row],[Weight (kg)]]</f>
        <v>26950</v>
      </c>
      <c r="L112">
        <f>2600*Tbl_Prod_Catalog[[#This Row],[Weight (kg)]]</f>
        <v>28600</v>
      </c>
      <c r="M112">
        <f>6900*Tbl_Prod_Catalog[[#This Row],[Weight (kg)]]</f>
        <v>75900</v>
      </c>
      <c r="N112">
        <f>5600*Tbl_Prod_Catalog[[#This Row],[Weight (kg)]]</f>
        <v>61600</v>
      </c>
      <c r="O112">
        <f>3400*Tbl_Prod_Catalog[[#This Row],[Weight (kg)]]</f>
        <v>37400</v>
      </c>
      <c r="P112">
        <f>2800*Tbl_Prod_Catalog[[#This Row],[Weight (kg)]]</f>
        <v>30800</v>
      </c>
      <c r="Q112">
        <f>9400*Tbl_Prod_Catalog[[#This Row],[Weight (kg)]]</f>
        <v>103400</v>
      </c>
      <c r="R112">
        <f>5600*Tbl_Prod_Catalog[[#This Row],[Weight (kg)]]</f>
        <v>61600</v>
      </c>
      <c r="S112">
        <f>9400*Tbl_Prod_Catalog[[#This Row],[Weight (kg)]]</f>
        <v>103400</v>
      </c>
      <c r="T112">
        <f>9400*Tbl_Prod_Catalog[[#This Row],[Weight (kg)]]</f>
        <v>103400</v>
      </c>
      <c r="U112">
        <f>6900*Tbl_Prod_Catalog[[#This Row],[Weight (kg)]]</f>
        <v>75900</v>
      </c>
      <c r="V112" s="21">
        <f>(12000*Product_Catalog!D112)</f>
        <v>0</v>
      </c>
      <c r="W112">
        <f>6350*Tbl_Prod_Catalog[[#This Row],[Weight (kg)]]</f>
        <v>69850</v>
      </c>
      <c r="X112">
        <f>8250*Tbl_Prod_Catalog[[#This Row],[Weight (kg)]]</f>
        <v>90750</v>
      </c>
      <c r="Y112" s="21">
        <f>(5250*Product_Catalog!D112)</f>
        <v>0</v>
      </c>
      <c r="Z112">
        <f>3400*Tbl_Prod_Catalog[[#This Row],[Weight (kg)]]</f>
        <v>37400</v>
      </c>
      <c r="AA112" s="21">
        <f>(8400*Product_Catalog!D112)</f>
        <v>0</v>
      </c>
      <c r="AB112">
        <f>2800*Tbl_Prod_Catalog[[#This Row],[Weight (kg)]]</f>
        <v>30800</v>
      </c>
      <c r="AC112">
        <f>3000*Tbl_Prod_Catalog[[#This Row],[Weight (kg)]]</f>
        <v>33000</v>
      </c>
      <c r="AD112">
        <f>4350*Tbl_Prod_Catalog[[#This Row],[Weight (kg)]]</f>
        <v>47850</v>
      </c>
      <c r="AE112" s="34" t="str">
        <f>"Jakarta + Real Cost"</f>
        <v>Jakarta + Real Cost</v>
      </c>
      <c r="AF112">
        <f>2800*Tbl_Prod_Catalog[[#This Row],[Weight (kg)]]</f>
        <v>30800</v>
      </c>
    </row>
    <row r="113" spans="1:32" ht="15" customHeight="1" x14ac:dyDescent="0.25">
      <c r="A113" s="6">
        <v>111</v>
      </c>
      <c r="B113" s="27" t="str">
        <f>VLOOKUP(Tbl_Price_List[[#This Row],[Product_Name]],Tbl_Prod_Catalog[[#This Row],[Product_Name]:[Class_Type]],8,0)</f>
        <v>PA, MProd, Brass, Inst.Part, Acc.</v>
      </c>
      <c r="C113" s="34" t="s">
        <v>363</v>
      </c>
      <c r="D113" s="21">
        <f>11050*Tbl_Prod_Catalog[[#This Row],[Weight (kg)]]</f>
        <v>99450</v>
      </c>
      <c r="E113" s="21">
        <f>(7350*Product_Catalog!D113)</f>
        <v>0</v>
      </c>
      <c r="F113" s="33">
        <f>5750*Tbl_Prod_Catalog[[#This Row],[Weight (kg)]]</f>
        <v>51750</v>
      </c>
      <c r="G113">
        <f>2500*Tbl_Prod_Catalog[[#This Row],[Weight (kg)]]</f>
        <v>22500</v>
      </c>
      <c r="H113">
        <f>8250*Tbl_Prod_Catalog[[#This Row],[Weight (kg)]]</f>
        <v>74250</v>
      </c>
      <c r="I113" s="21">
        <f>(4725*Product_Catalog!D113)</f>
        <v>0</v>
      </c>
      <c r="J113">
        <f>8250*Tbl_Prod_Catalog[[#This Row],[Weight (kg)]]</f>
        <v>74250</v>
      </c>
      <c r="K113">
        <f>2450*Tbl_Prod_Catalog[[#This Row],[Weight (kg)]]</f>
        <v>22050</v>
      </c>
      <c r="L113">
        <f>2600*Tbl_Prod_Catalog[[#This Row],[Weight (kg)]]</f>
        <v>23400</v>
      </c>
      <c r="M113">
        <f>6900*Tbl_Prod_Catalog[[#This Row],[Weight (kg)]]</f>
        <v>62100</v>
      </c>
      <c r="N113">
        <f>5600*Tbl_Prod_Catalog[[#This Row],[Weight (kg)]]</f>
        <v>50400</v>
      </c>
      <c r="O113">
        <f>3400*Tbl_Prod_Catalog[[#This Row],[Weight (kg)]]</f>
        <v>30600</v>
      </c>
      <c r="P113">
        <f>2800*Tbl_Prod_Catalog[[#This Row],[Weight (kg)]]</f>
        <v>25200</v>
      </c>
      <c r="Q113">
        <f>9400*Tbl_Prod_Catalog[[#This Row],[Weight (kg)]]</f>
        <v>84600</v>
      </c>
      <c r="R113">
        <f>5600*Tbl_Prod_Catalog[[#This Row],[Weight (kg)]]</f>
        <v>50400</v>
      </c>
      <c r="S113">
        <f>9400*Tbl_Prod_Catalog[[#This Row],[Weight (kg)]]</f>
        <v>84600</v>
      </c>
      <c r="T113">
        <f>9400*Tbl_Prod_Catalog[[#This Row],[Weight (kg)]]</f>
        <v>84600</v>
      </c>
      <c r="U113">
        <f>6900*Tbl_Prod_Catalog[[#This Row],[Weight (kg)]]</f>
        <v>62100</v>
      </c>
      <c r="V113" s="21">
        <f>(12000*Product_Catalog!D113)</f>
        <v>0</v>
      </c>
      <c r="W113">
        <f>6350*Tbl_Prod_Catalog[[#This Row],[Weight (kg)]]</f>
        <v>57150</v>
      </c>
      <c r="X113">
        <f>8250*Tbl_Prod_Catalog[[#This Row],[Weight (kg)]]</f>
        <v>74250</v>
      </c>
      <c r="Y113" s="21">
        <f>(5250*Product_Catalog!D113)</f>
        <v>0</v>
      </c>
      <c r="Z113">
        <f>3400*Tbl_Prod_Catalog[[#This Row],[Weight (kg)]]</f>
        <v>30600</v>
      </c>
      <c r="AA113" s="21">
        <f>(8400*Product_Catalog!D113)</f>
        <v>0</v>
      </c>
      <c r="AB113">
        <f>2800*Tbl_Prod_Catalog[[#This Row],[Weight (kg)]]</f>
        <v>25200</v>
      </c>
      <c r="AC113">
        <f>3000*Tbl_Prod_Catalog[[#This Row],[Weight (kg)]]</f>
        <v>27000</v>
      </c>
      <c r="AD113">
        <f>4350*Tbl_Prod_Catalog[[#This Row],[Weight (kg)]]</f>
        <v>39150</v>
      </c>
      <c r="AE113" s="34" t="str">
        <f>"Jakarta + Real Cost"</f>
        <v>Jakarta + Real Cost</v>
      </c>
      <c r="AF113">
        <f>2800*Tbl_Prod_Catalog[[#This Row],[Weight (kg)]]</f>
        <v>25200</v>
      </c>
    </row>
    <row r="114" spans="1:32" ht="15" customHeight="1" x14ac:dyDescent="0.25">
      <c r="A114" s="6">
        <v>112</v>
      </c>
      <c r="B114" s="27" t="str">
        <f>VLOOKUP(Tbl_Price_List[[#This Row],[Product_Name]],Tbl_Prod_Catalog[[#This Row],[Product_Name]:[Class_Type]],8,0)</f>
        <v>PA, MProd, Brass, Inst.Part, Acc.</v>
      </c>
      <c r="C114" s="34" t="s">
        <v>364</v>
      </c>
      <c r="D114" s="21">
        <f>11050*Tbl_Prod_Catalog[[#This Row],[Weight (kg)]]</f>
        <v>165750</v>
      </c>
      <c r="E114" s="21">
        <f>(7350*Product_Catalog!D114)</f>
        <v>0</v>
      </c>
      <c r="F114" s="33">
        <f>5750*Tbl_Prod_Catalog[[#This Row],[Weight (kg)]]</f>
        <v>86250</v>
      </c>
      <c r="G114">
        <f>2500*Tbl_Prod_Catalog[[#This Row],[Weight (kg)]]</f>
        <v>37500</v>
      </c>
      <c r="H114">
        <f>8250*Tbl_Prod_Catalog[[#This Row],[Weight (kg)]]</f>
        <v>123750</v>
      </c>
      <c r="I114" s="21">
        <f>(4725*Product_Catalog!D114)</f>
        <v>0</v>
      </c>
      <c r="J114">
        <f>8250*Tbl_Prod_Catalog[[#This Row],[Weight (kg)]]</f>
        <v>123750</v>
      </c>
      <c r="K114">
        <f>2450*Tbl_Prod_Catalog[[#This Row],[Weight (kg)]]</f>
        <v>36750</v>
      </c>
      <c r="L114">
        <f>2600*Tbl_Prod_Catalog[[#This Row],[Weight (kg)]]</f>
        <v>39000</v>
      </c>
      <c r="M114">
        <f>6900*Tbl_Prod_Catalog[[#This Row],[Weight (kg)]]</f>
        <v>103500</v>
      </c>
      <c r="N114">
        <f>5600*Tbl_Prod_Catalog[[#This Row],[Weight (kg)]]</f>
        <v>84000</v>
      </c>
      <c r="O114">
        <f>3400*Tbl_Prod_Catalog[[#This Row],[Weight (kg)]]</f>
        <v>51000</v>
      </c>
      <c r="P114">
        <f>2800*Tbl_Prod_Catalog[[#This Row],[Weight (kg)]]</f>
        <v>42000</v>
      </c>
      <c r="Q114">
        <f>9400*Tbl_Prod_Catalog[[#This Row],[Weight (kg)]]</f>
        <v>141000</v>
      </c>
      <c r="R114">
        <f>5600*Tbl_Prod_Catalog[[#This Row],[Weight (kg)]]</f>
        <v>84000</v>
      </c>
      <c r="S114">
        <f>9400*Tbl_Prod_Catalog[[#This Row],[Weight (kg)]]</f>
        <v>141000</v>
      </c>
      <c r="T114">
        <f>9400*Tbl_Prod_Catalog[[#This Row],[Weight (kg)]]</f>
        <v>141000</v>
      </c>
      <c r="U114">
        <f>6900*Tbl_Prod_Catalog[[#This Row],[Weight (kg)]]</f>
        <v>103500</v>
      </c>
      <c r="V114" s="21">
        <f>(12000*Product_Catalog!D114)</f>
        <v>0</v>
      </c>
      <c r="W114">
        <f>6350*Tbl_Prod_Catalog[[#This Row],[Weight (kg)]]</f>
        <v>95250</v>
      </c>
      <c r="X114">
        <f>8250*Tbl_Prod_Catalog[[#This Row],[Weight (kg)]]</f>
        <v>123750</v>
      </c>
      <c r="Y114" s="21">
        <f>(5250*Product_Catalog!D114)</f>
        <v>0</v>
      </c>
      <c r="Z114">
        <f>3400*Tbl_Prod_Catalog[[#This Row],[Weight (kg)]]</f>
        <v>51000</v>
      </c>
      <c r="AA114" s="21">
        <f>(8400*Product_Catalog!D114)</f>
        <v>0</v>
      </c>
      <c r="AB114">
        <f>2800*Tbl_Prod_Catalog[[#This Row],[Weight (kg)]]</f>
        <v>42000</v>
      </c>
      <c r="AC114">
        <f>3000*Tbl_Prod_Catalog[[#This Row],[Weight (kg)]]</f>
        <v>45000</v>
      </c>
      <c r="AD114">
        <f>4350*Tbl_Prod_Catalog[[#This Row],[Weight (kg)]]</f>
        <v>65250</v>
      </c>
      <c r="AE114" s="34" t="str">
        <f>"Jakarta + Real Cost"</f>
        <v>Jakarta + Real Cost</v>
      </c>
      <c r="AF114">
        <f>2800*Tbl_Prod_Catalog[[#This Row],[Weight (kg)]]</f>
        <v>42000</v>
      </c>
    </row>
    <row r="115" spans="1:32" ht="15" customHeight="1" x14ac:dyDescent="0.25">
      <c r="A115" s="6">
        <v>113</v>
      </c>
      <c r="B115" s="27" t="str">
        <f>VLOOKUP(Tbl_Price_List[[#This Row],[Product_Name]],Tbl_Prod_Catalog[[#This Row],[Product_Name]:[Class_Type]],8,0)</f>
        <v>PA, MProd, Brass, Inst.Part, Acc.</v>
      </c>
      <c r="C115" s="34" t="s">
        <v>365</v>
      </c>
      <c r="D115" s="21">
        <f>11050*Tbl_Prod_Catalog[[#This Row],[Weight (kg)]]</f>
        <v>33150</v>
      </c>
      <c r="E115" s="21">
        <f>(7350*Product_Catalog!D115)</f>
        <v>0</v>
      </c>
      <c r="F115" s="33">
        <f>5750*Tbl_Prod_Catalog[[#This Row],[Weight (kg)]]</f>
        <v>17250</v>
      </c>
      <c r="G115">
        <f>2500*Tbl_Prod_Catalog[[#This Row],[Weight (kg)]]</f>
        <v>7500</v>
      </c>
      <c r="H115">
        <f>8250*Tbl_Prod_Catalog[[#This Row],[Weight (kg)]]</f>
        <v>24750</v>
      </c>
      <c r="I115" s="21">
        <f>(4725*Product_Catalog!D115)</f>
        <v>0</v>
      </c>
      <c r="J115">
        <f>8250*Tbl_Prod_Catalog[[#This Row],[Weight (kg)]]</f>
        <v>24750</v>
      </c>
      <c r="K115">
        <f>2450*Tbl_Prod_Catalog[[#This Row],[Weight (kg)]]</f>
        <v>7350</v>
      </c>
      <c r="L115">
        <f>2600*Tbl_Prod_Catalog[[#This Row],[Weight (kg)]]</f>
        <v>7800</v>
      </c>
      <c r="M115">
        <f>6900*Tbl_Prod_Catalog[[#This Row],[Weight (kg)]]</f>
        <v>20700</v>
      </c>
      <c r="N115">
        <f>5600*Tbl_Prod_Catalog[[#This Row],[Weight (kg)]]</f>
        <v>16800</v>
      </c>
      <c r="O115">
        <f>3400*Tbl_Prod_Catalog[[#This Row],[Weight (kg)]]</f>
        <v>10200</v>
      </c>
      <c r="P115">
        <f>2800*Tbl_Prod_Catalog[[#This Row],[Weight (kg)]]</f>
        <v>8400</v>
      </c>
      <c r="Q115">
        <f>9400*Tbl_Prod_Catalog[[#This Row],[Weight (kg)]]</f>
        <v>28200</v>
      </c>
      <c r="R115">
        <f>5600*Tbl_Prod_Catalog[[#This Row],[Weight (kg)]]</f>
        <v>16800</v>
      </c>
      <c r="S115">
        <f>9400*Tbl_Prod_Catalog[[#This Row],[Weight (kg)]]</f>
        <v>28200</v>
      </c>
      <c r="T115">
        <f>9400*Tbl_Prod_Catalog[[#This Row],[Weight (kg)]]</f>
        <v>28200</v>
      </c>
      <c r="U115">
        <f>6900*Tbl_Prod_Catalog[[#This Row],[Weight (kg)]]</f>
        <v>20700</v>
      </c>
      <c r="V115" s="21">
        <f>(12000*Product_Catalog!D115)</f>
        <v>0</v>
      </c>
      <c r="W115">
        <f>6350*Tbl_Prod_Catalog[[#This Row],[Weight (kg)]]</f>
        <v>19050</v>
      </c>
      <c r="X115">
        <f>8250*Tbl_Prod_Catalog[[#This Row],[Weight (kg)]]</f>
        <v>24750</v>
      </c>
      <c r="Y115" s="21">
        <f>(5250*Product_Catalog!D115)</f>
        <v>0</v>
      </c>
      <c r="Z115">
        <f>3400*Tbl_Prod_Catalog[[#This Row],[Weight (kg)]]</f>
        <v>10200</v>
      </c>
      <c r="AA115" s="21">
        <f>(8400*Product_Catalog!D115)</f>
        <v>0</v>
      </c>
      <c r="AB115">
        <f>2800*Tbl_Prod_Catalog[[#This Row],[Weight (kg)]]</f>
        <v>8400</v>
      </c>
      <c r="AC115">
        <f>3000*Tbl_Prod_Catalog[[#This Row],[Weight (kg)]]</f>
        <v>9000</v>
      </c>
      <c r="AD115">
        <f>4350*Tbl_Prod_Catalog[[#This Row],[Weight (kg)]]</f>
        <v>13050</v>
      </c>
      <c r="AE115" s="34" t="str">
        <f>"Jakarta + Real Cost"</f>
        <v>Jakarta + Real Cost</v>
      </c>
      <c r="AF115">
        <f>2800*Tbl_Prod_Catalog[[#This Row],[Weight (kg)]]</f>
        <v>8400</v>
      </c>
    </row>
    <row r="116" spans="1:32" ht="15" customHeight="1" x14ac:dyDescent="0.25">
      <c r="A116" s="6">
        <v>114</v>
      </c>
      <c r="B116" s="27" t="str">
        <f>VLOOKUP(Tbl_Price_List[[#This Row],[Product_Name]],Tbl_Prod_Catalog[[#This Row],[Product_Name]:[Class_Type]],8,0)</f>
        <v>PA, MProd, Brass, Inst.Part, Acc.</v>
      </c>
      <c r="C116" s="34" t="s">
        <v>366</v>
      </c>
      <c r="D116" s="21">
        <f>11050*Tbl_Prod_Catalog[[#This Row],[Weight (kg)]]</f>
        <v>88400</v>
      </c>
      <c r="E116" s="21">
        <f>(7350*Product_Catalog!D116)</f>
        <v>0</v>
      </c>
      <c r="F116" s="33">
        <f>5750*Tbl_Prod_Catalog[[#This Row],[Weight (kg)]]</f>
        <v>46000</v>
      </c>
      <c r="G116">
        <f>2500*Tbl_Prod_Catalog[[#This Row],[Weight (kg)]]</f>
        <v>20000</v>
      </c>
      <c r="H116">
        <f>8250*Tbl_Prod_Catalog[[#This Row],[Weight (kg)]]</f>
        <v>66000</v>
      </c>
      <c r="I116" s="21">
        <f>(4725*Product_Catalog!D116)</f>
        <v>0</v>
      </c>
      <c r="J116">
        <f>8250*Tbl_Prod_Catalog[[#This Row],[Weight (kg)]]</f>
        <v>66000</v>
      </c>
      <c r="K116">
        <f>2450*Tbl_Prod_Catalog[[#This Row],[Weight (kg)]]</f>
        <v>19600</v>
      </c>
      <c r="L116">
        <f>2600*Tbl_Prod_Catalog[[#This Row],[Weight (kg)]]</f>
        <v>20800</v>
      </c>
      <c r="M116">
        <f>6900*Tbl_Prod_Catalog[[#This Row],[Weight (kg)]]</f>
        <v>55200</v>
      </c>
      <c r="N116">
        <f>5600*Tbl_Prod_Catalog[[#This Row],[Weight (kg)]]</f>
        <v>44800</v>
      </c>
      <c r="O116">
        <f>3400*Tbl_Prod_Catalog[[#This Row],[Weight (kg)]]</f>
        <v>27200</v>
      </c>
      <c r="P116">
        <f>2800*Tbl_Prod_Catalog[[#This Row],[Weight (kg)]]</f>
        <v>22400</v>
      </c>
      <c r="Q116">
        <f>9400*Tbl_Prod_Catalog[[#This Row],[Weight (kg)]]</f>
        <v>75200</v>
      </c>
      <c r="R116">
        <f>5600*Tbl_Prod_Catalog[[#This Row],[Weight (kg)]]</f>
        <v>44800</v>
      </c>
      <c r="S116">
        <f>9400*Tbl_Prod_Catalog[[#This Row],[Weight (kg)]]</f>
        <v>75200</v>
      </c>
      <c r="T116">
        <f>9400*Tbl_Prod_Catalog[[#This Row],[Weight (kg)]]</f>
        <v>75200</v>
      </c>
      <c r="U116">
        <f>6900*Tbl_Prod_Catalog[[#This Row],[Weight (kg)]]</f>
        <v>55200</v>
      </c>
      <c r="V116" s="21">
        <f>(12000*Product_Catalog!D116)</f>
        <v>0</v>
      </c>
      <c r="W116">
        <f>6350*Tbl_Prod_Catalog[[#This Row],[Weight (kg)]]</f>
        <v>50800</v>
      </c>
      <c r="X116">
        <f>8250*Tbl_Prod_Catalog[[#This Row],[Weight (kg)]]</f>
        <v>66000</v>
      </c>
      <c r="Y116" s="21">
        <f>(5250*Product_Catalog!D116)</f>
        <v>0</v>
      </c>
      <c r="Z116">
        <f>3400*Tbl_Prod_Catalog[[#This Row],[Weight (kg)]]</f>
        <v>27200</v>
      </c>
      <c r="AA116" s="21">
        <f>(8400*Product_Catalog!D116)</f>
        <v>0</v>
      </c>
      <c r="AB116">
        <f>2800*Tbl_Prod_Catalog[[#This Row],[Weight (kg)]]</f>
        <v>22400</v>
      </c>
      <c r="AC116">
        <f>3000*Tbl_Prod_Catalog[[#This Row],[Weight (kg)]]</f>
        <v>24000</v>
      </c>
      <c r="AD116">
        <f>4350*Tbl_Prod_Catalog[[#This Row],[Weight (kg)]]</f>
        <v>34800</v>
      </c>
      <c r="AE116" s="34" t="str">
        <f>"Jakarta + Real Cost"</f>
        <v>Jakarta + Real Cost</v>
      </c>
      <c r="AF116">
        <f>2800*Tbl_Prod_Catalog[[#This Row],[Weight (kg)]]</f>
        <v>22400</v>
      </c>
    </row>
    <row r="117" spans="1:32" ht="15" customHeight="1" x14ac:dyDescent="0.25">
      <c r="A117" s="6">
        <v>115</v>
      </c>
      <c r="B117" s="27" t="str">
        <f>VLOOKUP(Tbl_Price_List[[#This Row],[Product_Name]],Tbl_Prod_Catalog[[#This Row],[Product_Name]:[Class_Type]],8,0)</f>
        <v>PA, MProd, Brass, Inst.Part, Acc.</v>
      </c>
      <c r="C117" s="34" t="s">
        <v>368</v>
      </c>
      <c r="D117" s="21">
        <f>11050*Tbl_Prod_Catalog[[#This Row],[Weight (kg)]]</f>
        <v>132600</v>
      </c>
      <c r="E117" s="21">
        <f>(7350*Product_Catalog!D117)</f>
        <v>0</v>
      </c>
      <c r="F117" s="33">
        <f>5750*Tbl_Prod_Catalog[[#This Row],[Weight (kg)]]</f>
        <v>69000</v>
      </c>
      <c r="G117">
        <f>2500*Tbl_Prod_Catalog[[#This Row],[Weight (kg)]]</f>
        <v>30000</v>
      </c>
      <c r="H117">
        <f>8250*Tbl_Prod_Catalog[[#This Row],[Weight (kg)]]</f>
        <v>99000</v>
      </c>
      <c r="I117" s="21">
        <f>(4725*Product_Catalog!D117)</f>
        <v>0</v>
      </c>
      <c r="J117">
        <f>8250*Tbl_Prod_Catalog[[#This Row],[Weight (kg)]]</f>
        <v>99000</v>
      </c>
      <c r="K117">
        <f>2450*Tbl_Prod_Catalog[[#This Row],[Weight (kg)]]</f>
        <v>29400</v>
      </c>
      <c r="L117">
        <f>2600*Tbl_Prod_Catalog[[#This Row],[Weight (kg)]]</f>
        <v>31200</v>
      </c>
      <c r="M117">
        <f>6900*Tbl_Prod_Catalog[[#This Row],[Weight (kg)]]</f>
        <v>82800</v>
      </c>
      <c r="N117">
        <f>5600*Tbl_Prod_Catalog[[#This Row],[Weight (kg)]]</f>
        <v>67200</v>
      </c>
      <c r="O117">
        <f>3400*Tbl_Prod_Catalog[[#This Row],[Weight (kg)]]</f>
        <v>40800</v>
      </c>
      <c r="P117">
        <f>2800*Tbl_Prod_Catalog[[#This Row],[Weight (kg)]]</f>
        <v>33600</v>
      </c>
      <c r="Q117">
        <f>9400*Tbl_Prod_Catalog[[#This Row],[Weight (kg)]]</f>
        <v>112800</v>
      </c>
      <c r="R117">
        <f>5600*Tbl_Prod_Catalog[[#This Row],[Weight (kg)]]</f>
        <v>67200</v>
      </c>
      <c r="S117">
        <f>9400*Tbl_Prod_Catalog[[#This Row],[Weight (kg)]]</f>
        <v>112800</v>
      </c>
      <c r="T117">
        <f>9400*Tbl_Prod_Catalog[[#This Row],[Weight (kg)]]</f>
        <v>112800</v>
      </c>
      <c r="U117">
        <f>6900*Tbl_Prod_Catalog[[#This Row],[Weight (kg)]]</f>
        <v>82800</v>
      </c>
      <c r="V117" s="21">
        <f>(12000*Product_Catalog!D117)</f>
        <v>0</v>
      </c>
      <c r="W117">
        <f>6350*Tbl_Prod_Catalog[[#This Row],[Weight (kg)]]</f>
        <v>76200</v>
      </c>
      <c r="X117">
        <f>8250*Tbl_Prod_Catalog[[#This Row],[Weight (kg)]]</f>
        <v>99000</v>
      </c>
      <c r="Y117" s="21">
        <f>(5250*Product_Catalog!D117)</f>
        <v>0</v>
      </c>
      <c r="Z117">
        <f>3400*Tbl_Prod_Catalog[[#This Row],[Weight (kg)]]</f>
        <v>40800</v>
      </c>
      <c r="AA117" s="21">
        <f>(8400*Product_Catalog!D117)</f>
        <v>0</v>
      </c>
      <c r="AB117">
        <f>2800*Tbl_Prod_Catalog[[#This Row],[Weight (kg)]]</f>
        <v>33600</v>
      </c>
      <c r="AC117">
        <f>3000*Tbl_Prod_Catalog[[#This Row],[Weight (kg)]]</f>
        <v>36000</v>
      </c>
      <c r="AD117">
        <f>4350*Tbl_Prod_Catalog[[#This Row],[Weight (kg)]]</f>
        <v>52200</v>
      </c>
      <c r="AE117" s="34" t="str">
        <f>"Jakarta + Real Cost"</f>
        <v>Jakarta + Real Cost</v>
      </c>
      <c r="AF117">
        <f>2800*Tbl_Prod_Catalog[[#This Row],[Weight (kg)]]</f>
        <v>33600</v>
      </c>
    </row>
    <row r="118" spans="1:32" ht="15" customHeight="1" x14ac:dyDescent="0.25">
      <c r="A118" s="6">
        <v>116</v>
      </c>
      <c r="B118" s="27" t="str">
        <f>VLOOKUP(Tbl_Price_List[[#This Row],[Product_Name]],Tbl_Prod_Catalog[[#This Row],[Product_Name]:[Class_Type]],8,0)</f>
        <v>PA, MProd, Brass, Inst.Part, Acc.</v>
      </c>
      <c r="C118" s="34" t="s">
        <v>369</v>
      </c>
      <c r="D118" s="21">
        <f>11050*Tbl_Prod_Catalog[[#This Row],[Weight (kg)]]</f>
        <v>132600</v>
      </c>
      <c r="E118" s="21">
        <f>(7350*Product_Catalog!D118)</f>
        <v>0</v>
      </c>
      <c r="F118" s="33">
        <f>5750*Tbl_Prod_Catalog[[#This Row],[Weight (kg)]]</f>
        <v>69000</v>
      </c>
      <c r="G118">
        <f>2500*Tbl_Prod_Catalog[[#This Row],[Weight (kg)]]</f>
        <v>30000</v>
      </c>
      <c r="H118">
        <f>8250*Tbl_Prod_Catalog[[#This Row],[Weight (kg)]]</f>
        <v>99000</v>
      </c>
      <c r="I118" s="21">
        <f>(4725*Product_Catalog!D118)</f>
        <v>0</v>
      </c>
      <c r="J118">
        <f>8250*Tbl_Prod_Catalog[[#This Row],[Weight (kg)]]</f>
        <v>99000</v>
      </c>
      <c r="K118">
        <f>2450*Tbl_Prod_Catalog[[#This Row],[Weight (kg)]]</f>
        <v>29400</v>
      </c>
      <c r="L118">
        <f>2600*Tbl_Prod_Catalog[[#This Row],[Weight (kg)]]</f>
        <v>31200</v>
      </c>
      <c r="M118">
        <f>6900*Tbl_Prod_Catalog[[#This Row],[Weight (kg)]]</f>
        <v>82800</v>
      </c>
      <c r="N118">
        <f>5600*Tbl_Prod_Catalog[[#This Row],[Weight (kg)]]</f>
        <v>67200</v>
      </c>
      <c r="O118">
        <f>3400*Tbl_Prod_Catalog[[#This Row],[Weight (kg)]]</f>
        <v>40800</v>
      </c>
      <c r="P118">
        <f>2800*Tbl_Prod_Catalog[[#This Row],[Weight (kg)]]</f>
        <v>33600</v>
      </c>
      <c r="Q118">
        <f>9400*Tbl_Prod_Catalog[[#This Row],[Weight (kg)]]</f>
        <v>112800</v>
      </c>
      <c r="R118">
        <f>5600*Tbl_Prod_Catalog[[#This Row],[Weight (kg)]]</f>
        <v>67200</v>
      </c>
      <c r="S118">
        <f>9400*Tbl_Prod_Catalog[[#This Row],[Weight (kg)]]</f>
        <v>112800</v>
      </c>
      <c r="T118">
        <f>9400*Tbl_Prod_Catalog[[#This Row],[Weight (kg)]]</f>
        <v>112800</v>
      </c>
      <c r="U118">
        <f>6900*Tbl_Prod_Catalog[[#This Row],[Weight (kg)]]</f>
        <v>82800</v>
      </c>
      <c r="V118" s="21">
        <f>(12000*Product_Catalog!D118)</f>
        <v>0</v>
      </c>
      <c r="W118">
        <f>6350*Tbl_Prod_Catalog[[#This Row],[Weight (kg)]]</f>
        <v>76200</v>
      </c>
      <c r="X118">
        <f>8250*Tbl_Prod_Catalog[[#This Row],[Weight (kg)]]</f>
        <v>99000</v>
      </c>
      <c r="Y118" s="21">
        <f>(5250*Product_Catalog!D118)</f>
        <v>0</v>
      </c>
      <c r="Z118">
        <f>3400*Tbl_Prod_Catalog[[#This Row],[Weight (kg)]]</f>
        <v>40800</v>
      </c>
      <c r="AA118" s="21">
        <f>(8400*Product_Catalog!D118)</f>
        <v>0</v>
      </c>
      <c r="AB118">
        <f>2800*Tbl_Prod_Catalog[[#This Row],[Weight (kg)]]</f>
        <v>33600</v>
      </c>
      <c r="AC118">
        <f>3000*Tbl_Prod_Catalog[[#This Row],[Weight (kg)]]</f>
        <v>36000</v>
      </c>
      <c r="AD118">
        <f>4350*Tbl_Prod_Catalog[[#This Row],[Weight (kg)]]</f>
        <v>52200</v>
      </c>
      <c r="AE118" s="34" t="str">
        <f>"Jakarta + Real Cost"</f>
        <v>Jakarta + Real Cost</v>
      </c>
      <c r="AF118">
        <f>2800*Tbl_Prod_Catalog[[#This Row],[Weight (kg)]]</f>
        <v>33600</v>
      </c>
    </row>
    <row r="119" spans="1:32" ht="15" customHeight="1" x14ac:dyDescent="0.25">
      <c r="A119" s="6">
        <v>117</v>
      </c>
      <c r="B119" s="27" t="str">
        <f>VLOOKUP(Tbl_Price_List[[#This Row],[Product_Name]],Tbl_Prod_Catalog[[#This Row],[Product_Name]:[Class_Type]],8,0)</f>
        <v>PA, MProd, Brass, Inst.Part, Acc.</v>
      </c>
      <c r="C119" s="34" t="s">
        <v>367</v>
      </c>
      <c r="D119" s="21">
        <f>11050*Tbl_Prod_Catalog[[#This Row],[Weight (kg)]]</f>
        <v>132600</v>
      </c>
      <c r="E119" s="21">
        <f>(7350*Product_Catalog!D119)</f>
        <v>0</v>
      </c>
      <c r="F119" s="33">
        <f>5750*Tbl_Prod_Catalog[[#This Row],[Weight (kg)]]</f>
        <v>69000</v>
      </c>
      <c r="G119">
        <f>2500*Tbl_Prod_Catalog[[#This Row],[Weight (kg)]]</f>
        <v>30000</v>
      </c>
      <c r="H119">
        <f>8250*Tbl_Prod_Catalog[[#This Row],[Weight (kg)]]</f>
        <v>99000</v>
      </c>
      <c r="I119" s="21">
        <f>(4725*Product_Catalog!D119)</f>
        <v>0</v>
      </c>
      <c r="J119">
        <f>8250*Tbl_Prod_Catalog[[#This Row],[Weight (kg)]]</f>
        <v>99000</v>
      </c>
      <c r="K119">
        <f>2450*Tbl_Prod_Catalog[[#This Row],[Weight (kg)]]</f>
        <v>29400</v>
      </c>
      <c r="L119">
        <f>2600*Tbl_Prod_Catalog[[#This Row],[Weight (kg)]]</f>
        <v>31200</v>
      </c>
      <c r="M119">
        <f>6900*Tbl_Prod_Catalog[[#This Row],[Weight (kg)]]</f>
        <v>82800</v>
      </c>
      <c r="N119">
        <f>5600*Tbl_Prod_Catalog[[#This Row],[Weight (kg)]]</f>
        <v>67200</v>
      </c>
      <c r="O119">
        <f>3400*Tbl_Prod_Catalog[[#This Row],[Weight (kg)]]</f>
        <v>40800</v>
      </c>
      <c r="P119">
        <f>2800*Tbl_Prod_Catalog[[#This Row],[Weight (kg)]]</f>
        <v>33600</v>
      </c>
      <c r="Q119">
        <f>9400*Tbl_Prod_Catalog[[#This Row],[Weight (kg)]]</f>
        <v>112800</v>
      </c>
      <c r="R119">
        <f>5600*Tbl_Prod_Catalog[[#This Row],[Weight (kg)]]</f>
        <v>67200</v>
      </c>
      <c r="S119">
        <f>9400*Tbl_Prod_Catalog[[#This Row],[Weight (kg)]]</f>
        <v>112800</v>
      </c>
      <c r="T119">
        <f>9400*Tbl_Prod_Catalog[[#This Row],[Weight (kg)]]</f>
        <v>112800</v>
      </c>
      <c r="U119">
        <f>6900*Tbl_Prod_Catalog[[#This Row],[Weight (kg)]]</f>
        <v>82800</v>
      </c>
      <c r="V119" s="21">
        <f>(12000*Product_Catalog!D119)</f>
        <v>0</v>
      </c>
      <c r="W119">
        <f>6350*Tbl_Prod_Catalog[[#This Row],[Weight (kg)]]</f>
        <v>76200</v>
      </c>
      <c r="X119">
        <f>8250*Tbl_Prod_Catalog[[#This Row],[Weight (kg)]]</f>
        <v>99000</v>
      </c>
      <c r="Y119" s="21">
        <f>(5250*Product_Catalog!D119)</f>
        <v>0</v>
      </c>
      <c r="Z119">
        <f>3400*Tbl_Prod_Catalog[[#This Row],[Weight (kg)]]</f>
        <v>40800</v>
      </c>
      <c r="AA119" s="21">
        <f>(8400*Product_Catalog!D119)</f>
        <v>0</v>
      </c>
      <c r="AB119">
        <f>2800*Tbl_Prod_Catalog[[#This Row],[Weight (kg)]]</f>
        <v>33600</v>
      </c>
      <c r="AC119">
        <f>3000*Tbl_Prod_Catalog[[#This Row],[Weight (kg)]]</f>
        <v>36000</v>
      </c>
      <c r="AD119">
        <f>4350*Tbl_Prod_Catalog[[#This Row],[Weight (kg)]]</f>
        <v>52200</v>
      </c>
      <c r="AE119" s="34" t="str">
        <f>"Jakarta + Real Cost"</f>
        <v>Jakarta + Real Cost</v>
      </c>
      <c r="AF119">
        <f>2800*Tbl_Prod_Catalog[[#This Row],[Weight (kg)]]</f>
        <v>33600</v>
      </c>
    </row>
    <row r="120" spans="1:32" ht="15" customHeight="1" x14ac:dyDescent="0.25">
      <c r="A120" s="6">
        <v>118</v>
      </c>
      <c r="B120" s="35" t="str">
        <f>VLOOKUP(Tbl_Price_List[[#This Row],[Product_Name]],Tbl_Prod_Catalog[[#This Row],[Product_Name]:[Class_Type]],8,0)</f>
        <v>PA, MProd, Brass, Inst.Part, Acc.</v>
      </c>
      <c r="C120" s="36" t="s">
        <v>370</v>
      </c>
      <c r="D120" s="21">
        <f>11050*Tbl_Prod_Catalog[[#This Row],[Weight (kg)]]</f>
        <v>55250</v>
      </c>
      <c r="E120" s="21">
        <f>(7350*Product_Catalog!D120)</f>
        <v>0</v>
      </c>
      <c r="F120" s="33">
        <f>5750*Tbl_Prod_Catalog[[#This Row],[Weight (kg)]]</f>
        <v>28750</v>
      </c>
      <c r="G120">
        <f>2500*Tbl_Prod_Catalog[[#This Row],[Weight (kg)]]</f>
        <v>12500</v>
      </c>
      <c r="H120">
        <f>8250*Tbl_Prod_Catalog[[#This Row],[Weight (kg)]]</f>
        <v>41250</v>
      </c>
      <c r="I120" s="21">
        <f>(4725*Product_Catalog!D120)</f>
        <v>0</v>
      </c>
      <c r="J120">
        <f>8250*Tbl_Prod_Catalog[[#This Row],[Weight (kg)]]</f>
        <v>41250</v>
      </c>
      <c r="K120">
        <f>2450*Tbl_Prod_Catalog[[#This Row],[Weight (kg)]]</f>
        <v>12250</v>
      </c>
      <c r="L120">
        <f>2600*Tbl_Prod_Catalog[[#This Row],[Weight (kg)]]</f>
        <v>13000</v>
      </c>
      <c r="M120">
        <f>6900*Tbl_Prod_Catalog[[#This Row],[Weight (kg)]]</f>
        <v>34500</v>
      </c>
      <c r="N120">
        <f>5600*Tbl_Prod_Catalog[[#This Row],[Weight (kg)]]</f>
        <v>28000</v>
      </c>
      <c r="O120">
        <f>3400*Tbl_Prod_Catalog[[#This Row],[Weight (kg)]]</f>
        <v>17000</v>
      </c>
      <c r="P120">
        <f>2800*Tbl_Prod_Catalog[[#This Row],[Weight (kg)]]</f>
        <v>14000</v>
      </c>
      <c r="Q120">
        <f>9400*Tbl_Prod_Catalog[[#This Row],[Weight (kg)]]</f>
        <v>47000</v>
      </c>
      <c r="R120">
        <f>5600*Tbl_Prod_Catalog[[#This Row],[Weight (kg)]]</f>
        <v>28000</v>
      </c>
      <c r="S120">
        <f>9400*Tbl_Prod_Catalog[[#This Row],[Weight (kg)]]</f>
        <v>47000</v>
      </c>
      <c r="T120">
        <f>9400*Tbl_Prod_Catalog[[#This Row],[Weight (kg)]]</f>
        <v>47000</v>
      </c>
      <c r="U120">
        <f>6900*Tbl_Prod_Catalog[[#This Row],[Weight (kg)]]</f>
        <v>34500</v>
      </c>
      <c r="V120" s="21">
        <f>(12000*Product_Catalog!D120)</f>
        <v>0</v>
      </c>
      <c r="W120">
        <f>6350*Tbl_Prod_Catalog[[#This Row],[Weight (kg)]]</f>
        <v>31750</v>
      </c>
      <c r="X120">
        <f>8250*Tbl_Prod_Catalog[[#This Row],[Weight (kg)]]</f>
        <v>41250</v>
      </c>
      <c r="Y120" s="21">
        <f>(5250*Product_Catalog!D120)</f>
        <v>0</v>
      </c>
      <c r="Z120">
        <f>3400*Tbl_Prod_Catalog[[#This Row],[Weight (kg)]]</f>
        <v>17000</v>
      </c>
      <c r="AA120" s="21">
        <f>(8400*Product_Catalog!D120)</f>
        <v>0</v>
      </c>
      <c r="AB120">
        <f>2800*Tbl_Prod_Catalog[[#This Row],[Weight (kg)]]</f>
        <v>14000</v>
      </c>
      <c r="AC120">
        <f>3000*Tbl_Prod_Catalog[[#This Row],[Weight (kg)]]</f>
        <v>15000</v>
      </c>
      <c r="AD120">
        <f>4350*Tbl_Prod_Catalog[[#This Row],[Weight (kg)]]</f>
        <v>21750</v>
      </c>
      <c r="AE120" s="36" t="str">
        <f>"Jakarta + Real Cost"</f>
        <v>Jakarta + Real Cost</v>
      </c>
      <c r="AF120">
        <f>2800*Tbl_Prod_Catalog[[#This Row],[Weight (kg)]]</f>
        <v>14000</v>
      </c>
    </row>
    <row r="121" spans="1:32" ht="15" customHeight="1" x14ac:dyDescent="0.25">
      <c r="A121" s="6">
        <v>119</v>
      </c>
      <c r="B121" s="27" t="str">
        <f>VLOOKUP(Tbl_Price_List[[#This Row],[Product_Name]],Tbl_Prod_Catalog[[#This Row],[Product_Name]:[Class_Type]],8,0)</f>
        <v>PA, MProd, Brass, Inst.Part, Acc.</v>
      </c>
      <c r="C121" s="34" t="s">
        <v>399</v>
      </c>
      <c r="D121" s="21">
        <f>11050*Tbl_Prod_Catalog[[#This Row],[Weight (kg)]]</f>
        <v>66300</v>
      </c>
      <c r="E121" s="21">
        <f>(7350*Product_Catalog!D121)</f>
        <v>0</v>
      </c>
      <c r="F121" s="33">
        <f>5750*Tbl_Prod_Catalog[[#This Row],[Weight (kg)]]</f>
        <v>34500</v>
      </c>
      <c r="G121">
        <f>2500*Tbl_Prod_Catalog[[#This Row],[Weight (kg)]]</f>
        <v>15000</v>
      </c>
      <c r="H121">
        <f>8250*Tbl_Prod_Catalog[[#This Row],[Weight (kg)]]</f>
        <v>49500</v>
      </c>
      <c r="I121" s="21">
        <f>(4725*Product_Catalog!D121)</f>
        <v>0</v>
      </c>
      <c r="J121">
        <f>8250*Tbl_Prod_Catalog[[#This Row],[Weight (kg)]]</f>
        <v>49500</v>
      </c>
      <c r="K121">
        <f>2450*Tbl_Prod_Catalog[[#This Row],[Weight (kg)]]</f>
        <v>14700</v>
      </c>
      <c r="L121">
        <f>2600*Tbl_Prod_Catalog[[#This Row],[Weight (kg)]]</f>
        <v>15600</v>
      </c>
      <c r="M121">
        <f>6900*Tbl_Prod_Catalog[[#This Row],[Weight (kg)]]</f>
        <v>41400</v>
      </c>
      <c r="N121">
        <f>5600*Tbl_Prod_Catalog[[#This Row],[Weight (kg)]]</f>
        <v>33600</v>
      </c>
      <c r="O121">
        <f>3400*Tbl_Prod_Catalog[[#This Row],[Weight (kg)]]</f>
        <v>20400</v>
      </c>
      <c r="P121">
        <f>2800*Tbl_Prod_Catalog[[#This Row],[Weight (kg)]]</f>
        <v>16800</v>
      </c>
      <c r="Q121">
        <f>9400*Tbl_Prod_Catalog[[#This Row],[Weight (kg)]]</f>
        <v>56400</v>
      </c>
      <c r="R121">
        <f>5600*Tbl_Prod_Catalog[[#This Row],[Weight (kg)]]</f>
        <v>33600</v>
      </c>
      <c r="S121">
        <f>9400*Tbl_Prod_Catalog[[#This Row],[Weight (kg)]]</f>
        <v>56400</v>
      </c>
      <c r="T121">
        <f>9400*Tbl_Prod_Catalog[[#This Row],[Weight (kg)]]</f>
        <v>56400</v>
      </c>
      <c r="U121">
        <f>6900*Tbl_Prod_Catalog[[#This Row],[Weight (kg)]]</f>
        <v>41400</v>
      </c>
      <c r="V121" s="21">
        <f>(12000*Product_Catalog!D121)</f>
        <v>0</v>
      </c>
      <c r="W121">
        <f>6350*Tbl_Prod_Catalog[[#This Row],[Weight (kg)]]</f>
        <v>38100</v>
      </c>
      <c r="X121">
        <f>8250*Tbl_Prod_Catalog[[#This Row],[Weight (kg)]]</f>
        <v>49500</v>
      </c>
      <c r="Y121" s="21">
        <f>(5250*Product_Catalog!D121)</f>
        <v>0</v>
      </c>
      <c r="Z121">
        <f>3400*Tbl_Prod_Catalog[[#This Row],[Weight (kg)]]</f>
        <v>20400</v>
      </c>
      <c r="AA121" s="21">
        <f>(8400*Product_Catalog!D121)</f>
        <v>0</v>
      </c>
      <c r="AB121">
        <f>2800*Tbl_Prod_Catalog[[#This Row],[Weight (kg)]]</f>
        <v>16800</v>
      </c>
      <c r="AC121">
        <f>3000*Tbl_Prod_Catalog[[#This Row],[Weight (kg)]]</f>
        <v>18000</v>
      </c>
      <c r="AD121">
        <f>4350*Tbl_Prod_Catalog[[#This Row],[Weight (kg)]]</f>
        <v>26100</v>
      </c>
      <c r="AE121" s="34" t="str">
        <f>"Jakarta + Real Cost"</f>
        <v>Jakarta + Real Cost</v>
      </c>
      <c r="AF121">
        <f>2800*Tbl_Prod_Catalog[[#This Row],[Weight (kg)]]</f>
        <v>16800</v>
      </c>
    </row>
    <row r="122" spans="1:32" ht="15" customHeight="1" x14ac:dyDescent="0.25">
      <c r="A122" s="6">
        <v>120</v>
      </c>
      <c r="B122" s="27" t="str">
        <f>VLOOKUP(Tbl_Price_List[[#This Row],[Product_Name]],Tbl_Prod_Catalog[[#This Row],[Product_Name]:[Class_Type]],8,0)</f>
        <v>PA, MProd, Brass, Inst.Part, Acc.</v>
      </c>
      <c r="C122" s="34" t="s">
        <v>371</v>
      </c>
      <c r="D122" s="21">
        <f>11050*Tbl_Prod_Catalog[[#This Row],[Weight (kg)]]</f>
        <v>66300</v>
      </c>
      <c r="E122" s="21">
        <f>(7350*Product_Catalog!D122)</f>
        <v>132300</v>
      </c>
      <c r="F122" s="33">
        <f>5750*Tbl_Prod_Catalog[[#This Row],[Weight (kg)]]</f>
        <v>34500</v>
      </c>
      <c r="G122">
        <f>2500*Tbl_Prod_Catalog[[#This Row],[Weight (kg)]]</f>
        <v>15000</v>
      </c>
      <c r="H122">
        <f>8250*Tbl_Prod_Catalog[[#This Row],[Weight (kg)]]</f>
        <v>49500</v>
      </c>
      <c r="I122" s="21">
        <f>(4725*Product_Catalog!D122)</f>
        <v>85050</v>
      </c>
      <c r="J122">
        <f>8250*Tbl_Prod_Catalog[[#This Row],[Weight (kg)]]</f>
        <v>49500</v>
      </c>
      <c r="K122">
        <f>2450*Tbl_Prod_Catalog[[#This Row],[Weight (kg)]]</f>
        <v>14700</v>
      </c>
      <c r="L122">
        <f>2600*Tbl_Prod_Catalog[[#This Row],[Weight (kg)]]</f>
        <v>15600</v>
      </c>
      <c r="M122">
        <f>6900*Tbl_Prod_Catalog[[#This Row],[Weight (kg)]]</f>
        <v>41400</v>
      </c>
      <c r="N122">
        <f>5600*Tbl_Prod_Catalog[[#This Row],[Weight (kg)]]</f>
        <v>33600</v>
      </c>
      <c r="O122">
        <f>3400*Tbl_Prod_Catalog[[#This Row],[Weight (kg)]]</f>
        <v>20400</v>
      </c>
      <c r="P122">
        <f>2800*Tbl_Prod_Catalog[[#This Row],[Weight (kg)]]</f>
        <v>16800</v>
      </c>
      <c r="Q122">
        <f>9400*Tbl_Prod_Catalog[[#This Row],[Weight (kg)]]</f>
        <v>56400</v>
      </c>
      <c r="R122">
        <f>5600*Tbl_Prod_Catalog[[#This Row],[Weight (kg)]]</f>
        <v>33600</v>
      </c>
      <c r="S122">
        <f>9400*Tbl_Prod_Catalog[[#This Row],[Weight (kg)]]</f>
        <v>56400</v>
      </c>
      <c r="T122">
        <f>9400*Tbl_Prod_Catalog[[#This Row],[Weight (kg)]]</f>
        <v>56400</v>
      </c>
      <c r="U122">
        <f>6900*Tbl_Prod_Catalog[[#This Row],[Weight (kg)]]</f>
        <v>41400</v>
      </c>
      <c r="V122" s="21">
        <f>(12000*Product_Catalog!D122)</f>
        <v>216000</v>
      </c>
      <c r="W122">
        <f>6350*Tbl_Prod_Catalog[[#This Row],[Weight (kg)]]</f>
        <v>38100</v>
      </c>
      <c r="X122">
        <f>8250*Tbl_Prod_Catalog[[#This Row],[Weight (kg)]]</f>
        <v>49500</v>
      </c>
      <c r="Y122" s="21">
        <f>(5250*Product_Catalog!D122)</f>
        <v>94500</v>
      </c>
      <c r="Z122">
        <f>3400*Tbl_Prod_Catalog[[#This Row],[Weight (kg)]]</f>
        <v>20400</v>
      </c>
      <c r="AA122" s="21">
        <f>(8400*Product_Catalog!D122)</f>
        <v>151200</v>
      </c>
      <c r="AB122">
        <f>2800*Tbl_Prod_Catalog[[#This Row],[Weight (kg)]]</f>
        <v>16800</v>
      </c>
      <c r="AC122">
        <f>3000*Tbl_Prod_Catalog[[#This Row],[Weight (kg)]]</f>
        <v>18000</v>
      </c>
      <c r="AD122">
        <f>4350*Tbl_Prod_Catalog[[#This Row],[Weight (kg)]]</f>
        <v>26100</v>
      </c>
      <c r="AE122" s="34" t="str">
        <f>"Jakarta + Real Cost"</f>
        <v>Jakarta + Real Cost</v>
      </c>
      <c r="AF122">
        <f>2800*Tbl_Prod_Catalog[[#This Row],[Weight (kg)]]</f>
        <v>16800</v>
      </c>
    </row>
    <row r="123" spans="1:32" ht="15" customHeight="1" x14ac:dyDescent="0.25">
      <c r="A123" s="6">
        <v>121</v>
      </c>
      <c r="B123" s="27" t="str">
        <f>VLOOKUP(Tbl_Price_List[[#This Row],[Product_Name]],Tbl_Prod_Catalog[[#This Row],[Product_Name]:[Class_Type]],8,0)</f>
        <v>PA, MProd, Brass, Inst.Part, Acc.</v>
      </c>
      <c r="C123" s="34" t="s">
        <v>372</v>
      </c>
      <c r="D123" s="21">
        <f>11050*Tbl_Prod_Catalog[[#This Row],[Weight (kg)]]</f>
        <v>11050</v>
      </c>
      <c r="E123" s="21">
        <f>(7350*Product_Catalog!D123)</f>
        <v>14700</v>
      </c>
      <c r="F123" s="33">
        <f>5750*Tbl_Prod_Catalog[[#This Row],[Weight (kg)]]</f>
        <v>5750</v>
      </c>
      <c r="G123">
        <f>2500*Tbl_Prod_Catalog[[#This Row],[Weight (kg)]]</f>
        <v>2500</v>
      </c>
      <c r="H123">
        <f>8250*Tbl_Prod_Catalog[[#This Row],[Weight (kg)]]</f>
        <v>8250</v>
      </c>
      <c r="I123" s="21">
        <f>(4725*Product_Catalog!D123)</f>
        <v>9450</v>
      </c>
      <c r="J123">
        <f>8250*Tbl_Prod_Catalog[[#This Row],[Weight (kg)]]</f>
        <v>8250</v>
      </c>
      <c r="K123">
        <f>2450*Tbl_Prod_Catalog[[#This Row],[Weight (kg)]]</f>
        <v>2450</v>
      </c>
      <c r="L123">
        <f>2600*Tbl_Prod_Catalog[[#This Row],[Weight (kg)]]</f>
        <v>2600</v>
      </c>
      <c r="M123">
        <f>6900*Tbl_Prod_Catalog[[#This Row],[Weight (kg)]]</f>
        <v>6900</v>
      </c>
      <c r="N123">
        <f>5600*Tbl_Prod_Catalog[[#This Row],[Weight (kg)]]</f>
        <v>5600</v>
      </c>
      <c r="O123">
        <f>3400*Tbl_Prod_Catalog[[#This Row],[Weight (kg)]]</f>
        <v>3400</v>
      </c>
      <c r="P123">
        <f>2800*Tbl_Prod_Catalog[[#This Row],[Weight (kg)]]</f>
        <v>2800</v>
      </c>
      <c r="Q123">
        <f>9400*Tbl_Prod_Catalog[[#This Row],[Weight (kg)]]</f>
        <v>9400</v>
      </c>
      <c r="R123">
        <f>5600*Tbl_Prod_Catalog[[#This Row],[Weight (kg)]]</f>
        <v>5600</v>
      </c>
      <c r="S123">
        <f>9400*Tbl_Prod_Catalog[[#This Row],[Weight (kg)]]</f>
        <v>9400</v>
      </c>
      <c r="T123">
        <f>9400*Tbl_Prod_Catalog[[#This Row],[Weight (kg)]]</f>
        <v>9400</v>
      </c>
      <c r="U123">
        <f>6900*Tbl_Prod_Catalog[[#This Row],[Weight (kg)]]</f>
        <v>6900</v>
      </c>
      <c r="V123" s="21">
        <f>(12000*Product_Catalog!D123)</f>
        <v>24000</v>
      </c>
      <c r="W123">
        <f>6350*Tbl_Prod_Catalog[[#This Row],[Weight (kg)]]</f>
        <v>6350</v>
      </c>
      <c r="X123">
        <f>8250*Tbl_Prod_Catalog[[#This Row],[Weight (kg)]]</f>
        <v>8250</v>
      </c>
      <c r="Y123" s="21">
        <f>(5250*Product_Catalog!D123)</f>
        <v>10500</v>
      </c>
      <c r="Z123">
        <f>3400*Tbl_Prod_Catalog[[#This Row],[Weight (kg)]]</f>
        <v>3400</v>
      </c>
      <c r="AA123" s="21">
        <f>(8400*Product_Catalog!D123)</f>
        <v>16800</v>
      </c>
      <c r="AB123">
        <f>2800*Tbl_Prod_Catalog[[#This Row],[Weight (kg)]]</f>
        <v>2800</v>
      </c>
      <c r="AC123">
        <f>3000*Tbl_Prod_Catalog[[#This Row],[Weight (kg)]]</f>
        <v>3000</v>
      </c>
      <c r="AD123">
        <f>4350*Tbl_Prod_Catalog[[#This Row],[Weight (kg)]]</f>
        <v>4350</v>
      </c>
      <c r="AE123" s="34" t="str">
        <f>"Jakarta + Real Cost"</f>
        <v>Jakarta + Real Cost</v>
      </c>
      <c r="AF123">
        <f>2800*Tbl_Prod_Catalog[[#This Row],[Weight (kg)]]</f>
        <v>2800</v>
      </c>
    </row>
    <row r="124" spans="1:32" ht="15" customHeight="1" x14ac:dyDescent="0.25">
      <c r="A124" s="6">
        <v>122</v>
      </c>
      <c r="B124" s="27" t="str">
        <f>VLOOKUP(Tbl_Price_List[[#This Row],[Product_Name]],Tbl_Prod_Catalog[[#This Row],[Product_Name]:[Class_Type]],8,0)</f>
        <v>PA, MProd, Brass, Inst.Part, Acc.</v>
      </c>
      <c r="C124" s="34" t="s">
        <v>373</v>
      </c>
      <c r="D124" s="21">
        <f>11050*Tbl_Prod_Catalog[[#This Row],[Weight (kg)]]</f>
        <v>121550</v>
      </c>
      <c r="E124" s="21">
        <f>(7350*Product_Catalog!D124)</f>
        <v>0</v>
      </c>
      <c r="F124" s="33">
        <f>5750*Tbl_Prod_Catalog[[#This Row],[Weight (kg)]]</f>
        <v>63250</v>
      </c>
      <c r="G124">
        <f>2500*Tbl_Prod_Catalog[[#This Row],[Weight (kg)]]</f>
        <v>27500</v>
      </c>
      <c r="H124">
        <f>8250*Tbl_Prod_Catalog[[#This Row],[Weight (kg)]]</f>
        <v>90750</v>
      </c>
      <c r="I124" s="21">
        <f>(4725*Product_Catalog!D124)</f>
        <v>0</v>
      </c>
      <c r="J124">
        <f>8250*Tbl_Prod_Catalog[[#This Row],[Weight (kg)]]</f>
        <v>90750</v>
      </c>
      <c r="K124">
        <f>2450*Tbl_Prod_Catalog[[#This Row],[Weight (kg)]]</f>
        <v>26950</v>
      </c>
      <c r="L124">
        <f>2600*Tbl_Prod_Catalog[[#This Row],[Weight (kg)]]</f>
        <v>28600</v>
      </c>
      <c r="M124">
        <f>6900*Tbl_Prod_Catalog[[#This Row],[Weight (kg)]]</f>
        <v>75900</v>
      </c>
      <c r="N124">
        <f>5600*Tbl_Prod_Catalog[[#This Row],[Weight (kg)]]</f>
        <v>61600</v>
      </c>
      <c r="O124">
        <f>3400*Tbl_Prod_Catalog[[#This Row],[Weight (kg)]]</f>
        <v>37400</v>
      </c>
      <c r="P124">
        <f>2800*Tbl_Prod_Catalog[[#This Row],[Weight (kg)]]</f>
        <v>30800</v>
      </c>
      <c r="Q124">
        <f>9400*Tbl_Prod_Catalog[[#This Row],[Weight (kg)]]</f>
        <v>103400</v>
      </c>
      <c r="R124">
        <f>5600*Tbl_Prod_Catalog[[#This Row],[Weight (kg)]]</f>
        <v>61600</v>
      </c>
      <c r="S124">
        <f>9400*Tbl_Prod_Catalog[[#This Row],[Weight (kg)]]</f>
        <v>103400</v>
      </c>
      <c r="T124">
        <f>9400*Tbl_Prod_Catalog[[#This Row],[Weight (kg)]]</f>
        <v>103400</v>
      </c>
      <c r="U124">
        <f>6900*Tbl_Prod_Catalog[[#This Row],[Weight (kg)]]</f>
        <v>75900</v>
      </c>
      <c r="V124" s="21">
        <f>(12000*Product_Catalog!D124)</f>
        <v>0</v>
      </c>
      <c r="W124">
        <f>6350*Tbl_Prod_Catalog[[#This Row],[Weight (kg)]]</f>
        <v>69850</v>
      </c>
      <c r="X124">
        <f>8250*Tbl_Prod_Catalog[[#This Row],[Weight (kg)]]</f>
        <v>90750</v>
      </c>
      <c r="Y124" s="21">
        <f>(5250*Product_Catalog!D124)</f>
        <v>0</v>
      </c>
      <c r="Z124">
        <f>3400*Tbl_Prod_Catalog[[#This Row],[Weight (kg)]]</f>
        <v>37400</v>
      </c>
      <c r="AA124" s="21">
        <f>(8400*Product_Catalog!D124)</f>
        <v>0</v>
      </c>
      <c r="AB124">
        <f>2800*Tbl_Prod_Catalog[[#This Row],[Weight (kg)]]</f>
        <v>30800</v>
      </c>
      <c r="AC124">
        <f>3000*Tbl_Prod_Catalog[[#This Row],[Weight (kg)]]</f>
        <v>33000</v>
      </c>
      <c r="AD124">
        <f>4350*Tbl_Prod_Catalog[[#This Row],[Weight (kg)]]</f>
        <v>47850</v>
      </c>
      <c r="AE124" s="34" t="str">
        <f>"Jakarta + Real Cost"</f>
        <v>Jakarta + Real Cost</v>
      </c>
      <c r="AF124">
        <f>2800*Tbl_Prod_Catalog[[#This Row],[Weight (kg)]]</f>
        <v>30800</v>
      </c>
    </row>
    <row r="125" spans="1:32" ht="15" customHeight="1" x14ac:dyDescent="0.25">
      <c r="A125" s="6">
        <v>123</v>
      </c>
      <c r="B125" s="27" t="str">
        <f>VLOOKUP(Tbl_Price_List[[#This Row],[Product_Name]],Tbl_Prod_Catalog[[#This Row],[Product_Name]:[Class_Type]],8,0)</f>
        <v>PA, MProd, Brass, Inst.Part, Acc.</v>
      </c>
      <c r="C125" s="34" t="s">
        <v>383</v>
      </c>
      <c r="D125" s="21">
        <f>11050*Tbl_Prod_Catalog[[#This Row],[Weight (kg)]]</f>
        <v>198900</v>
      </c>
      <c r="E125" s="21">
        <f>(7350*Product_Catalog!D125)</f>
        <v>132300</v>
      </c>
      <c r="F125" s="33">
        <f>5750*Tbl_Prod_Catalog[[#This Row],[Weight (kg)]]</f>
        <v>103500</v>
      </c>
      <c r="G125">
        <f>2500*Tbl_Prod_Catalog[[#This Row],[Weight (kg)]]</f>
        <v>45000</v>
      </c>
      <c r="H125">
        <f>8250*Tbl_Prod_Catalog[[#This Row],[Weight (kg)]]</f>
        <v>148500</v>
      </c>
      <c r="I125" s="21">
        <f>(4725*Product_Catalog!D125)</f>
        <v>85050</v>
      </c>
      <c r="J125">
        <f>8250*Tbl_Prod_Catalog[[#This Row],[Weight (kg)]]</f>
        <v>148500</v>
      </c>
      <c r="K125">
        <f>2450*Tbl_Prod_Catalog[[#This Row],[Weight (kg)]]</f>
        <v>44100</v>
      </c>
      <c r="L125">
        <f>2600*Tbl_Prod_Catalog[[#This Row],[Weight (kg)]]</f>
        <v>46800</v>
      </c>
      <c r="M125">
        <f>6900*Tbl_Prod_Catalog[[#This Row],[Weight (kg)]]</f>
        <v>124200</v>
      </c>
      <c r="N125">
        <f>5600*Tbl_Prod_Catalog[[#This Row],[Weight (kg)]]</f>
        <v>100800</v>
      </c>
      <c r="O125">
        <f>3400*Tbl_Prod_Catalog[[#This Row],[Weight (kg)]]</f>
        <v>61200</v>
      </c>
      <c r="P125">
        <f>2800*Tbl_Prod_Catalog[[#This Row],[Weight (kg)]]</f>
        <v>50400</v>
      </c>
      <c r="Q125">
        <f>9400*Tbl_Prod_Catalog[[#This Row],[Weight (kg)]]</f>
        <v>169200</v>
      </c>
      <c r="R125">
        <f>5600*Tbl_Prod_Catalog[[#This Row],[Weight (kg)]]</f>
        <v>100800</v>
      </c>
      <c r="S125">
        <f>9400*Tbl_Prod_Catalog[[#This Row],[Weight (kg)]]</f>
        <v>169200</v>
      </c>
      <c r="T125">
        <f>9400*Tbl_Prod_Catalog[[#This Row],[Weight (kg)]]</f>
        <v>169200</v>
      </c>
      <c r="U125">
        <f>6900*Tbl_Prod_Catalog[[#This Row],[Weight (kg)]]</f>
        <v>124200</v>
      </c>
      <c r="V125" s="21">
        <f>(12000*Product_Catalog!D125)</f>
        <v>216000</v>
      </c>
      <c r="W125">
        <f>6350*Tbl_Prod_Catalog[[#This Row],[Weight (kg)]]</f>
        <v>114300</v>
      </c>
      <c r="X125">
        <f>8250*Tbl_Prod_Catalog[[#This Row],[Weight (kg)]]</f>
        <v>148500</v>
      </c>
      <c r="Y125" s="21">
        <f>(5250*Product_Catalog!D125)</f>
        <v>94500</v>
      </c>
      <c r="Z125">
        <f>3400*Tbl_Prod_Catalog[[#This Row],[Weight (kg)]]</f>
        <v>61200</v>
      </c>
      <c r="AA125" s="21">
        <f>(8400*Product_Catalog!D125)</f>
        <v>151200</v>
      </c>
      <c r="AB125">
        <f>2800*Tbl_Prod_Catalog[[#This Row],[Weight (kg)]]</f>
        <v>50400</v>
      </c>
      <c r="AC125">
        <f>3000*Tbl_Prod_Catalog[[#This Row],[Weight (kg)]]</f>
        <v>54000</v>
      </c>
      <c r="AD125">
        <f>4350*Tbl_Prod_Catalog[[#This Row],[Weight (kg)]]</f>
        <v>78300</v>
      </c>
      <c r="AE125" s="34" t="str">
        <f>"Jakarta + Real Cost"</f>
        <v>Jakarta + Real Cost</v>
      </c>
      <c r="AF125">
        <f>2800*Tbl_Prod_Catalog[[#This Row],[Weight (kg)]]</f>
        <v>50400</v>
      </c>
    </row>
    <row r="126" spans="1:32" ht="15" customHeight="1" x14ac:dyDescent="0.25">
      <c r="A126" s="6">
        <v>124</v>
      </c>
      <c r="B126" s="27" t="str">
        <f>VLOOKUP(Tbl_Price_List[[#This Row],[Product_Name]],Tbl_Prod_Catalog[[#This Row],[Product_Name]:[Class_Type]],8,0)</f>
        <v>PA, MProd, Brass, Inst.Part, Acc.</v>
      </c>
      <c r="C126" s="34" t="s">
        <v>374</v>
      </c>
      <c r="D126" s="21">
        <f>11050*Tbl_Prod_Catalog[[#This Row],[Weight (kg)]]</f>
        <v>22100</v>
      </c>
      <c r="E126" s="21">
        <f>(7350*Product_Catalog!D126)</f>
        <v>51450</v>
      </c>
      <c r="F126" s="33">
        <f>5750*Tbl_Prod_Catalog[[#This Row],[Weight (kg)]]</f>
        <v>11500</v>
      </c>
      <c r="G126">
        <f>2500*Tbl_Prod_Catalog[[#This Row],[Weight (kg)]]</f>
        <v>5000</v>
      </c>
      <c r="H126">
        <f>8250*Tbl_Prod_Catalog[[#This Row],[Weight (kg)]]</f>
        <v>16500</v>
      </c>
      <c r="I126" s="21">
        <f>(4725*Product_Catalog!D126)</f>
        <v>33075</v>
      </c>
      <c r="J126">
        <f>8250*Tbl_Prod_Catalog[[#This Row],[Weight (kg)]]</f>
        <v>16500</v>
      </c>
      <c r="K126">
        <f>2450*Tbl_Prod_Catalog[[#This Row],[Weight (kg)]]</f>
        <v>4900</v>
      </c>
      <c r="L126">
        <f>2600*Tbl_Prod_Catalog[[#This Row],[Weight (kg)]]</f>
        <v>5200</v>
      </c>
      <c r="M126">
        <f>6900*Tbl_Prod_Catalog[[#This Row],[Weight (kg)]]</f>
        <v>13800</v>
      </c>
      <c r="N126">
        <f>5600*Tbl_Prod_Catalog[[#This Row],[Weight (kg)]]</f>
        <v>11200</v>
      </c>
      <c r="O126">
        <f>3400*Tbl_Prod_Catalog[[#This Row],[Weight (kg)]]</f>
        <v>6800</v>
      </c>
      <c r="P126">
        <f>2800*Tbl_Prod_Catalog[[#This Row],[Weight (kg)]]</f>
        <v>5600</v>
      </c>
      <c r="Q126">
        <f>9400*Tbl_Prod_Catalog[[#This Row],[Weight (kg)]]</f>
        <v>18800</v>
      </c>
      <c r="R126">
        <f>5600*Tbl_Prod_Catalog[[#This Row],[Weight (kg)]]</f>
        <v>11200</v>
      </c>
      <c r="S126">
        <f>9400*Tbl_Prod_Catalog[[#This Row],[Weight (kg)]]</f>
        <v>18800</v>
      </c>
      <c r="T126">
        <f>9400*Tbl_Prod_Catalog[[#This Row],[Weight (kg)]]</f>
        <v>18800</v>
      </c>
      <c r="U126">
        <f>6900*Tbl_Prod_Catalog[[#This Row],[Weight (kg)]]</f>
        <v>13800</v>
      </c>
      <c r="V126" s="21">
        <f>(12000*Product_Catalog!D126)</f>
        <v>84000</v>
      </c>
      <c r="W126">
        <f>6350*Tbl_Prod_Catalog[[#This Row],[Weight (kg)]]</f>
        <v>12700</v>
      </c>
      <c r="X126">
        <f>8250*Tbl_Prod_Catalog[[#This Row],[Weight (kg)]]</f>
        <v>16500</v>
      </c>
      <c r="Y126" s="21">
        <f>(5250*Product_Catalog!D126)</f>
        <v>36750</v>
      </c>
      <c r="Z126">
        <f>3400*Tbl_Prod_Catalog[[#This Row],[Weight (kg)]]</f>
        <v>6800</v>
      </c>
      <c r="AA126" s="21">
        <f>(8400*Product_Catalog!D126)</f>
        <v>58800</v>
      </c>
      <c r="AB126">
        <f>2800*Tbl_Prod_Catalog[[#This Row],[Weight (kg)]]</f>
        <v>5600</v>
      </c>
      <c r="AC126">
        <f>3000*Tbl_Prod_Catalog[[#This Row],[Weight (kg)]]</f>
        <v>6000</v>
      </c>
      <c r="AD126">
        <f>4350*Tbl_Prod_Catalog[[#This Row],[Weight (kg)]]</f>
        <v>8700</v>
      </c>
      <c r="AE126" s="34" t="str">
        <f>"Jakarta + Real Cost"</f>
        <v>Jakarta + Real Cost</v>
      </c>
      <c r="AF126">
        <f>2800*Tbl_Prod_Catalog[[#This Row],[Weight (kg)]]</f>
        <v>5600</v>
      </c>
    </row>
    <row r="127" spans="1:32" ht="15" customHeight="1" x14ac:dyDescent="0.25">
      <c r="A127" s="6">
        <v>125</v>
      </c>
      <c r="B127" s="27" t="str">
        <f>VLOOKUP(Tbl_Price_List[[#This Row],[Product_Name]],Tbl_Prod_Catalog[[#This Row],[Product_Name]:[Class_Type]],8,0)</f>
        <v>PA, MProd, Brass, Inst.Part, Acc.</v>
      </c>
      <c r="C127" s="34" t="s">
        <v>375</v>
      </c>
      <c r="D127" s="21">
        <f>11050*Tbl_Prod_Catalog[[#This Row],[Weight (kg)]]</f>
        <v>22100</v>
      </c>
      <c r="E127" s="21">
        <f>(7350*Product_Catalog!D127)</f>
        <v>36750</v>
      </c>
      <c r="F127" s="33">
        <f>5750*Tbl_Prod_Catalog[[#This Row],[Weight (kg)]]</f>
        <v>11500</v>
      </c>
      <c r="G127">
        <f>2500*Tbl_Prod_Catalog[[#This Row],[Weight (kg)]]</f>
        <v>5000</v>
      </c>
      <c r="H127">
        <f>8250*Tbl_Prod_Catalog[[#This Row],[Weight (kg)]]</f>
        <v>16500</v>
      </c>
      <c r="I127" s="21">
        <f>(4725*Product_Catalog!D127)</f>
        <v>23625</v>
      </c>
      <c r="J127">
        <f>8250*Tbl_Prod_Catalog[[#This Row],[Weight (kg)]]</f>
        <v>16500</v>
      </c>
      <c r="K127">
        <f>2450*Tbl_Prod_Catalog[[#This Row],[Weight (kg)]]</f>
        <v>4900</v>
      </c>
      <c r="L127">
        <f>2600*Tbl_Prod_Catalog[[#This Row],[Weight (kg)]]</f>
        <v>5200</v>
      </c>
      <c r="M127">
        <f>6900*Tbl_Prod_Catalog[[#This Row],[Weight (kg)]]</f>
        <v>13800</v>
      </c>
      <c r="N127">
        <f>5600*Tbl_Prod_Catalog[[#This Row],[Weight (kg)]]</f>
        <v>11200</v>
      </c>
      <c r="O127">
        <f>3400*Tbl_Prod_Catalog[[#This Row],[Weight (kg)]]</f>
        <v>6800</v>
      </c>
      <c r="P127">
        <f>2800*Tbl_Prod_Catalog[[#This Row],[Weight (kg)]]</f>
        <v>5600</v>
      </c>
      <c r="Q127">
        <f>9400*Tbl_Prod_Catalog[[#This Row],[Weight (kg)]]</f>
        <v>18800</v>
      </c>
      <c r="R127">
        <f>5600*Tbl_Prod_Catalog[[#This Row],[Weight (kg)]]</f>
        <v>11200</v>
      </c>
      <c r="S127">
        <f>9400*Tbl_Prod_Catalog[[#This Row],[Weight (kg)]]</f>
        <v>18800</v>
      </c>
      <c r="T127">
        <f>9400*Tbl_Prod_Catalog[[#This Row],[Weight (kg)]]</f>
        <v>18800</v>
      </c>
      <c r="U127">
        <f>6900*Tbl_Prod_Catalog[[#This Row],[Weight (kg)]]</f>
        <v>13800</v>
      </c>
      <c r="V127" s="21">
        <f>(12000*Product_Catalog!D127)</f>
        <v>60000</v>
      </c>
      <c r="W127">
        <f>6350*Tbl_Prod_Catalog[[#This Row],[Weight (kg)]]</f>
        <v>12700</v>
      </c>
      <c r="X127">
        <f>8250*Tbl_Prod_Catalog[[#This Row],[Weight (kg)]]</f>
        <v>16500</v>
      </c>
      <c r="Y127" s="21">
        <f>(5250*Product_Catalog!D127)</f>
        <v>26250</v>
      </c>
      <c r="Z127">
        <f>3400*Tbl_Prod_Catalog[[#This Row],[Weight (kg)]]</f>
        <v>6800</v>
      </c>
      <c r="AA127" s="21">
        <f>(8400*Product_Catalog!D127)</f>
        <v>42000</v>
      </c>
      <c r="AB127">
        <f>2800*Tbl_Prod_Catalog[[#This Row],[Weight (kg)]]</f>
        <v>5600</v>
      </c>
      <c r="AC127">
        <f>3000*Tbl_Prod_Catalog[[#This Row],[Weight (kg)]]</f>
        <v>6000</v>
      </c>
      <c r="AD127">
        <f>4350*Tbl_Prod_Catalog[[#This Row],[Weight (kg)]]</f>
        <v>8700</v>
      </c>
      <c r="AE127" s="34" t="str">
        <f>"Jakarta + Real Cost"</f>
        <v>Jakarta + Real Cost</v>
      </c>
      <c r="AF127">
        <f>2800*Tbl_Prod_Catalog[[#This Row],[Weight (kg)]]</f>
        <v>5600</v>
      </c>
    </row>
    <row r="128" spans="1:32" ht="15" customHeight="1" x14ac:dyDescent="0.25">
      <c r="A128" s="6">
        <v>126</v>
      </c>
      <c r="B128" s="27" t="str">
        <f>VLOOKUP(Tbl_Price_List[[#This Row],[Product_Name]],Tbl_Prod_Catalog[[#This Row],[Product_Name]:[Class_Type]],8,0)</f>
        <v>PA, MProd, Brass, Inst.Part, Acc.</v>
      </c>
      <c r="C128" s="34" t="s">
        <v>376</v>
      </c>
      <c r="D128" s="21">
        <f>11050*Tbl_Prod_Catalog[[#This Row],[Weight (kg)]]</f>
        <v>243100</v>
      </c>
      <c r="E128" s="21">
        <f>(7350*Product_Catalog!D128)</f>
        <v>0</v>
      </c>
      <c r="F128" s="33">
        <f>5750*Tbl_Prod_Catalog[[#This Row],[Weight (kg)]]</f>
        <v>126500</v>
      </c>
      <c r="G128">
        <f>2500*Tbl_Prod_Catalog[[#This Row],[Weight (kg)]]</f>
        <v>55000</v>
      </c>
      <c r="H128">
        <f>8250*Tbl_Prod_Catalog[[#This Row],[Weight (kg)]]</f>
        <v>181500</v>
      </c>
      <c r="I128" s="21">
        <f>(4725*Product_Catalog!D128)</f>
        <v>0</v>
      </c>
      <c r="J128">
        <f>8250*Tbl_Prod_Catalog[[#This Row],[Weight (kg)]]</f>
        <v>181500</v>
      </c>
      <c r="K128">
        <f>2450*Tbl_Prod_Catalog[[#This Row],[Weight (kg)]]</f>
        <v>53900</v>
      </c>
      <c r="L128">
        <f>2600*Tbl_Prod_Catalog[[#This Row],[Weight (kg)]]</f>
        <v>57200</v>
      </c>
      <c r="M128">
        <f>6900*Tbl_Prod_Catalog[[#This Row],[Weight (kg)]]</f>
        <v>151800</v>
      </c>
      <c r="N128">
        <f>5600*Tbl_Prod_Catalog[[#This Row],[Weight (kg)]]</f>
        <v>123200</v>
      </c>
      <c r="O128">
        <f>3400*Tbl_Prod_Catalog[[#This Row],[Weight (kg)]]</f>
        <v>74800</v>
      </c>
      <c r="P128">
        <f>2800*Tbl_Prod_Catalog[[#This Row],[Weight (kg)]]</f>
        <v>61600</v>
      </c>
      <c r="Q128">
        <f>9400*Tbl_Prod_Catalog[[#This Row],[Weight (kg)]]</f>
        <v>206800</v>
      </c>
      <c r="R128">
        <f>5600*Tbl_Prod_Catalog[[#This Row],[Weight (kg)]]</f>
        <v>123200</v>
      </c>
      <c r="S128">
        <f>9400*Tbl_Prod_Catalog[[#This Row],[Weight (kg)]]</f>
        <v>206800</v>
      </c>
      <c r="T128">
        <f>9400*Tbl_Prod_Catalog[[#This Row],[Weight (kg)]]</f>
        <v>206800</v>
      </c>
      <c r="U128">
        <f>6900*Tbl_Prod_Catalog[[#This Row],[Weight (kg)]]</f>
        <v>151800</v>
      </c>
      <c r="V128" s="21">
        <f>(12000*Product_Catalog!D128)</f>
        <v>0</v>
      </c>
      <c r="W128">
        <f>6350*Tbl_Prod_Catalog[[#This Row],[Weight (kg)]]</f>
        <v>139700</v>
      </c>
      <c r="X128">
        <f>8250*Tbl_Prod_Catalog[[#This Row],[Weight (kg)]]</f>
        <v>181500</v>
      </c>
      <c r="Y128" s="21">
        <f>(5250*Product_Catalog!D128)</f>
        <v>0</v>
      </c>
      <c r="Z128">
        <f>3400*Tbl_Prod_Catalog[[#This Row],[Weight (kg)]]</f>
        <v>74800</v>
      </c>
      <c r="AA128" s="21">
        <f>(8400*Product_Catalog!D128)</f>
        <v>0</v>
      </c>
      <c r="AB128">
        <f>2800*Tbl_Prod_Catalog[[#This Row],[Weight (kg)]]</f>
        <v>61600</v>
      </c>
      <c r="AC128">
        <f>3000*Tbl_Prod_Catalog[[#This Row],[Weight (kg)]]</f>
        <v>66000</v>
      </c>
      <c r="AD128">
        <f>4350*Tbl_Prod_Catalog[[#This Row],[Weight (kg)]]</f>
        <v>95700</v>
      </c>
      <c r="AE128" s="34" t="str">
        <f>"Jakarta + Real Cost"</f>
        <v>Jakarta + Real Cost</v>
      </c>
      <c r="AF128">
        <f>2800*Tbl_Prod_Catalog[[#This Row],[Weight (kg)]]</f>
        <v>61600</v>
      </c>
    </row>
    <row r="129" spans="1:32" ht="15" customHeight="1" x14ac:dyDescent="0.25">
      <c r="A129" s="6">
        <v>127</v>
      </c>
      <c r="B129" s="27" t="str">
        <f>VLOOKUP(Tbl_Price_List[[#This Row],[Product_Name]],Tbl_Prod_Catalog[[#This Row],[Product_Name]:[Class_Type]],8,0)</f>
        <v>PA, MProd, Brass, Inst.Part, Acc.</v>
      </c>
      <c r="C129" s="34" t="s">
        <v>377</v>
      </c>
      <c r="D129" s="21">
        <f>11050*Tbl_Prod_Catalog[[#This Row],[Weight (kg)]]</f>
        <v>44200</v>
      </c>
      <c r="E129" s="21">
        <f>(7350*Product_Catalog!D129)</f>
        <v>0</v>
      </c>
      <c r="F129" s="33">
        <f>5750*Tbl_Prod_Catalog[[#This Row],[Weight (kg)]]</f>
        <v>23000</v>
      </c>
      <c r="G129">
        <f>2500*Tbl_Prod_Catalog[[#This Row],[Weight (kg)]]</f>
        <v>10000</v>
      </c>
      <c r="H129">
        <f>8250*Tbl_Prod_Catalog[[#This Row],[Weight (kg)]]</f>
        <v>33000</v>
      </c>
      <c r="I129" s="21">
        <f>(4725*Product_Catalog!D129)</f>
        <v>0</v>
      </c>
      <c r="J129">
        <f>8250*Tbl_Prod_Catalog[[#This Row],[Weight (kg)]]</f>
        <v>33000</v>
      </c>
      <c r="K129">
        <f>2450*Tbl_Prod_Catalog[[#This Row],[Weight (kg)]]</f>
        <v>9800</v>
      </c>
      <c r="L129">
        <f>2600*Tbl_Prod_Catalog[[#This Row],[Weight (kg)]]</f>
        <v>10400</v>
      </c>
      <c r="M129">
        <f>6900*Tbl_Prod_Catalog[[#This Row],[Weight (kg)]]</f>
        <v>27600</v>
      </c>
      <c r="N129">
        <f>5600*Tbl_Prod_Catalog[[#This Row],[Weight (kg)]]</f>
        <v>22400</v>
      </c>
      <c r="O129">
        <f>3400*Tbl_Prod_Catalog[[#This Row],[Weight (kg)]]</f>
        <v>13600</v>
      </c>
      <c r="P129">
        <f>2800*Tbl_Prod_Catalog[[#This Row],[Weight (kg)]]</f>
        <v>11200</v>
      </c>
      <c r="Q129">
        <f>9400*Tbl_Prod_Catalog[[#This Row],[Weight (kg)]]</f>
        <v>37600</v>
      </c>
      <c r="R129">
        <f>5600*Tbl_Prod_Catalog[[#This Row],[Weight (kg)]]</f>
        <v>22400</v>
      </c>
      <c r="S129">
        <f>9400*Tbl_Prod_Catalog[[#This Row],[Weight (kg)]]</f>
        <v>37600</v>
      </c>
      <c r="T129">
        <f>9400*Tbl_Prod_Catalog[[#This Row],[Weight (kg)]]</f>
        <v>37600</v>
      </c>
      <c r="U129">
        <f>6900*Tbl_Prod_Catalog[[#This Row],[Weight (kg)]]</f>
        <v>27600</v>
      </c>
      <c r="V129" s="21">
        <f>(12000*Product_Catalog!D129)</f>
        <v>0</v>
      </c>
      <c r="W129">
        <f>6350*Tbl_Prod_Catalog[[#This Row],[Weight (kg)]]</f>
        <v>25400</v>
      </c>
      <c r="X129">
        <f>8250*Tbl_Prod_Catalog[[#This Row],[Weight (kg)]]</f>
        <v>33000</v>
      </c>
      <c r="Y129" s="21">
        <f>(5250*Product_Catalog!D129)</f>
        <v>0</v>
      </c>
      <c r="Z129">
        <f>3400*Tbl_Prod_Catalog[[#This Row],[Weight (kg)]]</f>
        <v>13600</v>
      </c>
      <c r="AA129" s="21">
        <f>(8400*Product_Catalog!D129)</f>
        <v>0</v>
      </c>
      <c r="AB129">
        <f>2800*Tbl_Prod_Catalog[[#This Row],[Weight (kg)]]</f>
        <v>11200</v>
      </c>
      <c r="AC129">
        <f>3000*Tbl_Prod_Catalog[[#This Row],[Weight (kg)]]</f>
        <v>12000</v>
      </c>
      <c r="AD129">
        <f>4350*Tbl_Prod_Catalog[[#This Row],[Weight (kg)]]</f>
        <v>17400</v>
      </c>
      <c r="AE129" s="34" t="str">
        <f>"Jakarta + Real Cost"</f>
        <v>Jakarta + Real Cost</v>
      </c>
      <c r="AF129">
        <f>2800*Tbl_Prod_Catalog[[#This Row],[Weight (kg)]]</f>
        <v>11200</v>
      </c>
    </row>
    <row r="130" spans="1:32" ht="15" customHeight="1" x14ac:dyDescent="0.25">
      <c r="A130" s="6">
        <v>128</v>
      </c>
      <c r="B130" s="27" t="str">
        <f>VLOOKUP(Tbl_Price_List[[#This Row],[Product_Name]],Tbl_Prod_Catalog[[#This Row],[Product_Name]:[Class_Type]],8,0)</f>
        <v>PA, MProd, Brass, Inst.Part, Acc.</v>
      </c>
      <c r="C130" s="34" t="s">
        <v>378</v>
      </c>
      <c r="D130" s="21">
        <f>11050*Tbl_Prod_Catalog[[#This Row],[Weight (kg)]]</f>
        <v>198900</v>
      </c>
      <c r="E130" s="21">
        <f>(7350*Product_Catalog!D130)</f>
        <v>0</v>
      </c>
      <c r="F130" s="33">
        <f>5750*Tbl_Prod_Catalog[[#This Row],[Weight (kg)]]</f>
        <v>103500</v>
      </c>
      <c r="G130">
        <f>2500*Tbl_Prod_Catalog[[#This Row],[Weight (kg)]]</f>
        <v>45000</v>
      </c>
      <c r="H130">
        <f>8250*Tbl_Prod_Catalog[[#This Row],[Weight (kg)]]</f>
        <v>148500</v>
      </c>
      <c r="I130" s="21">
        <f>(4725*Product_Catalog!D130)</f>
        <v>0</v>
      </c>
      <c r="J130">
        <f>8250*Tbl_Prod_Catalog[[#This Row],[Weight (kg)]]</f>
        <v>148500</v>
      </c>
      <c r="K130">
        <f>2450*Tbl_Prod_Catalog[[#This Row],[Weight (kg)]]</f>
        <v>44100</v>
      </c>
      <c r="L130">
        <f>2600*Tbl_Prod_Catalog[[#This Row],[Weight (kg)]]</f>
        <v>46800</v>
      </c>
      <c r="M130">
        <f>6900*Tbl_Prod_Catalog[[#This Row],[Weight (kg)]]</f>
        <v>124200</v>
      </c>
      <c r="N130">
        <f>5600*Tbl_Prod_Catalog[[#This Row],[Weight (kg)]]</f>
        <v>100800</v>
      </c>
      <c r="O130">
        <f>3400*Tbl_Prod_Catalog[[#This Row],[Weight (kg)]]</f>
        <v>61200</v>
      </c>
      <c r="P130">
        <f>2800*Tbl_Prod_Catalog[[#This Row],[Weight (kg)]]</f>
        <v>50400</v>
      </c>
      <c r="Q130">
        <f>9400*Tbl_Prod_Catalog[[#This Row],[Weight (kg)]]</f>
        <v>169200</v>
      </c>
      <c r="R130">
        <f>5600*Tbl_Prod_Catalog[[#This Row],[Weight (kg)]]</f>
        <v>100800</v>
      </c>
      <c r="S130">
        <f>9400*Tbl_Prod_Catalog[[#This Row],[Weight (kg)]]</f>
        <v>169200</v>
      </c>
      <c r="T130">
        <f>9400*Tbl_Prod_Catalog[[#This Row],[Weight (kg)]]</f>
        <v>169200</v>
      </c>
      <c r="U130">
        <f>6900*Tbl_Prod_Catalog[[#This Row],[Weight (kg)]]</f>
        <v>124200</v>
      </c>
      <c r="V130" s="21">
        <f>(12000*Product_Catalog!D130)</f>
        <v>0</v>
      </c>
      <c r="W130">
        <f>6350*Tbl_Prod_Catalog[[#This Row],[Weight (kg)]]</f>
        <v>114300</v>
      </c>
      <c r="X130">
        <f>8250*Tbl_Prod_Catalog[[#This Row],[Weight (kg)]]</f>
        <v>148500</v>
      </c>
      <c r="Y130" s="21">
        <f>(5250*Product_Catalog!D130)</f>
        <v>0</v>
      </c>
      <c r="Z130">
        <f>3400*Tbl_Prod_Catalog[[#This Row],[Weight (kg)]]</f>
        <v>61200</v>
      </c>
      <c r="AA130" s="21">
        <f>(8400*Product_Catalog!D130)</f>
        <v>0</v>
      </c>
      <c r="AB130">
        <f>2800*Tbl_Prod_Catalog[[#This Row],[Weight (kg)]]</f>
        <v>50400</v>
      </c>
      <c r="AC130">
        <f>3000*Tbl_Prod_Catalog[[#This Row],[Weight (kg)]]</f>
        <v>54000</v>
      </c>
      <c r="AD130">
        <f>4350*Tbl_Prod_Catalog[[#This Row],[Weight (kg)]]</f>
        <v>78300</v>
      </c>
      <c r="AE130" s="34" t="str">
        <f>"Jakarta + Real Cost"</f>
        <v>Jakarta + Real Cost</v>
      </c>
      <c r="AF130">
        <f>2800*Tbl_Prod_Catalog[[#This Row],[Weight (kg)]]</f>
        <v>50400</v>
      </c>
    </row>
    <row r="131" spans="1:32" ht="15" customHeight="1" x14ac:dyDescent="0.25">
      <c r="A131" s="6">
        <v>129</v>
      </c>
      <c r="B131" s="27" t="str">
        <f>VLOOKUP(Tbl_Price_List[[#This Row],[Product_Name]],Tbl_Prod_Catalog[[#This Row],[Product_Name]:[Class_Type]],8,0)</f>
        <v>PA, MProd, Brass, Inst.Part, Acc.</v>
      </c>
      <c r="C131" s="34" t="s">
        <v>379</v>
      </c>
      <c r="D131" s="21">
        <f>11050*Tbl_Prod_Catalog[[#This Row],[Weight (kg)]]</f>
        <v>66300</v>
      </c>
      <c r="E131" s="21">
        <f>(7350*Product_Catalog!D131)</f>
        <v>0</v>
      </c>
      <c r="F131" s="33">
        <f>5750*Tbl_Prod_Catalog[[#This Row],[Weight (kg)]]</f>
        <v>34500</v>
      </c>
      <c r="G131">
        <f>2500*Tbl_Prod_Catalog[[#This Row],[Weight (kg)]]</f>
        <v>15000</v>
      </c>
      <c r="H131">
        <f>8250*Tbl_Prod_Catalog[[#This Row],[Weight (kg)]]</f>
        <v>49500</v>
      </c>
      <c r="I131" s="21">
        <f>(4725*Product_Catalog!D131)</f>
        <v>0</v>
      </c>
      <c r="J131">
        <f>8250*Tbl_Prod_Catalog[[#This Row],[Weight (kg)]]</f>
        <v>49500</v>
      </c>
      <c r="K131">
        <f>2450*Tbl_Prod_Catalog[[#This Row],[Weight (kg)]]</f>
        <v>14700</v>
      </c>
      <c r="L131">
        <f>2600*Tbl_Prod_Catalog[[#This Row],[Weight (kg)]]</f>
        <v>15600</v>
      </c>
      <c r="M131">
        <f>6900*Tbl_Prod_Catalog[[#This Row],[Weight (kg)]]</f>
        <v>41400</v>
      </c>
      <c r="N131">
        <f>5600*Tbl_Prod_Catalog[[#This Row],[Weight (kg)]]</f>
        <v>33600</v>
      </c>
      <c r="O131">
        <f>3400*Tbl_Prod_Catalog[[#This Row],[Weight (kg)]]</f>
        <v>20400</v>
      </c>
      <c r="P131">
        <f>2800*Tbl_Prod_Catalog[[#This Row],[Weight (kg)]]</f>
        <v>16800</v>
      </c>
      <c r="Q131">
        <f>9400*Tbl_Prod_Catalog[[#This Row],[Weight (kg)]]</f>
        <v>56400</v>
      </c>
      <c r="R131">
        <f>5600*Tbl_Prod_Catalog[[#This Row],[Weight (kg)]]</f>
        <v>33600</v>
      </c>
      <c r="S131">
        <f>9400*Tbl_Prod_Catalog[[#This Row],[Weight (kg)]]</f>
        <v>56400</v>
      </c>
      <c r="T131">
        <f>9400*Tbl_Prod_Catalog[[#This Row],[Weight (kg)]]</f>
        <v>56400</v>
      </c>
      <c r="U131">
        <f>6900*Tbl_Prod_Catalog[[#This Row],[Weight (kg)]]</f>
        <v>41400</v>
      </c>
      <c r="V131" s="21">
        <f>(12000*Product_Catalog!D131)</f>
        <v>0</v>
      </c>
      <c r="W131">
        <f>6350*Tbl_Prod_Catalog[[#This Row],[Weight (kg)]]</f>
        <v>38100</v>
      </c>
      <c r="X131">
        <f>8250*Tbl_Prod_Catalog[[#This Row],[Weight (kg)]]</f>
        <v>49500</v>
      </c>
      <c r="Y131" s="21">
        <f>(5250*Product_Catalog!D131)</f>
        <v>0</v>
      </c>
      <c r="Z131">
        <f>3400*Tbl_Prod_Catalog[[#This Row],[Weight (kg)]]</f>
        <v>20400</v>
      </c>
      <c r="AA131" s="21">
        <f>(8400*Product_Catalog!D131)</f>
        <v>0</v>
      </c>
      <c r="AB131">
        <f>2800*Tbl_Prod_Catalog[[#This Row],[Weight (kg)]]</f>
        <v>16800</v>
      </c>
      <c r="AC131">
        <f>3000*Tbl_Prod_Catalog[[#This Row],[Weight (kg)]]</f>
        <v>18000</v>
      </c>
      <c r="AD131">
        <f>4350*Tbl_Prod_Catalog[[#This Row],[Weight (kg)]]</f>
        <v>26100</v>
      </c>
      <c r="AE131" s="34" t="str">
        <f>"Jakarta + Real Cost"</f>
        <v>Jakarta + Real Cost</v>
      </c>
      <c r="AF131">
        <f>2800*Tbl_Prod_Catalog[[#This Row],[Weight (kg)]]</f>
        <v>16800</v>
      </c>
    </row>
    <row r="132" spans="1:32" ht="15" customHeight="1" x14ac:dyDescent="0.25">
      <c r="A132" s="6">
        <v>130</v>
      </c>
      <c r="B132" s="27" t="str">
        <f>VLOOKUP(Tbl_Price_List[[#This Row],[Product_Name]],Tbl_Prod_Catalog[[#This Row],[Product_Name]:[Class_Type]],8,0)</f>
        <v>PA, MProd, Brass, Inst.Part, Acc.</v>
      </c>
      <c r="C132" s="34" t="s">
        <v>380</v>
      </c>
      <c r="D132" s="21">
        <f>11050*Tbl_Prod_Catalog[[#This Row],[Weight (kg)]]</f>
        <v>44200</v>
      </c>
      <c r="E132" s="21">
        <f>(7350*Product_Catalog!D132)</f>
        <v>0</v>
      </c>
      <c r="F132" s="33">
        <f>5750*Tbl_Prod_Catalog[[#This Row],[Weight (kg)]]</f>
        <v>23000</v>
      </c>
      <c r="G132">
        <f>2500*Tbl_Prod_Catalog[[#This Row],[Weight (kg)]]</f>
        <v>10000</v>
      </c>
      <c r="H132">
        <f>8250*Tbl_Prod_Catalog[[#This Row],[Weight (kg)]]</f>
        <v>33000</v>
      </c>
      <c r="I132" s="21">
        <f>(4725*Product_Catalog!D132)</f>
        <v>0</v>
      </c>
      <c r="J132">
        <f>8250*Tbl_Prod_Catalog[[#This Row],[Weight (kg)]]</f>
        <v>33000</v>
      </c>
      <c r="K132">
        <f>2450*Tbl_Prod_Catalog[[#This Row],[Weight (kg)]]</f>
        <v>9800</v>
      </c>
      <c r="L132">
        <f>2600*Tbl_Prod_Catalog[[#This Row],[Weight (kg)]]</f>
        <v>10400</v>
      </c>
      <c r="M132">
        <f>6900*Tbl_Prod_Catalog[[#This Row],[Weight (kg)]]</f>
        <v>27600</v>
      </c>
      <c r="N132">
        <f>5600*Tbl_Prod_Catalog[[#This Row],[Weight (kg)]]</f>
        <v>22400</v>
      </c>
      <c r="O132">
        <f>3400*Tbl_Prod_Catalog[[#This Row],[Weight (kg)]]</f>
        <v>13600</v>
      </c>
      <c r="P132">
        <f>2800*Tbl_Prod_Catalog[[#This Row],[Weight (kg)]]</f>
        <v>11200</v>
      </c>
      <c r="Q132">
        <f>9400*Tbl_Prod_Catalog[[#This Row],[Weight (kg)]]</f>
        <v>37600</v>
      </c>
      <c r="R132">
        <f>5600*Tbl_Prod_Catalog[[#This Row],[Weight (kg)]]</f>
        <v>22400</v>
      </c>
      <c r="S132">
        <f>9400*Tbl_Prod_Catalog[[#This Row],[Weight (kg)]]</f>
        <v>37600</v>
      </c>
      <c r="T132">
        <f>9400*Tbl_Prod_Catalog[[#This Row],[Weight (kg)]]</f>
        <v>37600</v>
      </c>
      <c r="U132">
        <f>6900*Tbl_Prod_Catalog[[#This Row],[Weight (kg)]]</f>
        <v>27600</v>
      </c>
      <c r="V132" s="21">
        <f>(12000*Product_Catalog!D132)</f>
        <v>0</v>
      </c>
      <c r="W132">
        <f>6350*Tbl_Prod_Catalog[[#This Row],[Weight (kg)]]</f>
        <v>25400</v>
      </c>
      <c r="X132">
        <f>8250*Tbl_Prod_Catalog[[#This Row],[Weight (kg)]]</f>
        <v>33000</v>
      </c>
      <c r="Y132" s="21">
        <f>(5250*Product_Catalog!D132)</f>
        <v>0</v>
      </c>
      <c r="Z132">
        <f>3400*Tbl_Prod_Catalog[[#This Row],[Weight (kg)]]</f>
        <v>13600</v>
      </c>
      <c r="AA132" s="21">
        <f>(8400*Product_Catalog!D132)</f>
        <v>0</v>
      </c>
      <c r="AB132">
        <f>2800*Tbl_Prod_Catalog[[#This Row],[Weight (kg)]]</f>
        <v>11200</v>
      </c>
      <c r="AC132">
        <f>3000*Tbl_Prod_Catalog[[#This Row],[Weight (kg)]]</f>
        <v>12000</v>
      </c>
      <c r="AD132">
        <f>4350*Tbl_Prod_Catalog[[#This Row],[Weight (kg)]]</f>
        <v>17400</v>
      </c>
      <c r="AE132" s="34" t="str">
        <f>"Jakarta + Real Cost"</f>
        <v>Jakarta + Real Cost</v>
      </c>
      <c r="AF132">
        <f>2800*Tbl_Prod_Catalog[[#This Row],[Weight (kg)]]</f>
        <v>11200</v>
      </c>
    </row>
    <row r="133" spans="1:32" ht="15" customHeight="1" x14ac:dyDescent="0.25">
      <c r="A133" s="6">
        <v>131</v>
      </c>
      <c r="B133" s="27" t="str">
        <f>VLOOKUP(Tbl_Price_List[[#This Row],[Product_Name]],Tbl_Prod_Catalog[[#This Row],[Product_Name]:[Class_Type]],8,0)</f>
        <v>PA, MProd, Brass, Inst.Part, Acc.</v>
      </c>
      <c r="C133" s="34" t="s">
        <v>381</v>
      </c>
      <c r="D133" s="21">
        <f>11050*Tbl_Prod_Catalog[[#This Row],[Weight (kg)]]</f>
        <v>110500</v>
      </c>
      <c r="E133" s="21">
        <f>(7350*Product_Catalog!D133)</f>
        <v>0</v>
      </c>
      <c r="F133" s="33">
        <f>5750*Tbl_Prod_Catalog[[#This Row],[Weight (kg)]]</f>
        <v>57500</v>
      </c>
      <c r="G133">
        <f>2500*Tbl_Prod_Catalog[[#This Row],[Weight (kg)]]</f>
        <v>25000</v>
      </c>
      <c r="H133">
        <f>8250*Tbl_Prod_Catalog[[#This Row],[Weight (kg)]]</f>
        <v>82500</v>
      </c>
      <c r="I133" s="21">
        <f>(4725*Product_Catalog!D133)</f>
        <v>0</v>
      </c>
      <c r="J133">
        <f>8250*Tbl_Prod_Catalog[[#This Row],[Weight (kg)]]</f>
        <v>82500</v>
      </c>
      <c r="K133">
        <f>2450*Tbl_Prod_Catalog[[#This Row],[Weight (kg)]]</f>
        <v>24500</v>
      </c>
      <c r="L133">
        <f>2600*Tbl_Prod_Catalog[[#This Row],[Weight (kg)]]</f>
        <v>26000</v>
      </c>
      <c r="M133">
        <f>6900*Tbl_Prod_Catalog[[#This Row],[Weight (kg)]]</f>
        <v>69000</v>
      </c>
      <c r="N133">
        <f>5600*Tbl_Prod_Catalog[[#This Row],[Weight (kg)]]</f>
        <v>56000</v>
      </c>
      <c r="O133">
        <f>3400*Tbl_Prod_Catalog[[#This Row],[Weight (kg)]]</f>
        <v>34000</v>
      </c>
      <c r="P133">
        <f>2800*Tbl_Prod_Catalog[[#This Row],[Weight (kg)]]</f>
        <v>28000</v>
      </c>
      <c r="Q133">
        <f>9400*Tbl_Prod_Catalog[[#This Row],[Weight (kg)]]</f>
        <v>94000</v>
      </c>
      <c r="R133">
        <f>5600*Tbl_Prod_Catalog[[#This Row],[Weight (kg)]]</f>
        <v>56000</v>
      </c>
      <c r="S133">
        <f>9400*Tbl_Prod_Catalog[[#This Row],[Weight (kg)]]</f>
        <v>94000</v>
      </c>
      <c r="T133">
        <f>9400*Tbl_Prod_Catalog[[#This Row],[Weight (kg)]]</f>
        <v>94000</v>
      </c>
      <c r="U133">
        <f>6900*Tbl_Prod_Catalog[[#This Row],[Weight (kg)]]</f>
        <v>69000</v>
      </c>
      <c r="V133" s="21">
        <f>(12000*Product_Catalog!D133)</f>
        <v>0</v>
      </c>
      <c r="W133">
        <f>6350*Tbl_Prod_Catalog[[#This Row],[Weight (kg)]]</f>
        <v>63500</v>
      </c>
      <c r="X133">
        <f>8250*Tbl_Prod_Catalog[[#This Row],[Weight (kg)]]</f>
        <v>82500</v>
      </c>
      <c r="Y133" s="21">
        <f>(5250*Product_Catalog!D133)</f>
        <v>0</v>
      </c>
      <c r="Z133">
        <f>3400*Tbl_Prod_Catalog[[#This Row],[Weight (kg)]]</f>
        <v>34000</v>
      </c>
      <c r="AA133" s="21">
        <f>(8400*Product_Catalog!D133)</f>
        <v>0</v>
      </c>
      <c r="AB133">
        <f>2800*Tbl_Prod_Catalog[[#This Row],[Weight (kg)]]</f>
        <v>28000</v>
      </c>
      <c r="AC133">
        <f>3000*Tbl_Prod_Catalog[[#This Row],[Weight (kg)]]</f>
        <v>30000</v>
      </c>
      <c r="AD133">
        <f>4350*Tbl_Prod_Catalog[[#This Row],[Weight (kg)]]</f>
        <v>43500</v>
      </c>
      <c r="AE133" s="34" t="str">
        <f>"Jakarta + Real Cost"</f>
        <v>Jakarta + Real Cost</v>
      </c>
      <c r="AF133">
        <f>2800*Tbl_Prod_Catalog[[#This Row],[Weight (kg)]]</f>
        <v>28000</v>
      </c>
    </row>
    <row r="134" spans="1:32" ht="15" customHeight="1" x14ac:dyDescent="0.25">
      <c r="A134" s="6">
        <v>132</v>
      </c>
      <c r="B134" s="27" t="str">
        <f>VLOOKUP(Tbl_Price_List[[#This Row],[Product_Name]],Tbl_Prod_Catalog[[#This Row],[Product_Name]:[Class_Type]],8,0)</f>
        <v>PA, MProd, Brass, Inst.Part, Acc.</v>
      </c>
      <c r="C134" s="34" t="s">
        <v>382</v>
      </c>
      <c r="D134" s="21">
        <f>11050*Tbl_Prod_Catalog[[#This Row],[Weight (kg)]]</f>
        <v>55250</v>
      </c>
      <c r="E134" s="21">
        <f>(7350*Product_Catalog!D134)</f>
        <v>0</v>
      </c>
      <c r="F134" s="33">
        <f>5750*Tbl_Prod_Catalog[[#This Row],[Weight (kg)]]</f>
        <v>28750</v>
      </c>
      <c r="G134">
        <f>2500*Tbl_Prod_Catalog[[#This Row],[Weight (kg)]]</f>
        <v>12500</v>
      </c>
      <c r="H134">
        <f>8250*Tbl_Prod_Catalog[[#This Row],[Weight (kg)]]</f>
        <v>41250</v>
      </c>
      <c r="I134" s="21">
        <f>(4725*Product_Catalog!D134)</f>
        <v>0</v>
      </c>
      <c r="J134">
        <f>8250*Tbl_Prod_Catalog[[#This Row],[Weight (kg)]]</f>
        <v>41250</v>
      </c>
      <c r="K134">
        <f>2450*Tbl_Prod_Catalog[[#This Row],[Weight (kg)]]</f>
        <v>12250</v>
      </c>
      <c r="L134">
        <f>2600*Tbl_Prod_Catalog[[#This Row],[Weight (kg)]]</f>
        <v>13000</v>
      </c>
      <c r="M134">
        <f>6900*Tbl_Prod_Catalog[[#This Row],[Weight (kg)]]</f>
        <v>34500</v>
      </c>
      <c r="N134">
        <f>5600*Tbl_Prod_Catalog[[#This Row],[Weight (kg)]]</f>
        <v>28000</v>
      </c>
      <c r="O134">
        <f>3400*Tbl_Prod_Catalog[[#This Row],[Weight (kg)]]</f>
        <v>17000</v>
      </c>
      <c r="P134">
        <f>2800*Tbl_Prod_Catalog[[#This Row],[Weight (kg)]]</f>
        <v>14000</v>
      </c>
      <c r="Q134">
        <f>9400*Tbl_Prod_Catalog[[#This Row],[Weight (kg)]]</f>
        <v>47000</v>
      </c>
      <c r="R134">
        <f>5600*Tbl_Prod_Catalog[[#This Row],[Weight (kg)]]</f>
        <v>28000</v>
      </c>
      <c r="S134">
        <f>9400*Tbl_Prod_Catalog[[#This Row],[Weight (kg)]]</f>
        <v>47000</v>
      </c>
      <c r="T134">
        <f>9400*Tbl_Prod_Catalog[[#This Row],[Weight (kg)]]</f>
        <v>47000</v>
      </c>
      <c r="U134">
        <f>6900*Tbl_Prod_Catalog[[#This Row],[Weight (kg)]]</f>
        <v>34500</v>
      </c>
      <c r="V134" s="21">
        <f>(12000*Product_Catalog!D134)</f>
        <v>0</v>
      </c>
      <c r="W134">
        <f>6350*Tbl_Prod_Catalog[[#This Row],[Weight (kg)]]</f>
        <v>31750</v>
      </c>
      <c r="X134">
        <f>8250*Tbl_Prod_Catalog[[#This Row],[Weight (kg)]]</f>
        <v>41250</v>
      </c>
      <c r="Y134" s="21">
        <f>(5250*Product_Catalog!D134)</f>
        <v>0</v>
      </c>
      <c r="Z134">
        <f>3400*Tbl_Prod_Catalog[[#This Row],[Weight (kg)]]</f>
        <v>17000</v>
      </c>
      <c r="AA134" s="21">
        <f>(8400*Product_Catalog!D134)</f>
        <v>0</v>
      </c>
      <c r="AB134">
        <f>2800*Tbl_Prod_Catalog[[#This Row],[Weight (kg)]]</f>
        <v>14000</v>
      </c>
      <c r="AC134">
        <f>3000*Tbl_Prod_Catalog[[#This Row],[Weight (kg)]]</f>
        <v>15000</v>
      </c>
      <c r="AD134">
        <f>4350*Tbl_Prod_Catalog[[#This Row],[Weight (kg)]]</f>
        <v>21750</v>
      </c>
      <c r="AE134" s="34" t="str">
        <f>"Jakarta + Real Cost"</f>
        <v>Jakarta + Real Cost</v>
      </c>
      <c r="AF134">
        <f>2800*Tbl_Prod_Catalog[[#This Row],[Weight (kg)]]</f>
        <v>14000</v>
      </c>
    </row>
    <row r="135" spans="1:32" ht="15" customHeight="1" x14ac:dyDescent="0.25">
      <c r="A135" s="6">
        <v>133</v>
      </c>
      <c r="B135" s="27" t="str">
        <f>VLOOKUP(Tbl_Price_List[[#This Row],[Product_Name]],Tbl_Prod_Catalog[[#This Row],[Product_Name]:[Class_Type]],8,0)</f>
        <v>PA, MProd, Brass, Inst.Part, Acc.</v>
      </c>
      <c r="C135" s="34" t="s">
        <v>385</v>
      </c>
      <c r="D135" s="21">
        <f>11050*Tbl_Prod_Catalog[[#This Row],[Weight (kg)]]</f>
        <v>66300</v>
      </c>
      <c r="E135" s="21">
        <f>(7350*Product_Catalog!D135)</f>
        <v>7350</v>
      </c>
      <c r="F135" s="33">
        <f>5750*Tbl_Prod_Catalog[[#This Row],[Weight (kg)]]</f>
        <v>34500</v>
      </c>
      <c r="G135">
        <f>2500*Tbl_Prod_Catalog[[#This Row],[Weight (kg)]]</f>
        <v>15000</v>
      </c>
      <c r="H135">
        <f>8250*Tbl_Prod_Catalog[[#This Row],[Weight (kg)]]</f>
        <v>49500</v>
      </c>
      <c r="I135" s="21">
        <f>(4725*Product_Catalog!D135)</f>
        <v>4725</v>
      </c>
      <c r="J135">
        <f>8250*Tbl_Prod_Catalog[[#This Row],[Weight (kg)]]</f>
        <v>49500</v>
      </c>
      <c r="K135">
        <f>2450*Tbl_Prod_Catalog[[#This Row],[Weight (kg)]]</f>
        <v>14700</v>
      </c>
      <c r="L135">
        <f>2600*Tbl_Prod_Catalog[[#This Row],[Weight (kg)]]</f>
        <v>15600</v>
      </c>
      <c r="M135">
        <f>6900*Tbl_Prod_Catalog[[#This Row],[Weight (kg)]]</f>
        <v>41400</v>
      </c>
      <c r="N135">
        <f>5600*Tbl_Prod_Catalog[[#This Row],[Weight (kg)]]</f>
        <v>33600</v>
      </c>
      <c r="O135">
        <f>3400*Tbl_Prod_Catalog[[#This Row],[Weight (kg)]]</f>
        <v>20400</v>
      </c>
      <c r="P135">
        <f>2800*Tbl_Prod_Catalog[[#This Row],[Weight (kg)]]</f>
        <v>16800</v>
      </c>
      <c r="Q135">
        <f>9400*Tbl_Prod_Catalog[[#This Row],[Weight (kg)]]</f>
        <v>56400</v>
      </c>
      <c r="R135">
        <f>5600*Tbl_Prod_Catalog[[#This Row],[Weight (kg)]]</f>
        <v>33600</v>
      </c>
      <c r="S135">
        <f>9400*Tbl_Prod_Catalog[[#This Row],[Weight (kg)]]</f>
        <v>56400</v>
      </c>
      <c r="T135">
        <f>9400*Tbl_Prod_Catalog[[#This Row],[Weight (kg)]]</f>
        <v>56400</v>
      </c>
      <c r="U135">
        <f>6900*Tbl_Prod_Catalog[[#This Row],[Weight (kg)]]</f>
        <v>41400</v>
      </c>
      <c r="V135" s="21">
        <f>(12000*Product_Catalog!D135)</f>
        <v>12000</v>
      </c>
      <c r="W135">
        <f>6350*Tbl_Prod_Catalog[[#This Row],[Weight (kg)]]</f>
        <v>38100</v>
      </c>
      <c r="X135">
        <f>8250*Tbl_Prod_Catalog[[#This Row],[Weight (kg)]]</f>
        <v>49500</v>
      </c>
      <c r="Y135" s="21">
        <f>(5250*Product_Catalog!D135)</f>
        <v>5250</v>
      </c>
      <c r="Z135">
        <f>3400*Tbl_Prod_Catalog[[#This Row],[Weight (kg)]]</f>
        <v>20400</v>
      </c>
      <c r="AA135" s="21">
        <f>(8400*Product_Catalog!D135)</f>
        <v>8400</v>
      </c>
      <c r="AB135">
        <f>2800*Tbl_Prod_Catalog[[#This Row],[Weight (kg)]]</f>
        <v>16800</v>
      </c>
      <c r="AC135">
        <f>3000*Tbl_Prod_Catalog[[#This Row],[Weight (kg)]]</f>
        <v>18000</v>
      </c>
      <c r="AD135">
        <f>4350*Tbl_Prod_Catalog[[#This Row],[Weight (kg)]]</f>
        <v>26100</v>
      </c>
      <c r="AE135" s="34" t="str">
        <f>"Jakarta + Real Cost"</f>
        <v>Jakarta + Real Cost</v>
      </c>
      <c r="AF135">
        <f>2800*Tbl_Prod_Catalog[[#This Row],[Weight (kg)]]</f>
        <v>16800</v>
      </c>
    </row>
    <row r="136" spans="1:32" ht="15" customHeight="1" x14ac:dyDescent="0.25">
      <c r="A136" s="6">
        <v>134</v>
      </c>
      <c r="B136" s="27" t="str">
        <f>VLOOKUP(Tbl_Price_List[[#This Row],[Product_Name]],Tbl_Prod_Catalog[[#This Row],[Product_Name]:[Class_Type]],8,0)</f>
        <v>PA, MProd, Brass, Inst.Part, Acc.</v>
      </c>
      <c r="C136" s="34" t="s">
        <v>384</v>
      </c>
      <c r="D136" s="21">
        <f>11050*Tbl_Prod_Catalog[[#This Row],[Weight (kg)]]</f>
        <v>121550</v>
      </c>
      <c r="E136" s="21">
        <f>(7350*Product_Catalog!D136)</f>
        <v>88200</v>
      </c>
      <c r="F136" s="33">
        <f>5750*Tbl_Prod_Catalog[[#This Row],[Weight (kg)]]</f>
        <v>63250</v>
      </c>
      <c r="G136">
        <f>2500*Tbl_Prod_Catalog[[#This Row],[Weight (kg)]]</f>
        <v>27500</v>
      </c>
      <c r="H136">
        <f>8250*Tbl_Prod_Catalog[[#This Row],[Weight (kg)]]</f>
        <v>90750</v>
      </c>
      <c r="I136" s="21">
        <f>(4725*Product_Catalog!D136)</f>
        <v>56700</v>
      </c>
      <c r="J136">
        <f>8250*Tbl_Prod_Catalog[[#This Row],[Weight (kg)]]</f>
        <v>90750</v>
      </c>
      <c r="K136">
        <f>2450*Tbl_Prod_Catalog[[#This Row],[Weight (kg)]]</f>
        <v>26950</v>
      </c>
      <c r="L136">
        <f>2600*Tbl_Prod_Catalog[[#This Row],[Weight (kg)]]</f>
        <v>28600</v>
      </c>
      <c r="M136">
        <f>6900*Tbl_Prod_Catalog[[#This Row],[Weight (kg)]]</f>
        <v>75900</v>
      </c>
      <c r="N136">
        <f>5600*Tbl_Prod_Catalog[[#This Row],[Weight (kg)]]</f>
        <v>61600</v>
      </c>
      <c r="O136">
        <f>3400*Tbl_Prod_Catalog[[#This Row],[Weight (kg)]]</f>
        <v>37400</v>
      </c>
      <c r="P136">
        <f>2800*Tbl_Prod_Catalog[[#This Row],[Weight (kg)]]</f>
        <v>30800</v>
      </c>
      <c r="Q136">
        <f>9400*Tbl_Prod_Catalog[[#This Row],[Weight (kg)]]</f>
        <v>103400</v>
      </c>
      <c r="R136">
        <f>5600*Tbl_Prod_Catalog[[#This Row],[Weight (kg)]]</f>
        <v>61600</v>
      </c>
      <c r="S136">
        <f>9400*Tbl_Prod_Catalog[[#This Row],[Weight (kg)]]</f>
        <v>103400</v>
      </c>
      <c r="T136">
        <f>9400*Tbl_Prod_Catalog[[#This Row],[Weight (kg)]]</f>
        <v>103400</v>
      </c>
      <c r="U136">
        <f>6900*Tbl_Prod_Catalog[[#This Row],[Weight (kg)]]</f>
        <v>75900</v>
      </c>
      <c r="V136" s="21">
        <f>(12000*Product_Catalog!D136)</f>
        <v>144000</v>
      </c>
      <c r="W136">
        <f>6350*Tbl_Prod_Catalog[[#This Row],[Weight (kg)]]</f>
        <v>69850</v>
      </c>
      <c r="X136">
        <f>8250*Tbl_Prod_Catalog[[#This Row],[Weight (kg)]]</f>
        <v>90750</v>
      </c>
      <c r="Y136" s="21">
        <f>(5250*Product_Catalog!D136)</f>
        <v>63000</v>
      </c>
      <c r="Z136">
        <f>3400*Tbl_Prod_Catalog[[#This Row],[Weight (kg)]]</f>
        <v>37400</v>
      </c>
      <c r="AA136" s="21">
        <f>(8400*Product_Catalog!D136)</f>
        <v>100800</v>
      </c>
      <c r="AB136">
        <f>2800*Tbl_Prod_Catalog[[#This Row],[Weight (kg)]]</f>
        <v>30800</v>
      </c>
      <c r="AC136">
        <f>3000*Tbl_Prod_Catalog[[#This Row],[Weight (kg)]]</f>
        <v>33000</v>
      </c>
      <c r="AD136">
        <f>4350*Tbl_Prod_Catalog[[#This Row],[Weight (kg)]]</f>
        <v>47850</v>
      </c>
      <c r="AE136" s="34" t="str">
        <f>"Jakarta + Real Cost"</f>
        <v>Jakarta + Real Cost</v>
      </c>
      <c r="AF136">
        <f>2800*Tbl_Prod_Catalog[[#This Row],[Weight (kg)]]</f>
        <v>30800</v>
      </c>
    </row>
    <row r="137" spans="1:32" ht="15" customHeight="1" x14ac:dyDescent="0.25">
      <c r="A137" s="6">
        <v>135</v>
      </c>
      <c r="B137" s="27" t="str">
        <f>VLOOKUP(Tbl_Price_List[[#This Row],[Product_Name]],Tbl_Prod_Catalog[[#This Row],[Product_Name]:[Class_Type]],8,0)</f>
        <v>Drum Set</v>
      </c>
      <c r="C137" s="34" t="s">
        <v>395</v>
      </c>
      <c r="D137" s="34">
        <v>248500</v>
      </c>
      <c r="E137" s="21">
        <f>(7350*Product_Catalog!D137)</f>
        <v>301350</v>
      </c>
      <c r="F137" s="34">
        <v>228000</v>
      </c>
      <c r="G137" s="34">
        <v>103950</v>
      </c>
      <c r="H137" s="34">
        <v>256500</v>
      </c>
      <c r="I137" s="21">
        <f>(4725*Product_Catalog!D137)</f>
        <v>193725</v>
      </c>
      <c r="J137" s="34">
        <v>250700</v>
      </c>
      <c r="K137" s="34">
        <v>69000</v>
      </c>
      <c r="L137" s="34">
        <v>107800</v>
      </c>
      <c r="M137" s="34">
        <v>239500</v>
      </c>
      <c r="N137" s="34">
        <v>144500</v>
      </c>
      <c r="O137" s="34">
        <v>119000</v>
      </c>
      <c r="P137" s="34">
        <v>110550</v>
      </c>
      <c r="Q137" s="34">
        <v>314500</v>
      </c>
      <c r="R137" s="34">
        <v>133800</v>
      </c>
      <c r="S137" s="34">
        <v>314500</v>
      </c>
      <c r="T137" s="34">
        <v>314500</v>
      </c>
      <c r="U137" s="34">
        <v>239500</v>
      </c>
      <c r="V137" s="21">
        <f>(12000*Product_Catalog!D137)</f>
        <v>492000</v>
      </c>
      <c r="W137" s="34">
        <v>234000</v>
      </c>
      <c r="X137" s="34">
        <v>256500</v>
      </c>
      <c r="Y137" s="21">
        <f>(5250*Product_Catalog!D137)</f>
        <v>215250</v>
      </c>
      <c r="Z137" s="34">
        <v>119000</v>
      </c>
      <c r="AA137" s="21">
        <f>(8400*Product_Catalog!D137)</f>
        <v>344400</v>
      </c>
      <c r="AB137" s="34">
        <v>110550</v>
      </c>
      <c r="AC137" s="34">
        <v>111650</v>
      </c>
      <c r="AD137" s="34">
        <v>129500</v>
      </c>
      <c r="AE137" s="34" t="str">
        <f>"Jakarta + Real Cost"</f>
        <v>Jakarta + Real Cost</v>
      </c>
      <c r="AF137" s="34">
        <v>110550</v>
      </c>
    </row>
    <row r="138" spans="1:32" ht="15" customHeight="1" x14ac:dyDescent="0.25">
      <c r="A138" s="6">
        <v>136</v>
      </c>
      <c r="B138" s="27" t="str">
        <f>VLOOKUP(Tbl_Price_List[[#This Row],[Product_Name]],Tbl_Prod_Catalog[[#This Row],[Product_Name]:[Class_Type]],8,0)</f>
        <v>Drum Set</v>
      </c>
      <c r="C138" s="34" t="s">
        <v>396</v>
      </c>
      <c r="D138" s="34">
        <v>248500</v>
      </c>
      <c r="E138" s="21">
        <f>(7350*Product_Catalog!D138)</f>
        <v>404250</v>
      </c>
      <c r="F138" s="34">
        <v>228000</v>
      </c>
      <c r="G138" s="34">
        <v>103950</v>
      </c>
      <c r="H138" s="34">
        <v>256500</v>
      </c>
      <c r="I138" s="21">
        <f>(4725*Product_Catalog!D138)</f>
        <v>259875</v>
      </c>
      <c r="J138" s="34">
        <v>250700</v>
      </c>
      <c r="K138" s="34">
        <v>69000</v>
      </c>
      <c r="L138" s="34">
        <v>107800</v>
      </c>
      <c r="M138" s="34">
        <v>239500</v>
      </c>
      <c r="N138" s="34">
        <v>144500</v>
      </c>
      <c r="O138" s="34">
        <v>119000</v>
      </c>
      <c r="P138" s="34">
        <v>110550</v>
      </c>
      <c r="Q138" s="34">
        <v>314500</v>
      </c>
      <c r="R138" s="34">
        <v>133800</v>
      </c>
      <c r="S138" s="34">
        <v>314500</v>
      </c>
      <c r="T138" s="34">
        <v>314500</v>
      </c>
      <c r="U138" s="34">
        <v>239500</v>
      </c>
      <c r="V138" s="21">
        <f>(12000*Product_Catalog!D138)</f>
        <v>660000</v>
      </c>
      <c r="W138" s="34">
        <v>234000</v>
      </c>
      <c r="X138" s="34">
        <v>256500</v>
      </c>
      <c r="Y138" s="21">
        <f>(5250*Product_Catalog!D138)</f>
        <v>288750</v>
      </c>
      <c r="Z138" s="34">
        <v>119000</v>
      </c>
      <c r="AA138" s="21">
        <f>(8400*Product_Catalog!D138)</f>
        <v>462000</v>
      </c>
      <c r="AB138" s="34">
        <v>110550</v>
      </c>
      <c r="AC138" s="34">
        <v>111650</v>
      </c>
      <c r="AD138" s="34">
        <v>129500</v>
      </c>
      <c r="AE138" s="34" t="str">
        <f>"Jakarta + Real Cost"</f>
        <v>Jakarta + Real Cost</v>
      </c>
      <c r="AF138" s="34">
        <v>110550</v>
      </c>
    </row>
    <row r="139" spans="1:32" ht="15" customHeight="1" x14ac:dyDescent="0.25">
      <c r="A139" s="6">
        <v>137</v>
      </c>
      <c r="B139" s="27" t="str">
        <f>VLOOKUP(Tbl_Price_List[[#This Row],[Product_Name]],Tbl_Prod_Catalog[[#This Row],[Product_Name]:[Class_Type]],8,0)</f>
        <v>Drum Set</v>
      </c>
      <c r="C139" s="34" t="s">
        <v>388</v>
      </c>
      <c r="D139" s="34">
        <v>248500</v>
      </c>
      <c r="E139" s="21">
        <f>(7350*Product_Catalog!D139)</f>
        <v>771750</v>
      </c>
      <c r="F139" s="34">
        <v>228000</v>
      </c>
      <c r="G139" s="34">
        <v>103950</v>
      </c>
      <c r="H139" s="34">
        <v>256500</v>
      </c>
      <c r="I139" s="21">
        <f>(4725*Product_Catalog!D139)</f>
        <v>496125</v>
      </c>
      <c r="J139" s="34">
        <v>250700</v>
      </c>
      <c r="K139" s="34">
        <v>69000</v>
      </c>
      <c r="L139" s="34">
        <v>107800</v>
      </c>
      <c r="M139" s="34">
        <v>239500</v>
      </c>
      <c r="N139" s="34">
        <v>144500</v>
      </c>
      <c r="O139" s="34">
        <v>119000</v>
      </c>
      <c r="P139" s="34">
        <v>110550</v>
      </c>
      <c r="Q139" s="34">
        <v>314500</v>
      </c>
      <c r="R139" s="34">
        <v>133800</v>
      </c>
      <c r="S139" s="34">
        <v>314500</v>
      </c>
      <c r="T139" s="34">
        <v>314500</v>
      </c>
      <c r="U139" s="34">
        <v>239500</v>
      </c>
      <c r="V139" s="21">
        <f>(12000*Product_Catalog!D139)</f>
        <v>1260000</v>
      </c>
      <c r="W139" s="34">
        <v>234000</v>
      </c>
      <c r="X139" s="34">
        <v>256500</v>
      </c>
      <c r="Y139" s="21">
        <f>(5250*Product_Catalog!D139)</f>
        <v>551250</v>
      </c>
      <c r="Z139" s="34">
        <v>119000</v>
      </c>
      <c r="AA139" s="21">
        <f>(8400*Product_Catalog!D139)</f>
        <v>882000</v>
      </c>
      <c r="AB139" s="34">
        <v>110550</v>
      </c>
      <c r="AC139" s="34">
        <v>111650</v>
      </c>
      <c r="AD139" s="34">
        <v>129500</v>
      </c>
      <c r="AE139" s="34" t="str">
        <f>"Jakarta + Real Cost"</f>
        <v>Jakarta + Real Cost</v>
      </c>
      <c r="AF139" s="34">
        <v>110550</v>
      </c>
    </row>
    <row r="140" spans="1:32" ht="15" customHeight="1" x14ac:dyDescent="0.25">
      <c r="A140" s="6">
        <v>138</v>
      </c>
      <c r="B140" s="27" t="str">
        <f>VLOOKUP(Tbl_Price_List[[#This Row],[Product_Name]],Tbl_Prod_Catalog[[#This Row],[Product_Name]:[Class_Type]],8,0)</f>
        <v>Drum Set</v>
      </c>
      <c r="C140" s="34" t="s">
        <v>387</v>
      </c>
      <c r="D140" s="34">
        <v>248500</v>
      </c>
      <c r="E140" s="21">
        <f>(7350*Product_Catalog!D140)</f>
        <v>815850</v>
      </c>
      <c r="F140" s="34">
        <v>228000</v>
      </c>
      <c r="G140" s="34">
        <v>103950</v>
      </c>
      <c r="H140" s="34">
        <v>256500</v>
      </c>
      <c r="I140" s="21">
        <f>(4725*Product_Catalog!D140)</f>
        <v>524475</v>
      </c>
      <c r="J140" s="34">
        <v>250700</v>
      </c>
      <c r="K140" s="34">
        <v>69000</v>
      </c>
      <c r="L140" s="34">
        <v>107800</v>
      </c>
      <c r="M140" s="34">
        <v>239500</v>
      </c>
      <c r="N140" s="34">
        <v>144500</v>
      </c>
      <c r="O140" s="34">
        <v>119000</v>
      </c>
      <c r="P140" s="34">
        <v>110550</v>
      </c>
      <c r="Q140" s="34">
        <v>314500</v>
      </c>
      <c r="R140" s="34">
        <v>133800</v>
      </c>
      <c r="S140" s="34">
        <v>314500</v>
      </c>
      <c r="T140" s="34">
        <v>314500</v>
      </c>
      <c r="U140" s="34">
        <v>239500</v>
      </c>
      <c r="V140" s="21">
        <f>(12000*Product_Catalog!D140)</f>
        <v>1332000</v>
      </c>
      <c r="W140" s="34">
        <v>234000</v>
      </c>
      <c r="X140" s="34">
        <v>256500</v>
      </c>
      <c r="Y140" s="21">
        <f>(5250*Product_Catalog!D140)</f>
        <v>582750</v>
      </c>
      <c r="Z140" s="34">
        <v>119000</v>
      </c>
      <c r="AA140" s="21">
        <f>(8400*Product_Catalog!D140)</f>
        <v>932400</v>
      </c>
      <c r="AB140" s="34">
        <v>110550</v>
      </c>
      <c r="AC140" s="34">
        <v>111650</v>
      </c>
      <c r="AD140" s="34">
        <v>129500</v>
      </c>
      <c r="AE140" s="34" t="str">
        <f>"Jakarta + Real Cost"</f>
        <v>Jakarta + Real Cost</v>
      </c>
      <c r="AF140" s="34">
        <v>110550</v>
      </c>
    </row>
    <row r="141" spans="1:32" ht="15" customHeight="1" x14ac:dyDescent="0.25">
      <c r="A141" s="6">
        <v>139</v>
      </c>
      <c r="B141" s="27" t="str">
        <f>VLOOKUP(Tbl_Price_List[[#This Row],[Product_Name]],Tbl_Prod_Catalog[[#This Row],[Product_Name]:[Class_Type]],8,0)</f>
        <v>Drum Set</v>
      </c>
      <c r="C141" s="34" t="s">
        <v>389</v>
      </c>
      <c r="D141" s="34">
        <v>248500</v>
      </c>
      <c r="E141" s="21">
        <f>(7350*Product_Catalog!D141)</f>
        <v>933450</v>
      </c>
      <c r="F141" s="34">
        <v>228000</v>
      </c>
      <c r="G141" s="34">
        <v>103950</v>
      </c>
      <c r="H141" s="34">
        <v>256500</v>
      </c>
      <c r="I141" s="21">
        <f>(4725*Product_Catalog!D141)</f>
        <v>600075</v>
      </c>
      <c r="J141" s="34">
        <v>250700</v>
      </c>
      <c r="K141" s="34">
        <v>69000</v>
      </c>
      <c r="L141" s="34">
        <v>107800</v>
      </c>
      <c r="M141" s="34">
        <v>239500</v>
      </c>
      <c r="N141" s="34">
        <v>144500</v>
      </c>
      <c r="O141" s="34">
        <v>119000</v>
      </c>
      <c r="P141" s="34">
        <v>110550</v>
      </c>
      <c r="Q141" s="34">
        <v>314500</v>
      </c>
      <c r="R141" s="34">
        <v>133800</v>
      </c>
      <c r="S141" s="34">
        <v>314500</v>
      </c>
      <c r="T141" s="34">
        <v>314500</v>
      </c>
      <c r="U141" s="34">
        <v>239500</v>
      </c>
      <c r="V141" s="21">
        <f>(12000*Product_Catalog!D141)</f>
        <v>1524000</v>
      </c>
      <c r="W141" s="34">
        <v>234000</v>
      </c>
      <c r="X141" s="34">
        <v>256500</v>
      </c>
      <c r="Y141" s="21">
        <f>(5250*Product_Catalog!D141)</f>
        <v>666750</v>
      </c>
      <c r="Z141" s="34">
        <v>119000</v>
      </c>
      <c r="AA141" s="21">
        <f>(8400*Product_Catalog!D141)</f>
        <v>1066800</v>
      </c>
      <c r="AB141" s="34">
        <v>110550</v>
      </c>
      <c r="AC141" s="34">
        <v>111650</v>
      </c>
      <c r="AD141" s="34">
        <v>129500</v>
      </c>
      <c r="AE141" s="34" t="str">
        <f>"Jakarta + Real Cost"</f>
        <v>Jakarta + Real Cost</v>
      </c>
      <c r="AF141" s="34">
        <v>110550</v>
      </c>
    </row>
    <row r="142" spans="1:32" ht="15" customHeight="1" x14ac:dyDescent="0.25">
      <c r="A142" s="6">
        <v>140</v>
      </c>
      <c r="B142" s="27" t="str">
        <f>VLOOKUP(Tbl_Price_List[[#This Row],[Product_Name]],Tbl_Prod_Catalog[[#This Row],[Product_Name]:[Class_Type]],8,0)</f>
        <v>Drum Set</v>
      </c>
      <c r="C142" s="34" t="s">
        <v>390</v>
      </c>
      <c r="D142" s="34">
        <v>248500</v>
      </c>
      <c r="E142" s="21">
        <f>(7350*Product_Catalog!D142)</f>
        <v>984900</v>
      </c>
      <c r="F142" s="34">
        <v>228000</v>
      </c>
      <c r="G142" s="34">
        <v>103950</v>
      </c>
      <c r="H142" s="34">
        <v>256500</v>
      </c>
      <c r="I142" s="21">
        <f>(4725*Product_Catalog!D142)</f>
        <v>633150</v>
      </c>
      <c r="J142" s="34">
        <v>250700</v>
      </c>
      <c r="K142" s="34">
        <v>69000</v>
      </c>
      <c r="L142" s="34">
        <v>107800</v>
      </c>
      <c r="M142" s="34">
        <v>239500</v>
      </c>
      <c r="N142" s="34">
        <v>144500</v>
      </c>
      <c r="O142" s="34">
        <v>119000</v>
      </c>
      <c r="P142" s="34">
        <v>110550</v>
      </c>
      <c r="Q142" s="34">
        <v>314500</v>
      </c>
      <c r="R142" s="34">
        <v>133800</v>
      </c>
      <c r="S142" s="34">
        <v>314500</v>
      </c>
      <c r="T142" s="34">
        <v>314500</v>
      </c>
      <c r="U142" s="34">
        <v>239500</v>
      </c>
      <c r="V142" s="21">
        <f>(12000*Product_Catalog!D142)</f>
        <v>1608000</v>
      </c>
      <c r="W142" s="34">
        <v>234000</v>
      </c>
      <c r="X142" s="34">
        <v>256500</v>
      </c>
      <c r="Y142" s="21">
        <f>(5250*Product_Catalog!D142)</f>
        <v>703500</v>
      </c>
      <c r="Z142" s="34">
        <v>119000</v>
      </c>
      <c r="AA142" s="21">
        <f>(8400*Product_Catalog!D142)</f>
        <v>1125600</v>
      </c>
      <c r="AB142" s="34">
        <v>110550</v>
      </c>
      <c r="AC142" s="34">
        <v>111650</v>
      </c>
      <c r="AD142" s="34">
        <v>129500</v>
      </c>
      <c r="AE142" s="34" t="str">
        <f>"Jakarta + Real Cost"</f>
        <v>Jakarta + Real Cost</v>
      </c>
      <c r="AF142" s="34">
        <v>110550</v>
      </c>
    </row>
    <row r="143" spans="1:32" ht="15" customHeight="1" x14ac:dyDescent="0.25">
      <c r="A143" s="6">
        <v>141</v>
      </c>
      <c r="B143" s="27" t="str">
        <f>VLOOKUP(Tbl_Price_List[[#This Row],[Product_Name]],Tbl_Prod_Catalog[[#This Row],[Product_Name]:[Class_Type]],8,0)</f>
        <v>Drum Set</v>
      </c>
      <c r="C143" s="34" t="s">
        <v>391</v>
      </c>
      <c r="D143" s="34">
        <v>248500</v>
      </c>
      <c r="E143" s="21">
        <f>(7350*Product_Catalog!D143)</f>
        <v>558600</v>
      </c>
      <c r="F143" s="34">
        <v>228000</v>
      </c>
      <c r="G143" s="34">
        <v>103950</v>
      </c>
      <c r="H143" s="34">
        <v>256500</v>
      </c>
      <c r="I143" s="21">
        <f>(4725*Product_Catalog!D143)</f>
        <v>359100</v>
      </c>
      <c r="J143" s="34">
        <v>250700</v>
      </c>
      <c r="K143" s="34">
        <v>69000</v>
      </c>
      <c r="L143" s="34">
        <v>107800</v>
      </c>
      <c r="M143" s="34">
        <v>239500</v>
      </c>
      <c r="N143" s="34">
        <v>144500</v>
      </c>
      <c r="O143" s="34">
        <v>119000</v>
      </c>
      <c r="P143" s="34">
        <v>110550</v>
      </c>
      <c r="Q143" s="34">
        <v>314500</v>
      </c>
      <c r="R143" s="34">
        <v>133800</v>
      </c>
      <c r="S143" s="34">
        <v>314500</v>
      </c>
      <c r="T143" s="34">
        <v>314500</v>
      </c>
      <c r="U143" s="34">
        <v>239500</v>
      </c>
      <c r="V143" s="21">
        <f>(12000*Product_Catalog!D143)</f>
        <v>912000</v>
      </c>
      <c r="W143" s="34">
        <v>234000</v>
      </c>
      <c r="X143" s="34">
        <v>256500</v>
      </c>
      <c r="Y143" s="21">
        <f>(5250*Product_Catalog!D143)</f>
        <v>399000</v>
      </c>
      <c r="Z143" s="34">
        <v>119000</v>
      </c>
      <c r="AA143" s="21">
        <f>(8400*Product_Catalog!D143)</f>
        <v>638400</v>
      </c>
      <c r="AB143" s="34">
        <v>110550</v>
      </c>
      <c r="AC143" s="34">
        <v>111650</v>
      </c>
      <c r="AD143" s="34">
        <v>129500</v>
      </c>
      <c r="AE143" s="34" t="str">
        <f>"Jakarta + Real Cost"</f>
        <v>Jakarta + Real Cost</v>
      </c>
      <c r="AF143" s="34">
        <v>110550</v>
      </c>
    </row>
  </sheetData>
  <sortState ref="D1:D91">
    <sortCondition ref="D1"/>
  </sortState>
  <conditionalFormatting sqref="D2">
    <cfRule type="duplicateValues" dxfId="88" priority="19"/>
  </conditionalFormatting>
  <conditionalFormatting sqref="E2:AF2">
    <cfRule type="duplicateValues" dxfId="87" priority="2"/>
  </conditionalFormatting>
  <conditionalFormatting sqref="C1:C1048576">
    <cfRule type="duplicateValues" dxfId="86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I144"/>
  <sheetViews>
    <sheetView workbookViewId="0">
      <selection activeCell="D3" sqref="D3"/>
    </sheetView>
  </sheetViews>
  <sheetFormatPr defaultRowHeight="15" x14ac:dyDescent="0.25"/>
  <cols>
    <col min="2" max="2" width="22.28515625" customWidth="1"/>
    <col min="3" max="3" width="9.85546875" customWidth="1"/>
    <col min="4" max="4" width="11.85546875" customWidth="1"/>
    <col min="5" max="5" width="10.5703125" customWidth="1"/>
    <col min="6" max="6" width="12" customWidth="1"/>
    <col min="7" max="7" width="12.7109375" bestFit="1" customWidth="1"/>
    <col min="8" max="8" width="7.7109375" customWidth="1"/>
    <col min="9" max="9" width="29.140625" customWidth="1"/>
    <col min="10" max="10" width="19" customWidth="1"/>
  </cols>
  <sheetData>
    <row r="1" spans="1:9" x14ac:dyDescent="0.25">
      <c r="A1" s="65" t="s">
        <v>228</v>
      </c>
      <c r="B1" s="65"/>
      <c r="C1" s="65"/>
      <c r="D1" s="65"/>
      <c r="E1" s="65"/>
      <c r="F1" s="65"/>
      <c r="G1" s="65"/>
      <c r="H1" s="65"/>
      <c r="I1" s="65"/>
    </row>
    <row r="2" spans="1:9" ht="32.25" customHeight="1" x14ac:dyDescent="0.25">
      <c r="A2" s="12" t="s">
        <v>194</v>
      </c>
      <c r="B2" s="12" t="s">
        <v>204</v>
      </c>
      <c r="C2" s="13" t="s">
        <v>207</v>
      </c>
      <c r="D2" s="13" t="s">
        <v>421</v>
      </c>
      <c r="E2" s="12" t="s">
        <v>208</v>
      </c>
      <c r="F2" s="12" t="s">
        <v>209</v>
      </c>
      <c r="G2" s="12" t="s">
        <v>210</v>
      </c>
      <c r="H2" s="13" t="s">
        <v>254</v>
      </c>
      <c r="I2" s="12" t="s">
        <v>252</v>
      </c>
    </row>
    <row r="3" spans="1:9" ht="15" customHeight="1" x14ac:dyDescent="0.25">
      <c r="A3">
        <v>1</v>
      </c>
      <c r="B3" t="s">
        <v>205</v>
      </c>
      <c r="C3">
        <v>215</v>
      </c>
      <c r="D3">
        <v>385</v>
      </c>
      <c r="E3" s="23" t="s">
        <v>246</v>
      </c>
      <c r="F3" s="23" t="s">
        <v>247</v>
      </c>
      <c r="G3" s="23" t="s">
        <v>248</v>
      </c>
      <c r="H3" s="23" t="s">
        <v>255</v>
      </c>
      <c r="I3" t="s">
        <v>245</v>
      </c>
    </row>
    <row r="4" spans="1:9" ht="15" customHeight="1" x14ac:dyDescent="0.25">
      <c r="A4">
        <v>2</v>
      </c>
      <c r="B4" t="s">
        <v>206</v>
      </c>
      <c r="C4">
        <v>215</v>
      </c>
      <c r="D4">
        <v>385</v>
      </c>
      <c r="E4" s="23" t="s">
        <v>246</v>
      </c>
      <c r="F4" s="23" t="s">
        <v>247</v>
      </c>
      <c r="G4" s="23" t="s">
        <v>248</v>
      </c>
      <c r="H4" s="23" t="s">
        <v>255</v>
      </c>
      <c r="I4" t="s">
        <v>245</v>
      </c>
    </row>
    <row r="5" spans="1:9" ht="15" customHeight="1" x14ac:dyDescent="0.25">
      <c r="A5">
        <v>3</v>
      </c>
      <c r="B5" s="16" t="s">
        <v>242</v>
      </c>
      <c r="C5" s="16">
        <v>260</v>
      </c>
      <c r="D5" s="16">
        <v>474</v>
      </c>
      <c r="E5" s="24" t="s">
        <v>249</v>
      </c>
      <c r="F5" s="24" t="s">
        <v>250</v>
      </c>
      <c r="G5" s="24" t="s">
        <v>251</v>
      </c>
      <c r="H5" s="24" t="s">
        <v>255</v>
      </c>
      <c r="I5" t="s">
        <v>245</v>
      </c>
    </row>
    <row r="6" spans="1:9" ht="15" customHeight="1" x14ac:dyDescent="0.25">
      <c r="A6">
        <v>4</v>
      </c>
      <c r="B6" t="s">
        <v>243</v>
      </c>
      <c r="C6">
        <v>300</v>
      </c>
      <c r="D6">
        <v>378</v>
      </c>
      <c r="E6">
        <v>169</v>
      </c>
      <c r="F6">
        <v>55</v>
      </c>
      <c r="G6">
        <v>163</v>
      </c>
      <c r="I6" t="s">
        <v>245</v>
      </c>
    </row>
    <row r="7" spans="1:9" ht="15" customHeight="1" x14ac:dyDescent="0.25">
      <c r="A7">
        <v>5</v>
      </c>
      <c r="B7" t="s">
        <v>241</v>
      </c>
      <c r="C7">
        <v>295</v>
      </c>
      <c r="D7">
        <v>460</v>
      </c>
      <c r="E7">
        <v>203</v>
      </c>
      <c r="F7">
        <v>55</v>
      </c>
      <c r="G7">
        <v>165</v>
      </c>
      <c r="I7" t="s">
        <v>245</v>
      </c>
    </row>
    <row r="8" spans="1:9" ht="15" customHeight="1" x14ac:dyDescent="0.25">
      <c r="A8">
        <v>6</v>
      </c>
      <c r="B8" t="s">
        <v>244</v>
      </c>
      <c r="C8">
        <v>460</v>
      </c>
      <c r="D8">
        <v>539</v>
      </c>
      <c r="E8">
        <v>235</v>
      </c>
      <c r="F8">
        <v>56</v>
      </c>
      <c r="G8">
        <v>164</v>
      </c>
      <c r="I8" t="s">
        <v>245</v>
      </c>
    </row>
    <row r="9" spans="1:9" ht="15" customHeight="1" x14ac:dyDescent="0.25">
      <c r="A9">
        <v>7</v>
      </c>
      <c r="B9" t="s">
        <v>253</v>
      </c>
      <c r="C9">
        <v>18</v>
      </c>
      <c r="D9">
        <v>37</v>
      </c>
      <c r="E9">
        <v>115</v>
      </c>
      <c r="F9">
        <v>52</v>
      </c>
      <c r="G9">
        <v>25</v>
      </c>
      <c r="I9" t="str">
        <f>IF(C9&gt;=26,"Keyboard A (25kg more)", "Keyboard B (25kg less)")</f>
        <v>Keyboard B (25kg less)</v>
      </c>
    </row>
    <row r="10" spans="1:9" ht="15" customHeight="1" x14ac:dyDescent="0.25">
      <c r="A10">
        <v>8</v>
      </c>
      <c r="B10" t="s">
        <v>256</v>
      </c>
      <c r="C10">
        <v>18</v>
      </c>
      <c r="D10">
        <v>37</v>
      </c>
      <c r="E10">
        <v>115</v>
      </c>
      <c r="F10">
        <v>52</v>
      </c>
      <c r="G10">
        <v>25</v>
      </c>
      <c r="I10" t="str">
        <f t="shared" ref="I10:I37" si="0">IF(C10&gt;=26,"Keyboard A (25kg more)", "Keyboard B (25kg less)")</f>
        <v>Keyboard B (25kg less)</v>
      </c>
    </row>
    <row r="11" spans="1:9" ht="15" customHeight="1" x14ac:dyDescent="0.25">
      <c r="A11">
        <v>9</v>
      </c>
      <c r="B11" t="s">
        <v>257</v>
      </c>
      <c r="C11">
        <v>11</v>
      </c>
      <c r="D11">
        <v>28</v>
      </c>
      <c r="E11">
        <v>109</v>
      </c>
      <c r="F11">
        <v>49</v>
      </c>
      <c r="G11">
        <v>21</v>
      </c>
      <c r="I11" t="str">
        <f t="shared" si="0"/>
        <v>Keyboard B (25kg less)</v>
      </c>
    </row>
    <row r="12" spans="1:9" ht="15" customHeight="1" x14ac:dyDescent="0.25">
      <c r="A12">
        <v>10</v>
      </c>
      <c r="B12" t="s">
        <v>258</v>
      </c>
      <c r="C12">
        <v>18</v>
      </c>
      <c r="D12">
        <v>37</v>
      </c>
      <c r="E12">
        <v>115</v>
      </c>
      <c r="F12">
        <v>52</v>
      </c>
      <c r="G12">
        <v>25</v>
      </c>
      <c r="I12" t="str">
        <f t="shared" si="0"/>
        <v>Keyboard B (25kg less)</v>
      </c>
    </row>
    <row r="13" spans="1:9" ht="15" customHeight="1" x14ac:dyDescent="0.25">
      <c r="A13">
        <v>11</v>
      </c>
      <c r="B13" t="s">
        <v>259</v>
      </c>
      <c r="C13">
        <v>7</v>
      </c>
      <c r="D13">
        <v>18</v>
      </c>
      <c r="E13">
        <v>107</v>
      </c>
      <c r="F13">
        <v>41</v>
      </c>
      <c r="G13">
        <v>16</v>
      </c>
      <c r="I13" t="str">
        <f t="shared" si="0"/>
        <v>Keyboard B (25kg less)</v>
      </c>
    </row>
    <row r="14" spans="1:9" ht="15" customHeight="1" x14ac:dyDescent="0.25">
      <c r="A14">
        <v>12</v>
      </c>
      <c r="B14" s="16" t="s">
        <v>260</v>
      </c>
      <c r="C14" s="16">
        <v>8</v>
      </c>
      <c r="D14" s="16">
        <v>19</v>
      </c>
      <c r="E14" s="16">
        <v>107</v>
      </c>
      <c r="F14" s="16">
        <v>43</v>
      </c>
      <c r="G14" s="16">
        <v>17</v>
      </c>
      <c r="H14" s="16"/>
      <c r="I14" t="str">
        <f t="shared" si="0"/>
        <v>Keyboard B (25kg less)</v>
      </c>
    </row>
    <row r="15" spans="1:9" ht="15" customHeight="1" x14ac:dyDescent="0.25">
      <c r="A15">
        <v>13</v>
      </c>
      <c r="B15" t="s">
        <v>261</v>
      </c>
      <c r="C15">
        <v>11</v>
      </c>
      <c r="D15">
        <v>27</v>
      </c>
      <c r="E15">
        <v>105</v>
      </c>
      <c r="F15">
        <v>50</v>
      </c>
      <c r="G15">
        <v>21</v>
      </c>
      <c r="I15" t="str">
        <f t="shared" si="0"/>
        <v>Keyboard B (25kg less)</v>
      </c>
    </row>
    <row r="16" spans="1:9" ht="15" customHeight="1" x14ac:dyDescent="0.25">
      <c r="A16">
        <v>14</v>
      </c>
      <c r="B16" t="s">
        <v>262</v>
      </c>
      <c r="C16">
        <v>11</v>
      </c>
      <c r="D16">
        <v>28</v>
      </c>
      <c r="E16">
        <v>105</v>
      </c>
      <c r="F16">
        <v>50</v>
      </c>
      <c r="G16">
        <v>22</v>
      </c>
      <c r="I16" t="str">
        <f t="shared" si="0"/>
        <v>Keyboard B (25kg less)</v>
      </c>
    </row>
    <row r="17" spans="1:9" ht="15" customHeight="1" x14ac:dyDescent="0.25">
      <c r="A17">
        <v>15</v>
      </c>
      <c r="B17" t="s">
        <v>263</v>
      </c>
      <c r="C17">
        <v>15</v>
      </c>
      <c r="D17">
        <v>45</v>
      </c>
      <c r="E17">
        <v>128</v>
      </c>
      <c r="F17">
        <v>55</v>
      </c>
      <c r="G17">
        <v>26</v>
      </c>
      <c r="I17" t="str">
        <f t="shared" si="0"/>
        <v>Keyboard B (25kg less)</v>
      </c>
    </row>
    <row r="18" spans="1:9" ht="15" customHeight="1" x14ac:dyDescent="0.25">
      <c r="A18">
        <v>16</v>
      </c>
      <c r="B18" t="s">
        <v>264</v>
      </c>
      <c r="C18">
        <v>30</v>
      </c>
      <c r="D18">
        <v>65</v>
      </c>
      <c r="E18">
        <v>148</v>
      </c>
      <c r="F18">
        <v>55</v>
      </c>
      <c r="G18">
        <v>32</v>
      </c>
      <c r="I18" t="str">
        <f t="shared" si="0"/>
        <v>Keyboard A (25kg more)</v>
      </c>
    </row>
    <row r="19" spans="1:9" ht="15" customHeight="1" x14ac:dyDescent="0.25">
      <c r="A19">
        <v>17</v>
      </c>
      <c r="B19" t="s">
        <v>265</v>
      </c>
      <c r="C19">
        <v>38</v>
      </c>
      <c r="D19">
        <v>72</v>
      </c>
      <c r="E19">
        <v>150</v>
      </c>
      <c r="F19">
        <v>55</v>
      </c>
      <c r="G19">
        <v>35</v>
      </c>
      <c r="I19" t="str">
        <f t="shared" si="0"/>
        <v>Keyboard A (25kg more)</v>
      </c>
    </row>
    <row r="20" spans="1:9" ht="15" customHeight="1" x14ac:dyDescent="0.25">
      <c r="A20">
        <v>18</v>
      </c>
      <c r="B20" t="s">
        <v>266</v>
      </c>
      <c r="C20">
        <v>25</v>
      </c>
      <c r="D20">
        <v>53</v>
      </c>
      <c r="E20">
        <v>137</v>
      </c>
      <c r="F20">
        <v>56</v>
      </c>
      <c r="G20">
        <v>28</v>
      </c>
      <c r="I20" t="str">
        <f t="shared" si="0"/>
        <v>Keyboard B (25kg less)</v>
      </c>
    </row>
    <row r="21" spans="1:9" ht="15" customHeight="1" x14ac:dyDescent="0.25">
      <c r="A21">
        <v>19</v>
      </c>
      <c r="B21" t="s">
        <v>267</v>
      </c>
      <c r="C21">
        <v>12</v>
      </c>
      <c r="D21">
        <v>33</v>
      </c>
      <c r="E21">
        <v>141</v>
      </c>
      <c r="F21">
        <v>41</v>
      </c>
      <c r="G21">
        <v>23</v>
      </c>
      <c r="I21" t="str">
        <f t="shared" si="0"/>
        <v>Keyboard B (25kg less)</v>
      </c>
    </row>
    <row r="22" spans="1:9" ht="15" customHeight="1" x14ac:dyDescent="0.25">
      <c r="A22">
        <v>20</v>
      </c>
      <c r="B22" t="s">
        <v>268</v>
      </c>
      <c r="C22">
        <v>18</v>
      </c>
      <c r="D22">
        <v>20</v>
      </c>
      <c r="E22">
        <v>107</v>
      </c>
      <c r="F22">
        <v>43</v>
      </c>
      <c r="G22">
        <v>17</v>
      </c>
      <c r="I22" t="str">
        <f t="shared" si="0"/>
        <v>Keyboard B (25kg less)</v>
      </c>
    </row>
    <row r="23" spans="1:9" ht="15" customHeight="1" x14ac:dyDescent="0.25">
      <c r="A23">
        <v>21</v>
      </c>
      <c r="B23" t="s">
        <v>269</v>
      </c>
      <c r="C23">
        <v>18</v>
      </c>
      <c r="D23">
        <v>18</v>
      </c>
      <c r="I23" t="str">
        <f t="shared" si="0"/>
        <v>Keyboard B (25kg less)</v>
      </c>
    </row>
    <row r="24" spans="1:9" ht="15" customHeight="1" x14ac:dyDescent="0.25">
      <c r="A24">
        <v>22</v>
      </c>
      <c r="B24" t="s">
        <v>270</v>
      </c>
      <c r="C24">
        <v>5</v>
      </c>
      <c r="D24">
        <v>15</v>
      </c>
      <c r="E24">
        <v>100</v>
      </c>
      <c r="F24">
        <v>43</v>
      </c>
      <c r="G24">
        <v>17</v>
      </c>
      <c r="I24" t="str">
        <f t="shared" si="0"/>
        <v>Keyboard B (25kg less)</v>
      </c>
    </row>
    <row r="25" spans="1:9" ht="15" customHeight="1" x14ac:dyDescent="0.25">
      <c r="A25">
        <v>23</v>
      </c>
      <c r="B25" t="s">
        <v>271</v>
      </c>
      <c r="C25">
        <v>16</v>
      </c>
      <c r="D25">
        <v>28</v>
      </c>
      <c r="E25">
        <v>107</v>
      </c>
      <c r="F25">
        <v>50</v>
      </c>
      <c r="G25">
        <v>21</v>
      </c>
      <c r="I25" t="str">
        <f t="shared" si="0"/>
        <v>Keyboard B (25kg less)</v>
      </c>
    </row>
    <row r="26" spans="1:9" ht="15" customHeight="1" x14ac:dyDescent="0.25">
      <c r="A26">
        <v>24</v>
      </c>
      <c r="B26" t="s">
        <v>272</v>
      </c>
      <c r="C26">
        <v>38</v>
      </c>
      <c r="D26">
        <v>68</v>
      </c>
      <c r="I26" t="str">
        <f t="shared" si="0"/>
        <v>Keyboard A (25kg more)</v>
      </c>
    </row>
    <row r="27" spans="1:9" ht="15" customHeight="1" x14ac:dyDescent="0.25">
      <c r="A27">
        <v>25</v>
      </c>
      <c r="B27" t="s">
        <v>273</v>
      </c>
      <c r="D27">
        <v>19</v>
      </c>
      <c r="E27">
        <v>107</v>
      </c>
      <c r="F27">
        <v>43</v>
      </c>
      <c r="G27">
        <v>17</v>
      </c>
      <c r="I27" t="str">
        <f t="shared" si="0"/>
        <v>Keyboard B (25kg less)</v>
      </c>
    </row>
    <row r="28" spans="1:9" ht="15" customHeight="1" x14ac:dyDescent="0.25">
      <c r="A28">
        <v>26</v>
      </c>
      <c r="B28" t="s">
        <v>274</v>
      </c>
      <c r="C28">
        <v>6</v>
      </c>
      <c r="D28">
        <v>16</v>
      </c>
      <c r="E28">
        <v>107</v>
      </c>
      <c r="F28">
        <v>38</v>
      </c>
      <c r="G28">
        <v>16</v>
      </c>
      <c r="I28" t="str">
        <f t="shared" si="0"/>
        <v>Keyboard B (25kg less)</v>
      </c>
    </row>
    <row r="29" spans="1:9" ht="15" customHeight="1" x14ac:dyDescent="0.25">
      <c r="A29">
        <v>27</v>
      </c>
      <c r="B29" t="s">
        <v>275</v>
      </c>
      <c r="C29">
        <v>16</v>
      </c>
      <c r="D29">
        <v>32</v>
      </c>
      <c r="E29">
        <v>110</v>
      </c>
      <c r="F29">
        <v>52</v>
      </c>
      <c r="G29">
        <v>23</v>
      </c>
      <c r="I29" t="str">
        <f t="shared" si="0"/>
        <v>Keyboard B (25kg less)</v>
      </c>
    </row>
    <row r="30" spans="1:9" ht="15" customHeight="1" x14ac:dyDescent="0.25">
      <c r="A30">
        <v>28</v>
      </c>
      <c r="B30" t="s">
        <v>276</v>
      </c>
      <c r="C30">
        <v>18</v>
      </c>
      <c r="D30">
        <v>38</v>
      </c>
      <c r="E30">
        <v>118</v>
      </c>
      <c r="F30">
        <v>52</v>
      </c>
      <c r="G30">
        <v>25</v>
      </c>
      <c r="I30" t="str">
        <f t="shared" si="0"/>
        <v>Keyboard B (25kg less)</v>
      </c>
    </row>
    <row r="31" spans="1:9" ht="15" customHeight="1" x14ac:dyDescent="0.25">
      <c r="A31">
        <v>29</v>
      </c>
      <c r="B31" t="s">
        <v>277</v>
      </c>
      <c r="C31">
        <v>18</v>
      </c>
      <c r="D31">
        <v>38</v>
      </c>
      <c r="E31">
        <v>118</v>
      </c>
      <c r="F31">
        <v>52</v>
      </c>
      <c r="G31">
        <v>25</v>
      </c>
      <c r="I31" t="str">
        <f t="shared" si="0"/>
        <v>Keyboard B (25kg less)</v>
      </c>
    </row>
    <row r="32" spans="1:9" ht="15" customHeight="1" x14ac:dyDescent="0.25">
      <c r="A32">
        <v>30</v>
      </c>
      <c r="B32" t="s">
        <v>397</v>
      </c>
      <c r="C32">
        <v>22</v>
      </c>
      <c r="D32">
        <v>55</v>
      </c>
      <c r="E32">
        <v>138</v>
      </c>
      <c r="F32">
        <v>57</v>
      </c>
      <c r="G32">
        <v>28</v>
      </c>
      <c r="I32" t="str">
        <f t="shared" si="0"/>
        <v>Keyboard B (25kg less)</v>
      </c>
    </row>
    <row r="33" spans="1:9" ht="15" customHeight="1" x14ac:dyDescent="0.25">
      <c r="A33">
        <v>31</v>
      </c>
      <c r="B33" t="s">
        <v>278</v>
      </c>
      <c r="C33">
        <v>44</v>
      </c>
      <c r="D33">
        <v>84</v>
      </c>
      <c r="I33" t="str">
        <f t="shared" si="0"/>
        <v>Keyboard A (25kg more)</v>
      </c>
    </row>
    <row r="34" spans="1:9" ht="15" customHeight="1" x14ac:dyDescent="0.25">
      <c r="A34">
        <v>32</v>
      </c>
      <c r="B34" t="s">
        <v>398</v>
      </c>
      <c r="C34">
        <v>39</v>
      </c>
      <c r="D34">
        <v>68</v>
      </c>
      <c r="E34">
        <v>150</v>
      </c>
      <c r="F34">
        <v>55</v>
      </c>
      <c r="G34">
        <v>33</v>
      </c>
      <c r="I34" t="str">
        <f t="shared" si="0"/>
        <v>Keyboard A (25kg more)</v>
      </c>
    </row>
    <row r="35" spans="1:9" ht="15" customHeight="1" x14ac:dyDescent="0.25">
      <c r="A35">
        <v>33</v>
      </c>
      <c r="B35" t="s">
        <v>279</v>
      </c>
      <c r="C35">
        <v>19</v>
      </c>
      <c r="D35">
        <v>45</v>
      </c>
      <c r="E35">
        <v>148</v>
      </c>
      <c r="F35">
        <v>41</v>
      </c>
      <c r="G35">
        <v>30</v>
      </c>
      <c r="I35" t="str">
        <f t="shared" si="0"/>
        <v>Keyboard B (25kg less)</v>
      </c>
    </row>
    <row r="36" spans="1:9" ht="15" customHeight="1" x14ac:dyDescent="0.25">
      <c r="A36">
        <v>34</v>
      </c>
      <c r="B36" t="s">
        <v>280</v>
      </c>
      <c r="C36">
        <v>18</v>
      </c>
      <c r="I36" t="str">
        <f t="shared" si="0"/>
        <v>Keyboard B (25kg less)</v>
      </c>
    </row>
    <row r="37" spans="1:9" ht="15" customHeight="1" x14ac:dyDescent="0.25">
      <c r="A37">
        <v>35</v>
      </c>
      <c r="B37" t="s">
        <v>392</v>
      </c>
      <c r="D37">
        <v>43</v>
      </c>
      <c r="E37">
        <v>159</v>
      </c>
      <c r="F37">
        <v>44</v>
      </c>
      <c r="G37">
        <v>25</v>
      </c>
      <c r="I37" t="str">
        <f t="shared" si="0"/>
        <v>Keyboard B (25kg less)</v>
      </c>
    </row>
    <row r="38" spans="1:9" x14ac:dyDescent="0.25">
      <c r="A38">
        <v>36</v>
      </c>
      <c r="B38" t="s">
        <v>408</v>
      </c>
      <c r="C38">
        <v>23</v>
      </c>
      <c r="D38">
        <v>1</v>
      </c>
      <c r="E38">
        <v>143</v>
      </c>
      <c r="F38">
        <v>49</v>
      </c>
      <c r="G38">
        <v>25</v>
      </c>
      <c r="I38" t="s">
        <v>412</v>
      </c>
    </row>
    <row r="39" spans="1:9" ht="15" customHeight="1" x14ac:dyDescent="0.25">
      <c r="A39">
        <v>37</v>
      </c>
      <c r="B39" t="s">
        <v>306</v>
      </c>
      <c r="C39">
        <v>48</v>
      </c>
      <c r="D39">
        <v>74</v>
      </c>
      <c r="E39">
        <v>149</v>
      </c>
      <c r="F39">
        <v>39</v>
      </c>
      <c r="G39">
        <v>51</v>
      </c>
      <c r="I39" t="str">
        <f>IF(ISNUMBER(SEARCH("ydp",B39)), "Digital Piano (Arius)", "")</f>
        <v>Digital Piano (Arius)</v>
      </c>
    </row>
    <row r="40" spans="1:9" ht="15" customHeight="1" x14ac:dyDescent="0.25">
      <c r="A40">
        <v>38</v>
      </c>
      <c r="B40" t="s">
        <v>281</v>
      </c>
      <c r="C40">
        <v>68</v>
      </c>
      <c r="D40">
        <v>98</v>
      </c>
      <c r="E40">
        <v>147</v>
      </c>
      <c r="F40">
        <v>58</v>
      </c>
      <c r="G40">
        <v>46</v>
      </c>
      <c r="I40" t="str">
        <f t="shared" ref="I40:I66" si="1">IF(ISNUMBER(SEARCH("ydp",B40)), "Digital Piano (Arius)", "")</f>
        <v>Digital Piano (Arius)</v>
      </c>
    </row>
    <row r="41" spans="1:9" ht="15" customHeight="1" x14ac:dyDescent="0.25">
      <c r="A41">
        <v>39</v>
      </c>
      <c r="B41" t="s">
        <v>282</v>
      </c>
      <c r="C41">
        <v>60</v>
      </c>
      <c r="D41">
        <v>87</v>
      </c>
      <c r="E41">
        <v>142</v>
      </c>
      <c r="F41">
        <v>57</v>
      </c>
      <c r="G41">
        <v>43</v>
      </c>
      <c r="I41" t="str">
        <f t="shared" si="1"/>
        <v>Digital Piano (Arius)</v>
      </c>
    </row>
    <row r="42" spans="1:9" ht="15" customHeight="1" x14ac:dyDescent="0.25">
      <c r="A42">
        <v>40</v>
      </c>
      <c r="B42" t="s">
        <v>283</v>
      </c>
      <c r="C42">
        <v>64</v>
      </c>
      <c r="D42">
        <v>87</v>
      </c>
      <c r="E42">
        <v>142</v>
      </c>
      <c r="F42">
        <v>57</v>
      </c>
      <c r="G42">
        <v>43</v>
      </c>
      <c r="I42" t="str">
        <f t="shared" si="1"/>
        <v>Digital Piano (Arius)</v>
      </c>
    </row>
    <row r="43" spans="1:9" ht="15" customHeight="1" x14ac:dyDescent="0.25">
      <c r="A43">
        <v>41</v>
      </c>
      <c r="B43" t="s">
        <v>284</v>
      </c>
      <c r="C43">
        <v>75</v>
      </c>
      <c r="D43">
        <v>121</v>
      </c>
      <c r="E43">
        <v>147</v>
      </c>
      <c r="F43">
        <v>61</v>
      </c>
      <c r="G43">
        <v>54</v>
      </c>
      <c r="I43" t="str">
        <f t="shared" si="1"/>
        <v>Digital Piano (Arius)</v>
      </c>
    </row>
    <row r="44" spans="1:9" ht="15" customHeight="1" x14ac:dyDescent="0.25">
      <c r="A44">
        <v>42</v>
      </c>
      <c r="B44" t="s">
        <v>285</v>
      </c>
      <c r="C44">
        <v>93</v>
      </c>
      <c r="D44">
        <v>164</v>
      </c>
      <c r="E44">
        <v>153</v>
      </c>
      <c r="F44">
        <v>65</v>
      </c>
      <c r="G44">
        <v>66</v>
      </c>
      <c r="I44" t="s">
        <v>400</v>
      </c>
    </row>
    <row r="45" spans="1:9" ht="15" customHeight="1" x14ac:dyDescent="0.25">
      <c r="A45">
        <v>43</v>
      </c>
      <c r="B45" t="s">
        <v>305</v>
      </c>
      <c r="C45">
        <v>98</v>
      </c>
      <c r="D45">
        <v>164</v>
      </c>
      <c r="E45">
        <v>153</v>
      </c>
      <c r="F45">
        <v>65</v>
      </c>
      <c r="G45">
        <v>66</v>
      </c>
      <c r="I45" t="s">
        <v>400</v>
      </c>
    </row>
    <row r="46" spans="1:9" ht="15" customHeight="1" x14ac:dyDescent="0.25">
      <c r="A46">
        <v>44</v>
      </c>
      <c r="B46" t="s">
        <v>286</v>
      </c>
      <c r="C46">
        <v>96</v>
      </c>
      <c r="D46">
        <v>120</v>
      </c>
      <c r="E46">
        <v>149</v>
      </c>
      <c r="F46">
        <v>51</v>
      </c>
      <c r="G46">
        <v>60</v>
      </c>
      <c r="I46" t="s">
        <v>400</v>
      </c>
    </row>
    <row r="47" spans="1:9" ht="15" customHeight="1" x14ac:dyDescent="0.25">
      <c r="A47">
        <v>45</v>
      </c>
      <c r="B47" t="s">
        <v>287</v>
      </c>
      <c r="C47">
        <v>103</v>
      </c>
      <c r="D47">
        <v>167</v>
      </c>
      <c r="E47">
        <v>153</v>
      </c>
      <c r="F47">
        <v>77</v>
      </c>
      <c r="G47">
        <v>57</v>
      </c>
      <c r="I47" t="s">
        <v>400</v>
      </c>
    </row>
    <row r="48" spans="1:9" ht="15" customHeight="1" x14ac:dyDescent="0.25">
      <c r="A48">
        <v>46</v>
      </c>
      <c r="B48" t="s">
        <v>288</v>
      </c>
      <c r="C48">
        <v>119</v>
      </c>
      <c r="D48">
        <v>197</v>
      </c>
      <c r="E48">
        <v>157</v>
      </c>
      <c r="F48">
        <v>75</v>
      </c>
      <c r="G48">
        <v>67</v>
      </c>
      <c r="I48" t="s">
        <v>400</v>
      </c>
    </row>
    <row r="49" spans="1:9" ht="15" customHeight="1" x14ac:dyDescent="0.25">
      <c r="A49">
        <v>47</v>
      </c>
      <c r="B49" t="s">
        <v>289</v>
      </c>
      <c r="C49">
        <v>119</v>
      </c>
      <c r="D49">
        <v>197</v>
      </c>
      <c r="E49">
        <v>157</v>
      </c>
      <c r="F49">
        <v>75</v>
      </c>
      <c r="G49">
        <v>67</v>
      </c>
      <c r="I49" t="s">
        <v>400</v>
      </c>
    </row>
    <row r="50" spans="1:9" ht="15" customHeight="1" x14ac:dyDescent="0.25">
      <c r="A50">
        <v>48</v>
      </c>
      <c r="B50" t="s">
        <v>290</v>
      </c>
      <c r="C50">
        <v>85</v>
      </c>
      <c r="D50">
        <v>156</v>
      </c>
      <c r="E50">
        <v>126</v>
      </c>
      <c r="F50">
        <v>73</v>
      </c>
      <c r="G50">
        <v>68</v>
      </c>
      <c r="I50" t="s">
        <v>402</v>
      </c>
    </row>
    <row r="51" spans="1:9" ht="15" customHeight="1" x14ac:dyDescent="0.25">
      <c r="A51">
        <v>49</v>
      </c>
      <c r="B51" t="s">
        <v>291</v>
      </c>
      <c r="C51">
        <v>145</v>
      </c>
      <c r="D51">
        <v>279</v>
      </c>
      <c r="E51">
        <v>135</v>
      </c>
      <c r="F51">
        <v>74</v>
      </c>
      <c r="G51">
        <v>112</v>
      </c>
      <c r="I51" t="s">
        <v>402</v>
      </c>
    </row>
    <row r="52" spans="1:9" ht="15" customHeight="1" x14ac:dyDescent="0.25">
      <c r="A52">
        <v>50</v>
      </c>
      <c r="B52" t="s">
        <v>292</v>
      </c>
      <c r="C52">
        <v>140</v>
      </c>
      <c r="D52">
        <v>316</v>
      </c>
      <c r="E52">
        <v>156</v>
      </c>
      <c r="F52">
        <v>133</v>
      </c>
      <c r="G52">
        <v>61</v>
      </c>
      <c r="I52" t="s">
        <v>400</v>
      </c>
    </row>
    <row r="53" spans="1:9" x14ac:dyDescent="0.25">
      <c r="A53">
        <v>51</v>
      </c>
      <c r="B53" t="s">
        <v>293</v>
      </c>
      <c r="C53">
        <v>5</v>
      </c>
      <c r="D53">
        <v>8</v>
      </c>
      <c r="E53">
        <v>65</v>
      </c>
      <c r="F53">
        <v>34</v>
      </c>
      <c r="G53">
        <v>14</v>
      </c>
      <c r="I53" t="s">
        <v>412</v>
      </c>
    </row>
    <row r="54" spans="1:9" ht="15" customHeight="1" x14ac:dyDescent="0.25">
      <c r="A54">
        <v>52</v>
      </c>
      <c r="B54" t="s">
        <v>294</v>
      </c>
      <c r="D54">
        <v>198</v>
      </c>
      <c r="E54">
        <v>155</v>
      </c>
      <c r="F54">
        <v>74</v>
      </c>
      <c r="G54">
        <v>69</v>
      </c>
      <c r="I54" t="s">
        <v>400</v>
      </c>
    </row>
    <row r="55" spans="1:9" ht="15" customHeight="1" x14ac:dyDescent="0.25">
      <c r="A55">
        <v>53</v>
      </c>
      <c r="B55" t="s">
        <v>295</v>
      </c>
      <c r="C55">
        <v>96</v>
      </c>
      <c r="D55">
        <v>173</v>
      </c>
      <c r="E55">
        <v>146</v>
      </c>
      <c r="F55">
        <v>72</v>
      </c>
      <c r="G55">
        <v>66</v>
      </c>
      <c r="I55" t="s">
        <v>400</v>
      </c>
    </row>
    <row r="56" spans="1:9" ht="15" customHeight="1" x14ac:dyDescent="0.25">
      <c r="A56">
        <v>54</v>
      </c>
      <c r="B56" t="s">
        <v>296</v>
      </c>
      <c r="C56">
        <v>124</v>
      </c>
      <c r="D56">
        <v>209</v>
      </c>
      <c r="E56">
        <v>157</v>
      </c>
      <c r="F56">
        <v>75</v>
      </c>
      <c r="G56">
        <v>71</v>
      </c>
      <c r="I56" t="s">
        <v>400</v>
      </c>
    </row>
    <row r="57" spans="1:9" ht="15" customHeight="1" x14ac:dyDescent="0.25">
      <c r="A57">
        <v>55</v>
      </c>
      <c r="B57" t="s">
        <v>297</v>
      </c>
      <c r="C57">
        <v>146</v>
      </c>
      <c r="D57">
        <v>345</v>
      </c>
      <c r="E57">
        <v>160</v>
      </c>
      <c r="F57">
        <v>137</v>
      </c>
      <c r="G57">
        <v>63</v>
      </c>
      <c r="I57" t="s">
        <v>400</v>
      </c>
    </row>
    <row r="58" spans="1:9" ht="15" customHeight="1" x14ac:dyDescent="0.25">
      <c r="A58">
        <v>56</v>
      </c>
      <c r="B58" t="s">
        <v>298</v>
      </c>
      <c r="C58">
        <v>72</v>
      </c>
      <c r="D58">
        <v>104</v>
      </c>
      <c r="E58">
        <v>146</v>
      </c>
      <c r="F58">
        <v>57</v>
      </c>
      <c r="G58">
        <v>50</v>
      </c>
      <c r="I58" t="s">
        <v>400</v>
      </c>
    </row>
    <row r="59" spans="1:9" ht="15" customHeight="1" x14ac:dyDescent="0.25">
      <c r="A59">
        <v>57</v>
      </c>
      <c r="B59" t="s">
        <v>353</v>
      </c>
      <c r="C59">
        <v>57</v>
      </c>
      <c r="D59">
        <v>87</v>
      </c>
      <c r="E59">
        <v>142</v>
      </c>
      <c r="F59">
        <v>57</v>
      </c>
      <c r="G59">
        <v>43</v>
      </c>
      <c r="I59" t="str">
        <f t="shared" si="1"/>
        <v>Digital Piano (Arius)</v>
      </c>
    </row>
    <row r="60" spans="1:9" ht="15" customHeight="1" x14ac:dyDescent="0.25">
      <c r="A60">
        <v>58</v>
      </c>
      <c r="B60" t="s">
        <v>354</v>
      </c>
      <c r="C60">
        <v>57</v>
      </c>
      <c r="D60">
        <v>87</v>
      </c>
      <c r="E60">
        <v>142</v>
      </c>
      <c r="F60">
        <v>57</v>
      </c>
      <c r="G60">
        <v>43</v>
      </c>
      <c r="I60" t="str">
        <f t="shared" si="1"/>
        <v>Digital Piano (Arius)</v>
      </c>
    </row>
    <row r="61" spans="1:9" ht="15" customHeight="1" x14ac:dyDescent="0.25">
      <c r="A61">
        <v>59</v>
      </c>
      <c r="B61" s="16" t="s">
        <v>299</v>
      </c>
      <c r="C61" s="16">
        <v>136</v>
      </c>
      <c r="D61" s="16"/>
      <c r="E61" s="16"/>
      <c r="F61" s="16"/>
      <c r="G61" s="16"/>
      <c r="H61" s="16"/>
      <c r="I61" t="s">
        <v>402</v>
      </c>
    </row>
    <row r="62" spans="1:9" ht="15" customHeight="1" x14ac:dyDescent="0.25">
      <c r="A62">
        <v>60</v>
      </c>
      <c r="B62" t="s">
        <v>300</v>
      </c>
      <c r="C62">
        <v>94</v>
      </c>
      <c r="D62">
        <v>173</v>
      </c>
      <c r="E62">
        <v>145</v>
      </c>
      <c r="F62">
        <v>72</v>
      </c>
      <c r="G62">
        <v>65</v>
      </c>
      <c r="I62" t="s">
        <v>400</v>
      </c>
    </row>
    <row r="63" spans="1:9" ht="15" customHeight="1" x14ac:dyDescent="0.25">
      <c r="A63">
        <v>61</v>
      </c>
      <c r="B63" t="s">
        <v>301</v>
      </c>
      <c r="C63">
        <v>118</v>
      </c>
      <c r="D63">
        <v>204</v>
      </c>
      <c r="E63">
        <v>154</v>
      </c>
      <c r="F63">
        <v>74</v>
      </c>
      <c r="G63">
        <v>69</v>
      </c>
      <c r="I63" t="s">
        <v>400</v>
      </c>
    </row>
    <row r="64" spans="1:9" ht="15" customHeight="1" x14ac:dyDescent="0.25">
      <c r="A64">
        <v>62</v>
      </c>
      <c r="B64" t="s">
        <v>302</v>
      </c>
      <c r="C64">
        <v>69</v>
      </c>
      <c r="E64">
        <v>143</v>
      </c>
      <c r="F64">
        <v>57</v>
      </c>
      <c r="G64">
        <v>48</v>
      </c>
      <c r="I64" t="str">
        <f t="shared" si="1"/>
        <v>Digital Piano (Arius)</v>
      </c>
    </row>
    <row r="65" spans="1:9" ht="15" customHeight="1" x14ac:dyDescent="0.25">
      <c r="A65">
        <v>63</v>
      </c>
      <c r="B65" t="s">
        <v>303</v>
      </c>
      <c r="C65">
        <v>121</v>
      </c>
      <c r="D65">
        <v>325</v>
      </c>
      <c r="E65">
        <v>160</v>
      </c>
      <c r="F65">
        <v>136</v>
      </c>
      <c r="G65">
        <v>59</v>
      </c>
      <c r="I65" t="s">
        <v>400</v>
      </c>
    </row>
    <row r="66" spans="1:9" ht="15" customHeight="1" x14ac:dyDescent="0.25">
      <c r="A66">
        <v>64</v>
      </c>
      <c r="B66" t="s">
        <v>304</v>
      </c>
      <c r="C66">
        <v>57</v>
      </c>
      <c r="D66">
        <v>85</v>
      </c>
      <c r="E66">
        <v>143</v>
      </c>
      <c r="F66">
        <v>57</v>
      </c>
      <c r="G66">
        <v>42</v>
      </c>
      <c r="I66" t="str">
        <f t="shared" si="1"/>
        <v>Digital Piano (Arius)</v>
      </c>
    </row>
    <row r="67" spans="1:9" ht="15" customHeight="1" x14ac:dyDescent="0.25">
      <c r="A67">
        <v>65</v>
      </c>
      <c r="B67" t="s">
        <v>314</v>
      </c>
      <c r="C67">
        <v>17</v>
      </c>
      <c r="D67">
        <v>57</v>
      </c>
      <c r="E67" s="23">
        <v>104</v>
      </c>
      <c r="F67" s="23">
        <v>38</v>
      </c>
      <c r="G67" s="23">
        <v>58</v>
      </c>
      <c r="I67" t="s">
        <v>342</v>
      </c>
    </row>
    <row r="68" spans="1:9" ht="15" customHeight="1" x14ac:dyDescent="0.25">
      <c r="A68">
        <v>66</v>
      </c>
      <c r="B68" t="s">
        <v>315</v>
      </c>
      <c r="C68">
        <v>17</v>
      </c>
      <c r="D68">
        <v>57</v>
      </c>
      <c r="E68" s="23">
        <v>104</v>
      </c>
      <c r="F68" s="23">
        <v>38</v>
      </c>
      <c r="G68" s="23">
        <v>58</v>
      </c>
      <c r="I68" t="s">
        <v>342</v>
      </c>
    </row>
    <row r="69" spans="1:9" ht="15" customHeight="1" x14ac:dyDescent="0.25">
      <c r="A69">
        <v>67</v>
      </c>
      <c r="B69" t="s">
        <v>316</v>
      </c>
      <c r="C69">
        <v>17</v>
      </c>
      <c r="D69">
        <v>57</v>
      </c>
      <c r="E69" s="23">
        <v>104</v>
      </c>
      <c r="F69" s="23">
        <v>38</v>
      </c>
      <c r="G69" s="23">
        <v>58</v>
      </c>
      <c r="I69" t="s">
        <v>342</v>
      </c>
    </row>
    <row r="70" spans="1:9" ht="15" customHeight="1" x14ac:dyDescent="0.25">
      <c r="A70">
        <v>68</v>
      </c>
      <c r="B70" t="s">
        <v>317</v>
      </c>
      <c r="C70">
        <v>17</v>
      </c>
      <c r="D70">
        <v>57</v>
      </c>
      <c r="E70" s="23">
        <v>104</v>
      </c>
      <c r="F70" s="23">
        <v>38</v>
      </c>
      <c r="G70" s="23">
        <v>58</v>
      </c>
      <c r="I70" t="s">
        <v>342</v>
      </c>
    </row>
    <row r="71" spans="1:9" ht="15" customHeight="1" x14ac:dyDescent="0.25">
      <c r="A71">
        <v>69</v>
      </c>
      <c r="B71" t="s">
        <v>318</v>
      </c>
      <c r="C71">
        <v>17</v>
      </c>
      <c r="D71">
        <v>57</v>
      </c>
      <c r="E71" s="23">
        <v>104</v>
      </c>
      <c r="F71" s="23">
        <v>38</v>
      </c>
      <c r="G71" s="23">
        <v>58</v>
      </c>
      <c r="I71" t="s">
        <v>342</v>
      </c>
    </row>
    <row r="72" spans="1:9" ht="15" customHeight="1" x14ac:dyDescent="0.25">
      <c r="A72">
        <v>70</v>
      </c>
      <c r="B72" t="s">
        <v>319</v>
      </c>
      <c r="C72">
        <v>16</v>
      </c>
      <c r="D72">
        <v>44</v>
      </c>
      <c r="E72" s="23">
        <v>94</v>
      </c>
      <c r="F72" s="23">
        <v>35</v>
      </c>
      <c r="G72" s="23">
        <v>53</v>
      </c>
      <c r="I72" t="s">
        <v>342</v>
      </c>
    </row>
    <row r="73" spans="1:9" ht="15" customHeight="1" x14ac:dyDescent="0.25">
      <c r="A73">
        <v>71</v>
      </c>
      <c r="B73" t="s">
        <v>355</v>
      </c>
      <c r="C73">
        <v>21</v>
      </c>
      <c r="D73">
        <v>74</v>
      </c>
      <c r="E73" s="23" t="s">
        <v>343</v>
      </c>
      <c r="F73" s="23">
        <v>42</v>
      </c>
      <c r="G73" s="23">
        <v>65</v>
      </c>
      <c r="I73" t="s">
        <v>342</v>
      </c>
    </row>
    <row r="74" spans="1:9" ht="15" customHeight="1" x14ac:dyDescent="0.25">
      <c r="A74">
        <v>72</v>
      </c>
      <c r="B74" t="s">
        <v>356</v>
      </c>
      <c r="C74">
        <v>21</v>
      </c>
      <c r="D74">
        <v>74</v>
      </c>
      <c r="E74" s="23" t="s">
        <v>343</v>
      </c>
      <c r="F74" s="23">
        <v>42</v>
      </c>
      <c r="G74" s="23">
        <v>65</v>
      </c>
      <c r="I74" t="s">
        <v>342</v>
      </c>
    </row>
    <row r="75" spans="1:9" ht="15" customHeight="1" x14ac:dyDescent="0.25">
      <c r="A75">
        <v>73</v>
      </c>
      <c r="B75" s="16" t="s">
        <v>320</v>
      </c>
      <c r="C75" s="24">
        <v>21</v>
      </c>
      <c r="D75" s="24">
        <v>72</v>
      </c>
      <c r="E75" s="24">
        <v>106</v>
      </c>
      <c r="F75" s="24">
        <v>42</v>
      </c>
      <c r="G75" s="24">
        <v>65</v>
      </c>
      <c r="H75" s="16"/>
      <c r="I75" t="s">
        <v>342</v>
      </c>
    </row>
    <row r="76" spans="1:9" ht="15" customHeight="1" x14ac:dyDescent="0.25">
      <c r="A76">
        <v>74</v>
      </c>
      <c r="B76" t="s">
        <v>321</v>
      </c>
      <c r="C76" s="23">
        <v>21</v>
      </c>
      <c r="D76" s="23">
        <v>72</v>
      </c>
      <c r="E76" s="23">
        <v>106</v>
      </c>
      <c r="F76" s="23">
        <v>42</v>
      </c>
      <c r="G76" s="23">
        <v>65</v>
      </c>
      <c r="I76" t="s">
        <v>342</v>
      </c>
    </row>
    <row r="77" spans="1:9" ht="15" customHeight="1" x14ac:dyDescent="0.25">
      <c r="A77">
        <v>75</v>
      </c>
      <c r="B77" t="s">
        <v>322</v>
      </c>
      <c r="C77" s="23">
        <v>21</v>
      </c>
      <c r="D77" s="23">
        <v>72</v>
      </c>
      <c r="E77" s="23">
        <v>106</v>
      </c>
      <c r="F77" s="23">
        <v>42</v>
      </c>
      <c r="G77" s="23">
        <v>65</v>
      </c>
      <c r="I77" t="s">
        <v>342</v>
      </c>
    </row>
    <row r="78" spans="1:9" ht="15" customHeight="1" x14ac:dyDescent="0.25">
      <c r="A78">
        <v>76</v>
      </c>
      <c r="B78" t="s">
        <v>323</v>
      </c>
      <c r="C78" s="23">
        <v>8.5</v>
      </c>
      <c r="D78" s="23">
        <v>23</v>
      </c>
      <c r="E78" s="23">
        <v>73</v>
      </c>
      <c r="F78" s="23">
        <v>29</v>
      </c>
      <c r="G78" s="23">
        <v>44</v>
      </c>
      <c r="I78" t="s">
        <v>342</v>
      </c>
    </row>
    <row r="79" spans="1:9" ht="15" customHeight="1" x14ac:dyDescent="0.25">
      <c r="A79">
        <v>77</v>
      </c>
      <c r="B79" t="s">
        <v>324</v>
      </c>
      <c r="C79" s="23">
        <v>16</v>
      </c>
      <c r="D79" s="23">
        <v>47</v>
      </c>
      <c r="E79" s="23">
        <v>90</v>
      </c>
      <c r="F79" s="23">
        <v>37</v>
      </c>
      <c r="G79" s="23">
        <v>67</v>
      </c>
      <c r="I79" t="s">
        <v>342</v>
      </c>
    </row>
    <row r="80" spans="1:9" ht="15" customHeight="1" x14ac:dyDescent="0.25">
      <c r="A80">
        <v>78</v>
      </c>
      <c r="B80" t="s">
        <v>325</v>
      </c>
      <c r="C80" s="23">
        <v>3.2</v>
      </c>
      <c r="D80" s="23">
        <v>17</v>
      </c>
      <c r="E80" s="23">
        <v>110</v>
      </c>
      <c r="F80" s="23">
        <v>50</v>
      </c>
      <c r="G80" s="23">
        <v>12</v>
      </c>
      <c r="I80" t="s">
        <v>404</v>
      </c>
    </row>
    <row r="81" spans="1:9" ht="15" customHeight="1" x14ac:dyDescent="0.25">
      <c r="A81">
        <v>79</v>
      </c>
      <c r="B81" t="s">
        <v>326</v>
      </c>
      <c r="C81" s="23">
        <v>3.5</v>
      </c>
      <c r="D81" s="23">
        <v>25</v>
      </c>
      <c r="E81" s="23">
        <v>111</v>
      </c>
      <c r="F81" s="23">
        <v>57</v>
      </c>
      <c r="G81" s="23">
        <v>16</v>
      </c>
      <c r="I81" t="s">
        <v>404</v>
      </c>
    </row>
    <row r="82" spans="1:9" ht="15" customHeight="1" x14ac:dyDescent="0.25">
      <c r="A82">
        <v>80</v>
      </c>
      <c r="B82" t="s">
        <v>327</v>
      </c>
      <c r="C82" s="23"/>
      <c r="D82" s="23">
        <v>12</v>
      </c>
      <c r="E82" s="23">
        <v>104</v>
      </c>
      <c r="F82" s="23">
        <v>49</v>
      </c>
      <c r="G82" s="23">
        <v>14</v>
      </c>
      <c r="I82" t="s">
        <v>342</v>
      </c>
    </row>
    <row r="83" spans="1:9" ht="15" customHeight="1" x14ac:dyDescent="0.25">
      <c r="A83">
        <v>81</v>
      </c>
      <c r="B83" t="s">
        <v>328</v>
      </c>
      <c r="C83" s="23">
        <v>6</v>
      </c>
      <c r="D83" s="23">
        <v>13</v>
      </c>
      <c r="E83" s="23">
        <v>108</v>
      </c>
      <c r="F83" s="23">
        <v>45.5</v>
      </c>
      <c r="G83" s="23">
        <v>10.5</v>
      </c>
      <c r="I83" t="s">
        <v>404</v>
      </c>
    </row>
    <row r="84" spans="1:9" ht="15" customHeight="1" x14ac:dyDescent="0.25">
      <c r="A84">
        <v>82</v>
      </c>
      <c r="B84" t="s">
        <v>329</v>
      </c>
      <c r="C84" s="23">
        <v>6</v>
      </c>
      <c r="D84" s="23">
        <v>13</v>
      </c>
      <c r="E84" s="23">
        <v>108</v>
      </c>
      <c r="F84" s="23">
        <v>45.5</v>
      </c>
      <c r="G84" s="23">
        <v>10.5</v>
      </c>
      <c r="I84" t="s">
        <v>404</v>
      </c>
    </row>
    <row r="85" spans="1:9" ht="15" customHeight="1" x14ac:dyDescent="0.25">
      <c r="A85">
        <v>83</v>
      </c>
      <c r="B85" t="s">
        <v>330</v>
      </c>
      <c r="C85" s="23">
        <v>6</v>
      </c>
      <c r="D85" s="23">
        <v>16</v>
      </c>
      <c r="E85" s="23">
        <v>104</v>
      </c>
      <c r="F85" s="23">
        <v>45.5</v>
      </c>
      <c r="G85" s="23">
        <v>14</v>
      </c>
      <c r="I85" t="s">
        <v>404</v>
      </c>
    </row>
    <row r="86" spans="1:9" ht="15" customHeight="1" x14ac:dyDescent="0.25">
      <c r="A86">
        <v>84</v>
      </c>
      <c r="B86" t="s">
        <v>331</v>
      </c>
      <c r="C86" s="23">
        <v>6</v>
      </c>
      <c r="D86" s="23">
        <v>18</v>
      </c>
      <c r="E86" s="23">
        <v>104</v>
      </c>
      <c r="F86" s="23">
        <v>49</v>
      </c>
      <c r="G86" s="23">
        <v>14.5</v>
      </c>
      <c r="I86" t="s">
        <v>404</v>
      </c>
    </row>
    <row r="87" spans="1:9" ht="15" customHeight="1" x14ac:dyDescent="0.25">
      <c r="A87">
        <v>85</v>
      </c>
      <c r="B87" t="s">
        <v>332</v>
      </c>
      <c r="C87" s="23">
        <v>6.5</v>
      </c>
      <c r="D87" s="23">
        <v>33</v>
      </c>
      <c r="E87" s="23">
        <v>115</v>
      </c>
      <c r="F87" s="23">
        <v>58</v>
      </c>
      <c r="G87" s="23">
        <v>20</v>
      </c>
      <c r="I87" t="s">
        <v>342</v>
      </c>
    </row>
    <row r="88" spans="1:9" ht="15" customHeight="1" x14ac:dyDescent="0.25">
      <c r="A88">
        <v>86</v>
      </c>
      <c r="B88" t="s">
        <v>333</v>
      </c>
      <c r="C88" s="23"/>
      <c r="D88" s="23">
        <v>18</v>
      </c>
      <c r="E88" s="23">
        <v>104</v>
      </c>
      <c r="F88" s="23">
        <v>49</v>
      </c>
      <c r="G88" s="23">
        <v>14</v>
      </c>
      <c r="I88" t="s">
        <v>342</v>
      </c>
    </row>
    <row r="89" spans="1:9" ht="15" customHeight="1" x14ac:dyDescent="0.25">
      <c r="A89">
        <v>87</v>
      </c>
      <c r="B89" t="s">
        <v>334</v>
      </c>
      <c r="C89" s="23">
        <v>6</v>
      </c>
      <c r="D89" s="23">
        <v>16</v>
      </c>
      <c r="E89" s="23">
        <v>127.5</v>
      </c>
      <c r="F89" s="23">
        <v>47</v>
      </c>
      <c r="G89" s="23">
        <v>105</v>
      </c>
      <c r="I89" t="s">
        <v>404</v>
      </c>
    </row>
    <row r="90" spans="1:9" ht="15" customHeight="1" x14ac:dyDescent="0.25">
      <c r="A90">
        <v>88</v>
      </c>
      <c r="B90" t="s">
        <v>335</v>
      </c>
      <c r="C90" s="23">
        <v>7</v>
      </c>
      <c r="D90" s="23">
        <v>16</v>
      </c>
      <c r="E90" s="23">
        <v>127.6</v>
      </c>
      <c r="F90" s="23">
        <v>48</v>
      </c>
      <c r="G90" s="23">
        <v>106</v>
      </c>
      <c r="I90" t="s">
        <v>404</v>
      </c>
    </row>
    <row r="91" spans="1:9" ht="15" customHeight="1" x14ac:dyDescent="0.25">
      <c r="A91">
        <v>89</v>
      </c>
      <c r="B91" t="s">
        <v>336</v>
      </c>
      <c r="C91" s="23"/>
      <c r="D91" s="23">
        <v>22</v>
      </c>
      <c r="E91" s="23">
        <v>108</v>
      </c>
      <c r="F91" s="23">
        <v>53</v>
      </c>
      <c r="G91" s="23">
        <v>16</v>
      </c>
      <c r="I91" t="s">
        <v>342</v>
      </c>
    </row>
    <row r="92" spans="1:9" ht="15" customHeight="1" x14ac:dyDescent="0.25">
      <c r="A92">
        <v>90</v>
      </c>
      <c r="B92" t="s">
        <v>337</v>
      </c>
      <c r="C92" s="23">
        <v>3</v>
      </c>
      <c r="D92" s="23">
        <v>4</v>
      </c>
      <c r="I92" t="s">
        <v>342</v>
      </c>
    </row>
    <row r="93" spans="1:9" ht="15" customHeight="1" x14ac:dyDescent="0.25">
      <c r="A93">
        <v>91</v>
      </c>
      <c r="B93" t="s">
        <v>338</v>
      </c>
      <c r="C93" s="23">
        <v>3</v>
      </c>
      <c r="D93" s="23">
        <v>3</v>
      </c>
      <c r="I93" t="s">
        <v>342</v>
      </c>
    </row>
    <row r="94" spans="1:9" ht="15" customHeight="1" x14ac:dyDescent="0.25">
      <c r="A94">
        <v>92</v>
      </c>
      <c r="B94" t="s">
        <v>339</v>
      </c>
      <c r="C94" s="23"/>
      <c r="D94" s="23">
        <v>57</v>
      </c>
      <c r="I94" t="s">
        <v>342</v>
      </c>
    </row>
    <row r="95" spans="1:9" ht="15" customHeight="1" x14ac:dyDescent="0.25">
      <c r="A95">
        <v>93</v>
      </c>
      <c r="B95" t="s">
        <v>340</v>
      </c>
      <c r="C95" s="23"/>
      <c r="D95" s="23">
        <v>44</v>
      </c>
      <c r="I95" t="s">
        <v>342</v>
      </c>
    </row>
    <row r="96" spans="1:9" ht="15" customHeight="1" x14ac:dyDescent="0.25">
      <c r="A96">
        <v>94</v>
      </c>
      <c r="B96" t="s">
        <v>341</v>
      </c>
      <c r="C96" s="23"/>
      <c r="D96" s="23">
        <v>6</v>
      </c>
      <c r="I96" t="s">
        <v>404</v>
      </c>
    </row>
    <row r="97" spans="1:9" ht="15" customHeight="1" x14ac:dyDescent="0.25">
      <c r="A97">
        <v>95</v>
      </c>
      <c r="B97" t="s">
        <v>351</v>
      </c>
      <c r="C97">
        <v>17</v>
      </c>
      <c r="E97">
        <v>103</v>
      </c>
      <c r="F97">
        <v>39</v>
      </c>
      <c r="G97">
        <v>62</v>
      </c>
      <c r="I97" t="s">
        <v>342</v>
      </c>
    </row>
    <row r="98" spans="1:9" ht="15" customHeight="1" x14ac:dyDescent="0.25">
      <c r="A98">
        <v>96</v>
      </c>
      <c r="B98" t="s">
        <v>352</v>
      </c>
      <c r="C98">
        <v>17</v>
      </c>
      <c r="E98">
        <v>103</v>
      </c>
      <c r="F98">
        <v>39</v>
      </c>
      <c r="G98">
        <v>62</v>
      </c>
      <c r="I98" t="s">
        <v>342</v>
      </c>
    </row>
    <row r="99" spans="1:9" ht="15" customHeight="1" x14ac:dyDescent="0.25">
      <c r="A99">
        <v>97</v>
      </c>
      <c r="B99" s="16" t="s">
        <v>344</v>
      </c>
      <c r="C99" s="16"/>
      <c r="D99" s="16">
        <v>18</v>
      </c>
      <c r="E99" s="16"/>
      <c r="F99" s="16"/>
      <c r="G99" s="16"/>
      <c r="H99" s="16"/>
      <c r="I99" t="s">
        <v>342</v>
      </c>
    </row>
    <row r="100" spans="1:9" x14ac:dyDescent="0.25">
      <c r="A100">
        <v>98</v>
      </c>
      <c r="B100" t="s">
        <v>345</v>
      </c>
      <c r="C100">
        <v>10</v>
      </c>
      <c r="I100" t="s">
        <v>412</v>
      </c>
    </row>
    <row r="101" spans="1:9" ht="15" customHeight="1" x14ac:dyDescent="0.25">
      <c r="A101">
        <v>99</v>
      </c>
      <c r="B101" t="s">
        <v>346</v>
      </c>
      <c r="C101">
        <v>3</v>
      </c>
      <c r="D101">
        <v>12</v>
      </c>
      <c r="I101" t="s">
        <v>404</v>
      </c>
    </row>
    <row r="102" spans="1:9" ht="15" customHeight="1" x14ac:dyDescent="0.25">
      <c r="A102">
        <v>100</v>
      </c>
      <c r="B102" t="s">
        <v>347</v>
      </c>
      <c r="D102">
        <v>15</v>
      </c>
      <c r="I102" t="s">
        <v>404</v>
      </c>
    </row>
    <row r="103" spans="1:9" x14ac:dyDescent="0.25">
      <c r="A103">
        <v>101</v>
      </c>
      <c r="B103" t="s">
        <v>348</v>
      </c>
      <c r="C103">
        <v>3</v>
      </c>
      <c r="E103">
        <v>31</v>
      </c>
      <c r="F103">
        <v>24</v>
      </c>
      <c r="G103">
        <v>21</v>
      </c>
      <c r="I103" t="s">
        <v>412</v>
      </c>
    </row>
    <row r="104" spans="1:9" x14ac:dyDescent="0.25">
      <c r="A104">
        <v>102</v>
      </c>
      <c r="B104" t="s">
        <v>349</v>
      </c>
      <c r="C104">
        <v>10</v>
      </c>
      <c r="E104">
        <v>46</v>
      </c>
      <c r="F104">
        <v>28</v>
      </c>
      <c r="G104">
        <v>41</v>
      </c>
      <c r="I104" t="s">
        <v>412</v>
      </c>
    </row>
    <row r="105" spans="1:9" x14ac:dyDescent="0.25">
      <c r="A105">
        <v>103</v>
      </c>
      <c r="B105" t="s">
        <v>350</v>
      </c>
      <c r="C105">
        <v>6.1</v>
      </c>
      <c r="E105">
        <v>50</v>
      </c>
      <c r="F105">
        <v>31</v>
      </c>
      <c r="G105">
        <v>22.5</v>
      </c>
      <c r="I105" t="s">
        <v>412</v>
      </c>
    </row>
    <row r="106" spans="1:9" x14ac:dyDescent="0.25">
      <c r="A106">
        <v>104</v>
      </c>
      <c r="B106" t="s">
        <v>409</v>
      </c>
      <c r="C106" s="23">
        <v>39</v>
      </c>
      <c r="D106" s="23">
        <v>35</v>
      </c>
      <c r="E106">
        <v>15</v>
      </c>
      <c r="F106">
        <v>50</v>
      </c>
      <c r="G106">
        <v>57</v>
      </c>
      <c r="I106" t="s">
        <v>412</v>
      </c>
    </row>
    <row r="107" spans="1:9" x14ac:dyDescent="0.25">
      <c r="A107">
        <v>105</v>
      </c>
      <c r="B107" t="s">
        <v>357</v>
      </c>
      <c r="C107" s="23">
        <v>15</v>
      </c>
      <c r="D107" s="23">
        <v>66</v>
      </c>
      <c r="I107" t="s">
        <v>412</v>
      </c>
    </row>
    <row r="108" spans="1:9" x14ac:dyDescent="0.25">
      <c r="A108">
        <v>106</v>
      </c>
      <c r="B108" t="s">
        <v>358</v>
      </c>
      <c r="C108" s="23">
        <v>44</v>
      </c>
      <c r="D108" s="23"/>
      <c r="I108" t="s">
        <v>412</v>
      </c>
    </row>
    <row r="109" spans="1:9" x14ac:dyDescent="0.25">
      <c r="A109">
        <v>107</v>
      </c>
      <c r="B109" t="s">
        <v>359</v>
      </c>
      <c r="C109" s="23">
        <v>10</v>
      </c>
      <c r="D109" s="23"/>
      <c r="I109" t="s">
        <v>412</v>
      </c>
    </row>
    <row r="110" spans="1:9" x14ac:dyDescent="0.25">
      <c r="A110">
        <v>108</v>
      </c>
      <c r="B110" t="s">
        <v>360</v>
      </c>
      <c r="C110" s="23">
        <v>10</v>
      </c>
      <c r="D110" s="23"/>
      <c r="I110" t="s">
        <v>412</v>
      </c>
    </row>
    <row r="111" spans="1:9" x14ac:dyDescent="0.25">
      <c r="A111">
        <v>109</v>
      </c>
      <c r="B111" t="s">
        <v>361</v>
      </c>
      <c r="C111" s="23">
        <v>98</v>
      </c>
      <c r="D111" s="23"/>
      <c r="I111" t="s">
        <v>412</v>
      </c>
    </row>
    <row r="112" spans="1:9" x14ac:dyDescent="0.25">
      <c r="A112">
        <v>110</v>
      </c>
      <c r="B112" t="s">
        <v>362</v>
      </c>
      <c r="C112" s="23">
        <v>11</v>
      </c>
      <c r="D112" s="23"/>
      <c r="I112" t="s">
        <v>412</v>
      </c>
    </row>
    <row r="113" spans="1:9" x14ac:dyDescent="0.25">
      <c r="A113">
        <v>111</v>
      </c>
      <c r="B113" t="s">
        <v>363</v>
      </c>
      <c r="C113" s="23">
        <v>9</v>
      </c>
      <c r="D113" s="23"/>
      <c r="E113">
        <v>64</v>
      </c>
      <c r="F113">
        <v>48</v>
      </c>
      <c r="G113">
        <v>25</v>
      </c>
      <c r="I113" t="s">
        <v>412</v>
      </c>
    </row>
    <row r="114" spans="1:9" x14ac:dyDescent="0.25">
      <c r="A114">
        <v>112</v>
      </c>
      <c r="B114" t="s">
        <v>364</v>
      </c>
      <c r="C114" s="23">
        <v>15</v>
      </c>
      <c r="D114" s="23"/>
      <c r="E114">
        <v>67</v>
      </c>
      <c r="F114">
        <v>45</v>
      </c>
      <c r="G114">
        <v>22</v>
      </c>
      <c r="I114" t="s">
        <v>412</v>
      </c>
    </row>
    <row r="115" spans="1:9" x14ac:dyDescent="0.25">
      <c r="A115">
        <v>113</v>
      </c>
      <c r="B115" t="s">
        <v>365</v>
      </c>
      <c r="C115" s="23">
        <v>3</v>
      </c>
      <c r="D115" s="23"/>
      <c r="E115">
        <v>42</v>
      </c>
      <c r="F115">
        <v>28</v>
      </c>
      <c r="G115">
        <v>12</v>
      </c>
      <c r="I115" t="s">
        <v>412</v>
      </c>
    </row>
    <row r="116" spans="1:9" x14ac:dyDescent="0.25">
      <c r="A116">
        <v>114</v>
      </c>
      <c r="B116" t="s">
        <v>366</v>
      </c>
      <c r="C116" s="23">
        <v>8</v>
      </c>
      <c r="D116" s="23"/>
      <c r="I116" t="s">
        <v>412</v>
      </c>
    </row>
    <row r="117" spans="1:9" x14ac:dyDescent="0.25">
      <c r="A117">
        <v>115</v>
      </c>
      <c r="B117" t="s">
        <v>368</v>
      </c>
      <c r="C117" s="23">
        <v>12</v>
      </c>
      <c r="I117" t="s">
        <v>412</v>
      </c>
    </row>
    <row r="118" spans="1:9" x14ac:dyDescent="0.25">
      <c r="A118">
        <v>116</v>
      </c>
      <c r="B118" t="s">
        <v>369</v>
      </c>
      <c r="C118" s="23">
        <v>12</v>
      </c>
      <c r="I118" t="s">
        <v>412</v>
      </c>
    </row>
    <row r="119" spans="1:9" x14ac:dyDescent="0.25">
      <c r="A119">
        <v>117</v>
      </c>
      <c r="B119" t="s">
        <v>367</v>
      </c>
      <c r="C119" s="23">
        <v>12</v>
      </c>
      <c r="I119" t="s">
        <v>412</v>
      </c>
    </row>
    <row r="120" spans="1:9" x14ac:dyDescent="0.25">
      <c r="A120">
        <v>118</v>
      </c>
      <c r="B120" t="s">
        <v>370</v>
      </c>
      <c r="C120">
        <v>5</v>
      </c>
      <c r="I120" t="s">
        <v>412</v>
      </c>
    </row>
    <row r="121" spans="1:9" x14ac:dyDescent="0.25">
      <c r="A121">
        <v>119</v>
      </c>
      <c r="B121" t="s">
        <v>399</v>
      </c>
      <c r="C121">
        <v>6</v>
      </c>
      <c r="I121" t="s">
        <v>412</v>
      </c>
    </row>
    <row r="122" spans="1:9" x14ac:dyDescent="0.25">
      <c r="A122">
        <v>120</v>
      </c>
      <c r="B122" t="s">
        <v>371</v>
      </c>
      <c r="C122">
        <v>6</v>
      </c>
      <c r="D122">
        <v>18</v>
      </c>
      <c r="E122">
        <v>76</v>
      </c>
      <c r="F122">
        <v>25</v>
      </c>
      <c r="G122">
        <v>39</v>
      </c>
      <c r="I122" t="s">
        <v>412</v>
      </c>
    </row>
    <row r="123" spans="1:9" x14ac:dyDescent="0.25">
      <c r="A123">
        <v>121</v>
      </c>
      <c r="B123" t="s">
        <v>372</v>
      </c>
      <c r="C123">
        <v>1</v>
      </c>
      <c r="D123">
        <v>2</v>
      </c>
      <c r="E123">
        <v>44</v>
      </c>
      <c r="F123">
        <v>15</v>
      </c>
      <c r="G123">
        <v>10.8</v>
      </c>
      <c r="I123" t="s">
        <v>412</v>
      </c>
    </row>
    <row r="124" spans="1:9" x14ac:dyDescent="0.25">
      <c r="A124">
        <v>122</v>
      </c>
      <c r="B124" t="s">
        <v>373</v>
      </c>
      <c r="C124">
        <v>11</v>
      </c>
      <c r="E124">
        <v>57</v>
      </c>
      <c r="F124">
        <v>34</v>
      </c>
      <c r="G124">
        <v>46</v>
      </c>
      <c r="I124" t="s">
        <v>412</v>
      </c>
    </row>
    <row r="125" spans="1:9" x14ac:dyDescent="0.25">
      <c r="A125">
        <v>123</v>
      </c>
      <c r="B125" t="s">
        <v>383</v>
      </c>
      <c r="C125">
        <v>18</v>
      </c>
      <c r="D125">
        <v>18</v>
      </c>
      <c r="E125">
        <v>53</v>
      </c>
      <c r="F125">
        <v>34</v>
      </c>
      <c r="G125">
        <v>39</v>
      </c>
      <c r="I125" t="s">
        <v>412</v>
      </c>
    </row>
    <row r="126" spans="1:9" x14ac:dyDescent="0.25">
      <c r="A126">
        <v>124</v>
      </c>
      <c r="B126" t="s">
        <v>374</v>
      </c>
      <c r="C126">
        <v>2</v>
      </c>
      <c r="D126">
        <v>7</v>
      </c>
      <c r="E126">
        <v>37</v>
      </c>
      <c r="F126">
        <v>30</v>
      </c>
      <c r="G126">
        <v>24</v>
      </c>
      <c r="I126" t="s">
        <v>412</v>
      </c>
    </row>
    <row r="127" spans="1:9" x14ac:dyDescent="0.25">
      <c r="A127">
        <v>125</v>
      </c>
      <c r="B127" t="s">
        <v>375</v>
      </c>
      <c r="C127">
        <v>2</v>
      </c>
      <c r="D127">
        <v>5</v>
      </c>
      <c r="E127">
        <v>38</v>
      </c>
      <c r="F127">
        <v>15</v>
      </c>
      <c r="G127">
        <v>32</v>
      </c>
      <c r="I127" t="s">
        <v>412</v>
      </c>
    </row>
    <row r="128" spans="1:9" x14ac:dyDescent="0.25">
      <c r="A128">
        <v>126</v>
      </c>
      <c r="B128" t="s">
        <v>376</v>
      </c>
      <c r="C128">
        <v>22</v>
      </c>
      <c r="E128">
        <v>78</v>
      </c>
      <c r="F128">
        <v>66</v>
      </c>
      <c r="G128">
        <v>40</v>
      </c>
      <c r="I128" t="s">
        <v>412</v>
      </c>
    </row>
    <row r="129" spans="1:9" x14ac:dyDescent="0.25">
      <c r="A129">
        <v>127</v>
      </c>
      <c r="B129" t="s">
        <v>377</v>
      </c>
      <c r="C129">
        <v>4</v>
      </c>
      <c r="E129">
        <v>48</v>
      </c>
      <c r="F129">
        <v>32</v>
      </c>
      <c r="G129">
        <v>7</v>
      </c>
      <c r="I129" t="s">
        <v>412</v>
      </c>
    </row>
    <row r="130" spans="1:9" x14ac:dyDescent="0.25">
      <c r="A130">
        <v>128</v>
      </c>
      <c r="B130" t="s">
        <v>378</v>
      </c>
      <c r="C130">
        <v>18</v>
      </c>
      <c r="E130">
        <v>49</v>
      </c>
      <c r="F130">
        <v>37</v>
      </c>
      <c r="G130">
        <v>35</v>
      </c>
      <c r="I130" t="s">
        <v>412</v>
      </c>
    </row>
    <row r="131" spans="1:9" x14ac:dyDescent="0.25">
      <c r="A131">
        <v>129</v>
      </c>
      <c r="B131" t="s">
        <v>379</v>
      </c>
      <c r="C131">
        <v>6</v>
      </c>
      <c r="E131">
        <v>65</v>
      </c>
      <c r="F131">
        <v>27</v>
      </c>
      <c r="G131">
        <v>38</v>
      </c>
      <c r="I131" t="s">
        <v>412</v>
      </c>
    </row>
    <row r="132" spans="1:9" x14ac:dyDescent="0.25">
      <c r="A132">
        <v>130</v>
      </c>
      <c r="B132" t="s">
        <v>380</v>
      </c>
      <c r="C132">
        <v>4</v>
      </c>
      <c r="E132">
        <v>59.5</v>
      </c>
      <c r="F132">
        <v>19</v>
      </c>
      <c r="G132">
        <v>32</v>
      </c>
      <c r="I132" t="s">
        <v>412</v>
      </c>
    </row>
    <row r="133" spans="1:9" x14ac:dyDescent="0.25">
      <c r="A133">
        <v>131</v>
      </c>
      <c r="B133" t="s">
        <v>381</v>
      </c>
      <c r="C133">
        <v>10</v>
      </c>
      <c r="E133">
        <v>61</v>
      </c>
      <c r="F133">
        <v>43</v>
      </c>
      <c r="G133">
        <v>30</v>
      </c>
      <c r="I133" t="s">
        <v>412</v>
      </c>
    </row>
    <row r="134" spans="1:9" x14ac:dyDescent="0.25">
      <c r="A134">
        <v>132</v>
      </c>
      <c r="B134" t="s">
        <v>382</v>
      </c>
      <c r="C134">
        <v>5</v>
      </c>
      <c r="E134">
        <v>65</v>
      </c>
      <c r="F134">
        <v>31</v>
      </c>
      <c r="G134">
        <v>34</v>
      </c>
      <c r="I134" t="s">
        <v>412</v>
      </c>
    </row>
    <row r="135" spans="1:9" x14ac:dyDescent="0.25">
      <c r="A135">
        <v>133</v>
      </c>
      <c r="B135" t="s">
        <v>385</v>
      </c>
      <c r="C135">
        <v>6</v>
      </c>
      <c r="D135">
        <v>1</v>
      </c>
      <c r="E135">
        <v>56</v>
      </c>
      <c r="F135">
        <v>36</v>
      </c>
      <c r="G135">
        <v>38</v>
      </c>
      <c r="I135" t="s">
        <v>412</v>
      </c>
    </row>
    <row r="136" spans="1:9" x14ac:dyDescent="0.25">
      <c r="A136">
        <v>134</v>
      </c>
      <c r="B136" t="s">
        <v>384</v>
      </c>
      <c r="C136">
        <v>11</v>
      </c>
      <c r="D136">
        <v>12</v>
      </c>
      <c r="E136">
        <v>46</v>
      </c>
      <c r="F136">
        <v>12</v>
      </c>
      <c r="G136">
        <v>29</v>
      </c>
      <c r="I136" t="s">
        <v>412</v>
      </c>
    </row>
    <row r="137" spans="1:9" ht="15" customHeight="1" x14ac:dyDescent="0.25">
      <c r="A137">
        <v>135</v>
      </c>
      <c r="B137" s="37" t="s">
        <v>395</v>
      </c>
      <c r="C137">
        <v>27.5</v>
      </c>
      <c r="D137">
        <v>41</v>
      </c>
      <c r="E137">
        <v>89</v>
      </c>
      <c r="F137">
        <v>58</v>
      </c>
      <c r="G137">
        <v>32</v>
      </c>
      <c r="I137" t="s">
        <v>386</v>
      </c>
    </row>
    <row r="138" spans="1:9" ht="15" customHeight="1" x14ac:dyDescent="0.25">
      <c r="A138">
        <v>136</v>
      </c>
      <c r="B138" s="37" t="s">
        <v>396</v>
      </c>
      <c r="C138">
        <v>37</v>
      </c>
      <c r="D138">
        <v>55</v>
      </c>
      <c r="E138">
        <v>89</v>
      </c>
      <c r="F138">
        <v>58</v>
      </c>
      <c r="G138">
        <v>43</v>
      </c>
      <c r="I138" t="s">
        <v>386</v>
      </c>
    </row>
    <row r="139" spans="1:9" ht="15" customHeight="1" x14ac:dyDescent="0.25">
      <c r="A139">
        <v>137</v>
      </c>
      <c r="B139" t="s">
        <v>388</v>
      </c>
      <c r="C139">
        <v>42</v>
      </c>
      <c r="D139">
        <v>105</v>
      </c>
      <c r="I139" t="s">
        <v>386</v>
      </c>
    </row>
    <row r="140" spans="1:9" ht="15" customHeight="1" x14ac:dyDescent="0.25">
      <c r="A140">
        <v>138</v>
      </c>
      <c r="B140" t="s">
        <v>387</v>
      </c>
      <c r="D140">
        <v>111</v>
      </c>
      <c r="I140" t="s">
        <v>386</v>
      </c>
    </row>
    <row r="141" spans="1:9" ht="15" customHeight="1" x14ac:dyDescent="0.25">
      <c r="A141">
        <v>139</v>
      </c>
      <c r="B141" t="s">
        <v>389</v>
      </c>
      <c r="C141">
        <v>47</v>
      </c>
      <c r="D141">
        <v>127</v>
      </c>
      <c r="I141" t="s">
        <v>386</v>
      </c>
    </row>
    <row r="142" spans="1:9" ht="15" customHeight="1" x14ac:dyDescent="0.25">
      <c r="A142">
        <v>140</v>
      </c>
      <c r="B142" t="s">
        <v>390</v>
      </c>
      <c r="D142">
        <v>134</v>
      </c>
      <c r="I142" t="s">
        <v>386</v>
      </c>
    </row>
    <row r="143" spans="1:9" ht="15" customHeight="1" x14ac:dyDescent="0.25">
      <c r="A143">
        <v>141</v>
      </c>
      <c r="B143" t="s">
        <v>391</v>
      </c>
      <c r="D143">
        <v>76</v>
      </c>
      <c r="I143" t="s">
        <v>386</v>
      </c>
    </row>
    <row r="144" spans="1:9" ht="15" customHeight="1" x14ac:dyDescent="0.25">
      <c r="A144">
        <v>142</v>
      </c>
    </row>
  </sheetData>
  <mergeCells count="1">
    <mergeCell ref="A1:I1"/>
  </mergeCells>
  <conditionalFormatting sqref="B1:B1048576">
    <cfRule type="duplicateValues" dxfId="51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3" tint="0.39997558519241921"/>
  </sheetPr>
  <dimension ref="A1:AF304"/>
  <sheetViews>
    <sheetView zoomScaleNormal="100" workbookViewId="0">
      <selection activeCell="D3" sqref="D3"/>
    </sheetView>
  </sheetViews>
  <sheetFormatPr defaultRowHeight="15" x14ac:dyDescent="0.25"/>
  <cols>
    <col min="1" max="1" width="7.5703125" style="6" customWidth="1"/>
    <col min="2" max="2" width="29.42578125" style="6" bestFit="1" customWidth="1"/>
    <col min="3" max="3" width="42" style="14" customWidth="1"/>
    <col min="4" max="4" width="10.7109375" style="14" customWidth="1"/>
    <col min="5" max="5" width="18.7109375" style="14" bestFit="1" customWidth="1"/>
    <col min="6" max="6" width="20.42578125" style="14" customWidth="1"/>
    <col min="7" max="7" width="12.7109375" style="14" bestFit="1" customWidth="1"/>
    <col min="8" max="8" width="11" style="14" customWidth="1"/>
    <col min="9" max="9" width="16.5703125" style="14" bestFit="1" customWidth="1"/>
    <col min="10" max="10" width="9.85546875" style="14" bestFit="1" customWidth="1"/>
    <col min="11" max="11" width="9.85546875" style="14" customWidth="1"/>
    <col min="12" max="12" width="11.140625" style="14" bestFit="1" customWidth="1"/>
    <col min="13" max="13" width="8.85546875" style="14" customWidth="1"/>
    <col min="14" max="14" width="12.5703125" style="14" bestFit="1" customWidth="1"/>
    <col min="15" max="15" width="9.5703125" style="14" customWidth="1"/>
    <col min="16" max="16" width="13.85546875" style="14" bestFit="1" customWidth="1"/>
    <col min="17" max="17" width="13.28515625" style="14" bestFit="1" customWidth="1"/>
    <col min="18" max="18" width="11.42578125" style="14" customWidth="1"/>
    <col min="19" max="19" width="11.85546875" style="14" customWidth="1"/>
    <col min="20" max="20" width="10.140625" style="14" customWidth="1"/>
    <col min="21" max="21" width="11.140625" style="14" customWidth="1"/>
    <col min="22" max="22" width="18.140625" style="14" customWidth="1"/>
    <col min="23" max="23" width="14.7109375" style="14" customWidth="1"/>
    <col min="24" max="24" width="14.28515625" style="14" customWidth="1"/>
    <col min="25" max="25" width="14" style="14" customWidth="1"/>
    <col min="26" max="26" width="16.28515625" style="14" customWidth="1"/>
    <col min="27" max="27" width="14.42578125" style="14" customWidth="1"/>
    <col min="28" max="28" width="13.7109375" style="14" bestFit="1" customWidth="1"/>
    <col min="29" max="29" width="8" style="14" customWidth="1"/>
    <col min="30" max="30" width="19.5703125" style="14" customWidth="1"/>
    <col min="31" max="31" width="20" style="14" bestFit="1" customWidth="1"/>
    <col min="32" max="32" width="15.7109375" style="10" customWidth="1"/>
    <col min="33" max="16384" width="9.140625" style="10"/>
  </cols>
  <sheetData>
    <row r="1" spans="1:32" x14ac:dyDescent="0.25">
      <c r="A1" s="28" t="s">
        <v>414</v>
      </c>
      <c r="B1" s="29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1"/>
    </row>
    <row r="2" spans="1:32" x14ac:dyDescent="0.25">
      <c r="A2" s="1" t="s">
        <v>194</v>
      </c>
      <c r="B2" s="1" t="s">
        <v>403</v>
      </c>
      <c r="C2" s="1" t="s">
        <v>252</v>
      </c>
      <c r="D2" s="1" t="s">
        <v>115</v>
      </c>
      <c r="E2" s="1" t="s">
        <v>181</v>
      </c>
      <c r="F2" s="1" t="s">
        <v>156</v>
      </c>
      <c r="G2" s="1" t="s">
        <v>57</v>
      </c>
      <c r="H2" s="1" t="s">
        <v>144</v>
      </c>
      <c r="I2" s="1" t="s">
        <v>184</v>
      </c>
      <c r="J2" s="1" t="s">
        <v>146</v>
      </c>
      <c r="K2" s="1" t="s">
        <v>70</v>
      </c>
      <c r="L2" s="1" t="s">
        <v>69</v>
      </c>
      <c r="M2" s="1" t="s">
        <v>135</v>
      </c>
      <c r="N2" s="1" t="s">
        <v>112</v>
      </c>
      <c r="O2" s="1" t="s">
        <v>85</v>
      </c>
      <c r="P2" s="1" t="s">
        <v>94</v>
      </c>
      <c r="Q2" s="1" t="s">
        <v>162</v>
      </c>
      <c r="R2" s="1" t="s">
        <v>114</v>
      </c>
      <c r="S2" s="1" t="s">
        <v>165</v>
      </c>
      <c r="T2" s="1" t="s">
        <v>119</v>
      </c>
      <c r="U2" s="1" t="s">
        <v>128</v>
      </c>
      <c r="V2" s="1" t="s">
        <v>187</v>
      </c>
      <c r="W2" s="1" t="s">
        <v>150</v>
      </c>
      <c r="X2" s="1" t="s">
        <v>139</v>
      </c>
      <c r="Y2" s="1" t="s">
        <v>178</v>
      </c>
      <c r="Z2" s="1" t="s">
        <v>82</v>
      </c>
      <c r="AA2" s="1" t="s">
        <v>169</v>
      </c>
      <c r="AB2" s="1" t="s">
        <v>87</v>
      </c>
      <c r="AC2" s="1" t="s">
        <v>79</v>
      </c>
      <c r="AD2" s="1" t="s">
        <v>96</v>
      </c>
      <c r="AE2" s="1" t="s">
        <v>159</v>
      </c>
      <c r="AF2" s="1" t="s">
        <v>73</v>
      </c>
    </row>
    <row r="3" spans="1:32" x14ac:dyDescent="0.25">
      <c r="A3" s="6">
        <v>1</v>
      </c>
      <c r="B3" s="6" t="s">
        <v>393</v>
      </c>
      <c r="C3" s="42" t="s">
        <v>245</v>
      </c>
      <c r="D3" s="14">
        <v>1102500</v>
      </c>
      <c r="E3" s="41" t="s">
        <v>410</v>
      </c>
      <c r="F3" s="14">
        <v>834000</v>
      </c>
      <c r="G3" s="14">
        <v>284600</v>
      </c>
      <c r="H3" s="14">
        <v>1062650</v>
      </c>
      <c r="I3" s="14" t="s">
        <v>410</v>
      </c>
      <c r="J3" s="14">
        <v>818500</v>
      </c>
      <c r="K3" s="14">
        <v>179500</v>
      </c>
      <c r="L3" s="14">
        <v>351900</v>
      </c>
      <c r="M3" s="14">
        <v>960000</v>
      </c>
      <c r="N3" s="14">
        <v>769000</v>
      </c>
      <c r="O3" s="14">
        <v>575000</v>
      </c>
      <c r="P3" s="14">
        <v>328000</v>
      </c>
      <c r="Q3" s="14">
        <v>1311750</v>
      </c>
      <c r="R3" s="14">
        <v>570000</v>
      </c>
      <c r="S3" s="14">
        <v>1311750</v>
      </c>
      <c r="T3" s="14">
        <v>1311750</v>
      </c>
      <c r="U3" s="14">
        <v>960000</v>
      </c>
      <c r="V3" s="14" t="s">
        <v>410</v>
      </c>
      <c r="W3" s="14">
        <v>924000</v>
      </c>
      <c r="X3" s="14">
        <v>1062650</v>
      </c>
      <c r="Y3" s="14" t="s">
        <v>410</v>
      </c>
      <c r="Z3" s="14">
        <v>575000</v>
      </c>
      <c r="AA3" s="14" t="s">
        <v>410</v>
      </c>
      <c r="AB3" s="14">
        <v>328000</v>
      </c>
      <c r="AC3" s="14">
        <v>402500</v>
      </c>
      <c r="AD3" s="14">
        <v>413600</v>
      </c>
      <c r="AE3" s="14" t="str">
        <f>"Jakarta + Real Cost"</f>
        <v>Jakarta + Real Cost</v>
      </c>
      <c r="AF3" s="14">
        <v>328000</v>
      </c>
    </row>
    <row r="4" spans="1:32" x14ac:dyDescent="0.25">
      <c r="A4" s="6">
        <v>2</v>
      </c>
      <c r="B4" s="25" t="s">
        <v>393</v>
      </c>
      <c r="C4" s="27" t="s">
        <v>402</v>
      </c>
      <c r="D4" s="34"/>
      <c r="E4" s="14" t="s">
        <v>410</v>
      </c>
      <c r="F4" s="34"/>
      <c r="G4" s="34"/>
      <c r="H4" s="34"/>
      <c r="I4" s="14" t="s">
        <v>410</v>
      </c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14" t="s">
        <v>410</v>
      </c>
      <c r="W4" s="34"/>
      <c r="X4" s="34"/>
      <c r="Y4" s="14" t="s">
        <v>410</v>
      </c>
      <c r="Z4" s="34"/>
      <c r="AA4" s="14" t="s">
        <v>410</v>
      </c>
      <c r="AB4" s="34"/>
      <c r="AC4" s="34"/>
      <c r="AD4" s="34"/>
      <c r="AE4" s="34" t="str">
        <f>"Jakarta + Real Cost"</f>
        <v>Jakarta + Real Cost</v>
      </c>
      <c r="AF4" s="34"/>
    </row>
    <row r="5" spans="1:32" x14ac:dyDescent="0.25">
      <c r="A5" s="6">
        <v>3</v>
      </c>
      <c r="B5" s="6" t="s">
        <v>393</v>
      </c>
      <c r="C5" s="26" t="s">
        <v>401</v>
      </c>
      <c r="E5" s="14" t="s">
        <v>410</v>
      </c>
      <c r="I5" s="14" t="s">
        <v>410</v>
      </c>
      <c r="V5" s="14" t="s">
        <v>410</v>
      </c>
      <c r="Y5" s="14" t="s">
        <v>410</v>
      </c>
      <c r="AA5" s="14" t="s">
        <v>410</v>
      </c>
      <c r="AE5" s="14" t="str">
        <f t="shared" ref="AE5:AE9" si="0">"Jakarta + Real Cost"</f>
        <v>Jakarta + Real Cost</v>
      </c>
      <c r="AF5" s="14"/>
    </row>
    <row r="6" spans="1:32" x14ac:dyDescent="0.25">
      <c r="A6" s="6">
        <v>4</v>
      </c>
      <c r="B6" s="6" t="s">
        <v>393</v>
      </c>
      <c r="C6" s="27" t="s">
        <v>400</v>
      </c>
      <c r="E6" s="14" t="s">
        <v>410</v>
      </c>
      <c r="I6" s="14" t="s">
        <v>410</v>
      </c>
      <c r="V6" s="14" t="s">
        <v>410</v>
      </c>
      <c r="Y6" s="14" t="s">
        <v>410</v>
      </c>
      <c r="AA6" s="14" t="s">
        <v>410</v>
      </c>
      <c r="AE6" s="14" t="str">
        <f t="shared" si="0"/>
        <v>Jakarta + Real Cost</v>
      </c>
      <c r="AF6" s="14"/>
    </row>
    <row r="7" spans="1:32" x14ac:dyDescent="0.25">
      <c r="A7" s="6">
        <v>5</v>
      </c>
      <c r="B7" s="25" t="s">
        <v>394</v>
      </c>
      <c r="C7" s="26" t="s">
        <v>406</v>
      </c>
      <c r="D7" s="34" t="s">
        <v>411</v>
      </c>
      <c r="E7" s="14" t="s">
        <v>410</v>
      </c>
      <c r="F7" s="34" t="s">
        <v>411</v>
      </c>
      <c r="G7" s="34" t="s">
        <v>411</v>
      </c>
      <c r="H7" s="34" t="s">
        <v>411</v>
      </c>
      <c r="I7" s="14" t="s">
        <v>410</v>
      </c>
      <c r="J7" s="34" t="s">
        <v>411</v>
      </c>
      <c r="K7" s="34" t="s">
        <v>411</v>
      </c>
      <c r="L7" s="34" t="s">
        <v>411</v>
      </c>
      <c r="M7" s="34" t="s">
        <v>411</v>
      </c>
      <c r="N7" s="34" t="s">
        <v>411</v>
      </c>
      <c r="O7" s="34" t="s">
        <v>411</v>
      </c>
      <c r="P7" s="34" t="s">
        <v>411</v>
      </c>
      <c r="Q7" s="34" t="s">
        <v>411</v>
      </c>
      <c r="R7" s="34" t="s">
        <v>411</v>
      </c>
      <c r="S7" s="34" t="s">
        <v>411</v>
      </c>
      <c r="T7" s="34" t="s">
        <v>411</v>
      </c>
      <c r="U7" s="34" t="s">
        <v>411</v>
      </c>
      <c r="V7" s="14" t="s">
        <v>410</v>
      </c>
      <c r="W7" s="34" t="s">
        <v>411</v>
      </c>
      <c r="X7" s="34" t="s">
        <v>411</v>
      </c>
      <c r="Y7" s="14" t="s">
        <v>410</v>
      </c>
      <c r="Z7" s="34" t="s">
        <v>411</v>
      </c>
      <c r="AA7" s="14" t="s">
        <v>410</v>
      </c>
      <c r="AB7" s="34" t="s">
        <v>411</v>
      </c>
      <c r="AC7" s="34" t="s">
        <v>411</v>
      </c>
      <c r="AD7" s="34" t="s">
        <v>411</v>
      </c>
      <c r="AE7" s="34" t="str">
        <f>"Jakarta + Real Cost"</f>
        <v>Jakarta + Real Cost</v>
      </c>
      <c r="AF7" s="41" t="s">
        <v>411</v>
      </c>
    </row>
    <row r="8" spans="1:32" x14ac:dyDescent="0.25">
      <c r="A8" s="6">
        <v>6</v>
      </c>
      <c r="B8" s="6" t="s">
        <v>394</v>
      </c>
      <c r="C8" s="26" t="s">
        <v>405</v>
      </c>
      <c r="D8" s="14">
        <v>182000</v>
      </c>
      <c r="E8" s="14" t="s">
        <v>410</v>
      </c>
      <c r="F8" s="14">
        <v>84000</v>
      </c>
      <c r="G8" s="14">
        <v>46750</v>
      </c>
      <c r="H8" s="14">
        <v>128000</v>
      </c>
      <c r="I8" s="14" t="s">
        <v>410</v>
      </c>
      <c r="J8" s="14">
        <v>128000</v>
      </c>
      <c r="K8" s="14">
        <v>36500</v>
      </c>
      <c r="L8" s="14">
        <v>51500</v>
      </c>
      <c r="M8" s="14">
        <v>107500</v>
      </c>
      <c r="N8" s="14">
        <v>115500</v>
      </c>
      <c r="O8" s="14">
        <v>85000</v>
      </c>
      <c r="P8" s="14">
        <v>58500</v>
      </c>
      <c r="Q8" s="14">
        <v>135700</v>
      </c>
      <c r="R8" s="14">
        <v>111500</v>
      </c>
      <c r="S8" s="14">
        <v>135700</v>
      </c>
      <c r="T8" s="14">
        <v>135700</v>
      </c>
      <c r="U8" s="14">
        <v>107500</v>
      </c>
      <c r="V8" s="14" t="s">
        <v>410</v>
      </c>
      <c r="W8" s="14">
        <v>96600</v>
      </c>
      <c r="X8" s="14">
        <v>128000</v>
      </c>
      <c r="Y8" s="14" t="s">
        <v>410</v>
      </c>
      <c r="Z8" s="14">
        <v>85000</v>
      </c>
      <c r="AA8" s="14" t="s">
        <v>410</v>
      </c>
      <c r="AB8" s="14">
        <v>58500</v>
      </c>
      <c r="AC8" s="14">
        <v>60000</v>
      </c>
      <c r="AD8" s="14">
        <v>69500</v>
      </c>
      <c r="AE8" s="14" t="str">
        <f t="shared" si="0"/>
        <v>Jakarta + Real Cost</v>
      </c>
      <c r="AF8" s="14">
        <v>58500</v>
      </c>
    </row>
    <row r="9" spans="1:32" x14ac:dyDescent="0.25">
      <c r="A9" s="6">
        <v>7</v>
      </c>
      <c r="B9" s="6" t="s">
        <v>394</v>
      </c>
      <c r="C9" s="26" t="s">
        <v>386</v>
      </c>
      <c r="E9" s="14" t="s">
        <v>410</v>
      </c>
      <c r="I9" s="14" t="s">
        <v>410</v>
      </c>
      <c r="V9" s="14" t="s">
        <v>410</v>
      </c>
      <c r="Y9" s="14" t="s">
        <v>410</v>
      </c>
      <c r="AA9" s="14" t="s">
        <v>410</v>
      </c>
      <c r="AE9" s="14" t="str">
        <f t="shared" si="0"/>
        <v>Jakarta + Real Cost</v>
      </c>
      <c r="AF9" s="14"/>
    </row>
    <row r="10" spans="1:32" x14ac:dyDescent="0.25">
      <c r="A10" s="6">
        <v>8</v>
      </c>
      <c r="B10" s="6" t="s">
        <v>394</v>
      </c>
      <c r="C10" s="27" t="s">
        <v>342</v>
      </c>
      <c r="D10" s="34"/>
      <c r="E10" s="14" t="s">
        <v>410</v>
      </c>
      <c r="F10" s="34"/>
      <c r="G10" s="34"/>
      <c r="H10" s="34"/>
      <c r="I10" s="14" t="s">
        <v>410</v>
      </c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14" t="s">
        <v>410</v>
      </c>
      <c r="W10" s="34"/>
      <c r="X10" s="34"/>
      <c r="Y10" s="14" t="s">
        <v>410</v>
      </c>
      <c r="Z10" s="34"/>
      <c r="AA10" s="14" t="s">
        <v>410</v>
      </c>
      <c r="AB10" s="34"/>
      <c r="AC10" s="34"/>
      <c r="AD10" s="34"/>
      <c r="AE10" s="34" t="str">
        <f>"Jakarta + Real Cost"</f>
        <v>Jakarta + Real Cost</v>
      </c>
      <c r="AF10" s="34"/>
    </row>
    <row r="11" spans="1:32" x14ac:dyDescent="0.25">
      <c r="A11" s="25">
        <v>9</v>
      </c>
      <c r="B11" s="6" t="s">
        <v>394</v>
      </c>
      <c r="C11" s="27" t="s">
        <v>404</v>
      </c>
      <c r="D11" s="34"/>
      <c r="E11" s="14" t="s">
        <v>410</v>
      </c>
      <c r="F11" s="34"/>
      <c r="G11" s="34"/>
      <c r="H11" s="34"/>
      <c r="I11" s="14" t="s">
        <v>410</v>
      </c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14" t="s">
        <v>410</v>
      </c>
      <c r="W11" s="34"/>
      <c r="X11" s="34"/>
      <c r="Y11" s="14" t="s">
        <v>410</v>
      </c>
      <c r="Z11" s="34"/>
      <c r="AA11" s="14" t="s">
        <v>410</v>
      </c>
      <c r="AB11" s="34"/>
      <c r="AC11" s="34"/>
      <c r="AD11" s="34"/>
      <c r="AE11" s="34" t="str">
        <f>"Jakarta + Real Cost"</f>
        <v>Jakarta + Real Cost</v>
      </c>
      <c r="AF11" s="34"/>
    </row>
    <row r="12" spans="1:32" x14ac:dyDescent="0.25">
      <c r="A12" s="6">
        <v>10</v>
      </c>
      <c r="B12" s="6" t="s">
        <v>407</v>
      </c>
      <c r="C12" s="26" t="s">
        <v>412</v>
      </c>
      <c r="D12" s="14" t="s">
        <v>411</v>
      </c>
      <c r="E12" s="14" t="s">
        <v>410</v>
      </c>
      <c r="F12" s="14" t="s">
        <v>411</v>
      </c>
      <c r="G12" s="14" t="s">
        <v>411</v>
      </c>
      <c r="H12" s="14" t="s">
        <v>411</v>
      </c>
      <c r="I12" s="14" t="s">
        <v>410</v>
      </c>
      <c r="J12" s="14" t="s">
        <v>411</v>
      </c>
      <c r="K12" s="14" t="s">
        <v>411</v>
      </c>
      <c r="L12" s="14" t="s">
        <v>411</v>
      </c>
      <c r="M12" s="14" t="s">
        <v>411</v>
      </c>
      <c r="N12" s="14" t="s">
        <v>411</v>
      </c>
      <c r="O12" s="14" t="s">
        <v>411</v>
      </c>
      <c r="P12" s="14" t="s">
        <v>411</v>
      </c>
      <c r="Q12" s="14" t="s">
        <v>411</v>
      </c>
      <c r="R12" s="14" t="s">
        <v>411</v>
      </c>
      <c r="S12" s="14" t="s">
        <v>411</v>
      </c>
      <c r="T12" s="14" t="s">
        <v>411</v>
      </c>
      <c r="U12" s="14" t="s">
        <v>411</v>
      </c>
      <c r="V12" s="14" t="s">
        <v>410</v>
      </c>
      <c r="W12" s="14" t="s">
        <v>411</v>
      </c>
      <c r="X12" s="14" t="s">
        <v>411</v>
      </c>
      <c r="Y12" s="14" t="s">
        <v>410</v>
      </c>
      <c r="Z12" s="14" t="s">
        <v>411</v>
      </c>
      <c r="AA12" s="14" t="s">
        <v>410</v>
      </c>
      <c r="AB12" s="14" t="s">
        <v>411</v>
      </c>
      <c r="AC12" s="14" t="s">
        <v>411</v>
      </c>
      <c r="AD12" s="14" t="s">
        <v>411</v>
      </c>
      <c r="AE12" s="14" t="str">
        <f>"Jakarta + Real Cost"</f>
        <v>Jakarta + Real Cost</v>
      </c>
      <c r="AF12" s="14" t="s">
        <v>411</v>
      </c>
    </row>
    <row r="14" spans="1:32" x14ac:dyDescent="0.25">
      <c r="B14" s="60" t="s">
        <v>425</v>
      </c>
      <c r="C14" s="61" t="s">
        <v>426</v>
      </c>
      <c r="D14" s="61" t="s">
        <v>427</v>
      </c>
      <c r="E14" s="61" t="s">
        <v>423</v>
      </c>
      <c r="F14" s="61" t="s">
        <v>428</v>
      </c>
    </row>
    <row r="15" spans="1:32" x14ac:dyDescent="0.25">
      <c r="B15" s="53" t="s">
        <v>245</v>
      </c>
      <c r="C15" s="10" t="s">
        <v>427</v>
      </c>
      <c r="D15" s="50">
        <v>1102500</v>
      </c>
      <c r="E15" s="14">
        <v>11</v>
      </c>
      <c r="F15" s="61" t="s">
        <v>429</v>
      </c>
      <c r="G15" s="10"/>
      <c r="H15" s="53" t="s">
        <v>245</v>
      </c>
      <c r="I15" s="52" t="s">
        <v>429</v>
      </c>
    </row>
    <row r="16" spans="1:32" x14ac:dyDescent="0.25">
      <c r="B16" s="53" t="s">
        <v>245</v>
      </c>
      <c r="C16" s="10" t="s">
        <v>410</v>
      </c>
      <c r="D16" s="50">
        <v>0</v>
      </c>
      <c r="E16" s="14">
        <v>23</v>
      </c>
      <c r="F16" s="61" t="s">
        <v>429</v>
      </c>
      <c r="G16" s="10"/>
      <c r="H16" s="54" t="s">
        <v>402</v>
      </c>
      <c r="I16" s="52" t="s">
        <v>429</v>
      </c>
    </row>
    <row r="17" spans="2:9" x14ac:dyDescent="0.25">
      <c r="B17" s="53" t="s">
        <v>245</v>
      </c>
      <c r="C17" s="10" t="s">
        <v>427</v>
      </c>
      <c r="D17" s="50">
        <v>834000</v>
      </c>
      <c r="E17" s="14">
        <v>2</v>
      </c>
      <c r="F17" s="61" t="s">
        <v>429</v>
      </c>
      <c r="G17" s="10"/>
      <c r="H17" s="53" t="s">
        <v>401</v>
      </c>
      <c r="I17" s="52" t="s">
        <v>429</v>
      </c>
    </row>
    <row r="18" spans="2:9" x14ac:dyDescent="0.25">
      <c r="B18" s="53" t="s">
        <v>245</v>
      </c>
      <c r="C18" s="10" t="s">
        <v>427</v>
      </c>
      <c r="D18" s="50">
        <v>284600</v>
      </c>
      <c r="E18" s="14">
        <v>19</v>
      </c>
      <c r="F18" s="61" t="s">
        <v>429</v>
      </c>
      <c r="G18" s="10"/>
      <c r="H18" s="54" t="s">
        <v>400</v>
      </c>
      <c r="I18" s="52" t="s">
        <v>429</v>
      </c>
    </row>
    <row r="19" spans="2:9" x14ac:dyDescent="0.25">
      <c r="B19" s="53" t="s">
        <v>245</v>
      </c>
      <c r="C19" s="10" t="s">
        <v>427</v>
      </c>
      <c r="D19" s="50">
        <v>1062650</v>
      </c>
      <c r="E19" s="14">
        <v>27</v>
      </c>
      <c r="F19" s="61" t="s">
        <v>429</v>
      </c>
      <c r="G19" s="10"/>
      <c r="H19" s="53" t="s">
        <v>406</v>
      </c>
      <c r="I19" s="52" t="s">
        <v>432</v>
      </c>
    </row>
    <row r="20" spans="2:9" x14ac:dyDescent="0.25">
      <c r="B20" s="53" t="s">
        <v>245</v>
      </c>
      <c r="C20" s="10" t="s">
        <v>410</v>
      </c>
      <c r="D20" s="50">
        <v>0</v>
      </c>
      <c r="E20" s="14">
        <v>7</v>
      </c>
      <c r="F20" s="61" t="s">
        <v>429</v>
      </c>
      <c r="G20" s="10"/>
      <c r="H20" s="54" t="s">
        <v>405</v>
      </c>
      <c r="I20" s="52" t="s">
        <v>432</v>
      </c>
    </row>
    <row r="21" spans="2:9" x14ac:dyDescent="0.25">
      <c r="B21" s="53" t="s">
        <v>245</v>
      </c>
      <c r="C21" s="10" t="s">
        <v>427</v>
      </c>
      <c r="D21" s="50">
        <v>818500</v>
      </c>
      <c r="E21" s="14">
        <v>24</v>
      </c>
      <c r="F21" s="61" t="s">
        <v>429</v>
      </c>
      <c r="G21" s="10"/>
      <c r="H21" s="53" t="s">
        <v>386</v>
      </c>
      <c r="I21" s="52" t="s">
        <v>432</v>
      </c>
    </row>
    <row r="22" spans="2:9" x14ac:dyDescent="0.25">
      <c r="B22" s="53" t="s">
        <v>245</v>
      </c>
      <c r="C22" s="10" t="s">
        <v>427</v>
      </c>
      <c r="D22" s="50">
        <v>179500</v>
      </c>
      <c r="E22" s="14">
        <v>20</v>
      </c>
      <c r="F22" s="61" t="s">
        <v>429</v>
      </c>
      <c r="G22" s="10"/>
      <c r="H22" s="54" t="s">
        <v>342</v>
      </c>
      <c r="I22" s="52" t="s">
        <v>432</v>
      </c>
    </row>
    <row r="23" spans="2:9" x14ac:dyDescent="0.25">
      <c r="B23" s="53" t="s">
        <v>245</v>
      </c>
      <c r="C23" s="10" t="s">
        <v>427</v>
      </c>
      <c r="D23" s="50">
        <v>351900</v>
      </c>
      <c r="E23" s="14">
        <v>15</v>
      </c>
      <c r="F23" s="61" t="s">
        <v>429</v>
      </c>
      <c r="G23" s="10"/>
      <c r="H23" s="53" t="s">
        <v>404</v>
      </c>
      <c r="I23" s="52" t="s">
        <v>432</v>
      </c>
    </row>
    <row r="24" spans="2:9" x14ac:dyDescent="0.25">
      <c r="B24" s="53" t="s">
        <v>245</v>
      </c>
      <c r="C24" s="10" t="s">
        <v>427</v>
      </c>
      <c r="D24" s="50">
        <v>960000</v>
      </c>
      <c r="E24" s="14">
        <v>29</v>
      </c>
      <c r="F24" s="61" t="s">
        <v>429</v>
      </c>
      <c r="G24" s="10"/>
      <c r="H24" s="56" t="s">
        <v>412</v>
      </c>
      <c r="I24" s="55" t="s">
        <v>431</v>
      </c>
    </row>
    <row r="25" spans="2:9" x14ac:dyDescent="0.25">
      <c r="B25" s="53" t="s">
        <v>245</v>
      </c>
      <c r="C25" s="10" t="s">
        <v>427</v>
      </c>
      <c r="D25" s="50">
        <v>769000</v>
      </c>
      <c r="E25" s="14">
        <v>12</v>
      </c>
      <c r="F25" s="61" t="s">
        <v>429</v>
      </c>
      <c r="G25" s="10"/>
    </row>
    <row r="26" spans="2:9" x14ac:dyDescent="0.25">
      <c r="B26" s="53" t="s">
        <v>245</v>
      </c>
      <c r="C26" s="10" t="s">
        <v>427</v>
      </c>
      <c r="D26" s="50">
        <v>575000</v>
      </c>
      <c r="E26" s="14">
        <v>16</v>
      </c>
      <c r="F26" s="61" t="s">
        <v>429</v>
      </c>
      <c r="G26" s="10"/>
    </row>
    <row r="27" spans="2:9" x14ac:dyDescent="0.25">
      <c r="B27" s="53" t="s">
        <v>245</v>
      </c>
      <c r="C27" s="10" t="s">
        <v>427</v>
      </c>
      <c r="D27" s="50">
        <v>328000</v>
      </c>
      <c r="E27" s="14">
        <v>18</v>
      </c>
      <c r="F27" s="61" t="s">
        <v>429</v>
      </c>
      <c r="G27" s="10"/>
    </row>
    <row r="28" spans="2:9" x14ac:dyDescent="0.25">
      <c r="B28" s="53" t="s">
        <v>245</v>
      </c>
      <c r="C28" s="10" t="s">
        <v>427</v>
      </c>
      <c r="D28" s="50">
        <v>1311750</v>
      </c>
      <c r="E28" s="14">
        <v>25</v>
      </c>
      <c r="F28" s="61" t="s">
        <v>429</v>
      </c>
      <c r="G28" s="10"/>
    </row>
    <row r="29" spans="2:9" x14ac:dyDescent="0.25">
      <c r="B29" s="53" t="s">
        <v>245</v>
      </c>
      <c r="C29" s="10" t="s">
        <v>427</v>
      </c>
      <c r="D29" s="50">
        <v>570000</v>
      </c>
      <c r="E29" s="14">
        <v>14</v>
      </c>
      <c r="F29" s="61" t="s">
        <v>429</v>
      </c>
      <c r="G29" s="10"/>
    </row>
    <row r="30" spans="2:9" x14ac:dyDescent="0.25">
      <c r="B30" s="53" t="s">
        <v>245</v>
      </c>
      <c r="C30" s="10" t="s">
        <v>427</v>
      </c>
      <c r="D30" s="50">
        <v>1311750</v>
      </c>
      <c r="E30" s="14">
        <v>1</v>
      </c>
      <c r="F30" s="61" t="s">
        <v>429</v>
      </c>
      <c r="G30" s="10"/>
    </row>
    <row r="31" spans="2:9" x14ac:dyDescent="0.25">
      <c r="B31" s="53" t="s">
        <v>245</v>
      </c>
      <c r="C31" s="10" t="s">
        <v>427</v>
      </c>
      <c r="D31" s="50">
        <v>1311750</v>
      </c>
      <c r="E31" s="14">
        <v>26</v>
      </c>
      <c r="F31" s="61" t="s">
        <v>429</v>
      </c>
      <c r="G31" s="10"/>
    </row>
    <row r="32" spans="2:9" x14ac:dyDescent="0.25">
      <c r="B32" s="53" t="s">
        <v>245</v>
      </c>
      <c r="C32" s="10" t="s">
        <v>427</v>
      </c>
      <c r="D32" s="50">
        <v>960000</v>
      </c>
      <c r="E32" s="14">
        <v>6</v>
      </c>
      <c r="F32" s="61" t="s">
        <v>429</v>
      </c>
      <c r="G32" s="10"/>
    </row>
    <row r="33" spans="2:7" x14ac:dyDescent="0.25">
      <c r="B33" s="53" t="s">
        <v>245</v>
      </c>
      <c r="C33" s="10" t="s">
        <v>410</v>
      </c>
      <c r="D33" s="50">
        <v>0</v>
      </c>
      <c r="E33" s="14">
        <v>4</v>
      </c>
      <c r="F33" s="61" t="s">
        <v>429</v>
      </c>
      <c r="G33" s="10"/>
    </row>
    <row r="34" spans="2:7" x14ac:dyDescent="0.25">
      <c r="B34" s="53" t="s">
        <v>245</v>
      </c>
      <c r="C34" s="10" t="s">
        <v>427</v>
      </c>
      <c r="D34" s="50">
        <v>924000</v>
      </c>
      <c r="E34" s="14">
        <v>22</v>
      </c>
      <c r="F34" s="61" t="s">
        <v>429</v>
      </c>
      <c r="G34" s="10"/>
    </row>
    <row r="35" spans="2:7" x14ac:dyDescent="0.25">
      <c r="B35" s="53" t="s">
        <v>245</v>
      </c>
      <c r="C35" s="10" t="s">
        <v>427</v>
      </c>
      <c r="D35" s="50">
        <v>1062650</v>
      </c>
      <c r="E35" s="14">
        <v>28</v>
      </c>
      <c r="F35" s="61" t="s">
        <v>429</v>
      </c>
      <c r="G35" s="10"/>
    </row>
    <row r="36" spans="2:7" x14ac:dyDescent="0.25">
      <c r="B36" s="53" t="s">
        <v>245</v>
      </c>
      <c r="C36" s="10" t="s">
        <v>410</v>
      </c>
      <c r="D36" s="50">
        <v>0</v>
      </c>
      <c r="E36" s="14">
        <v>21</v>
      </c>
      <c r="F36" s="61" t="s">
        <v>429</v>
      </c>
      <c r="G36" s="10"/>
    </row>
    <row r="37" spans="2:7" x14ac:dyDescent="0.25">
      <c r="B37" s="53" t="s">
        <v>245</v>
      </c>
      <c r="C37" s="10" t="s">
        <v>427</v>
      </c>
      <c r="D37" s="50">
        <v>575000</v>
      </c>
      <c r="E37" s="14">
        <v>17</v>
      </c>
      <c r="F37" s="61" t="s">
        <v>429</v>
      </c>
      <c r="G37" s="10"/>
    </row>
    <row r="38" spans="2:7" x14ac:dyDescent="0.25">
      <c r="B38" s="53" t="s">
        <v>245</v>
      </c>
      <c r="C38" s="10" t="s">
        <v>410</v>
      </c>
      <c r="D38" s="50">
        <v>0</v>
      </c>
      <c r="E38" s="14">
        <v>5</v>
      </c>
      <c r="F38" s="61" t="s">
        <v>429</v>
      </c>
      <c r="G38" s="10"/>
    </row>
    <row r="39" spans="2:7" x14ac:dyDescent="0.25">
      <c r="B39" s="53" t="s">
        <v>245</v>
      </c>
      <c r="C39" s="10" t="s">
        <v>427</v>
      </c>
      <c r="D39" s="50">
        <v>328000</v>
      </c>
      <c r="E39" s="14">
        <v>10</v>
      </c>
      <c r="F39" s="61" t="s">
        <v>429</v>
      </c>
      <c r="G39" s="10"/>
    </row>
    <row r="40" spans="2:7" x14ac:dyDescent="0.25">
      <c r="B40" s="53" t="s">
        <v>245</v>
      </c>
      <c r="C40" s="10" t="s">
        <v>427</v>
      </c>
      <c r="D40" s="50">
        <v>402500</v>
      </c>
      <c r="E40" s="14">
        <v>13</v>
      </c>
      <c r="F40" s="61" t="s">
        <v>429</v>
      </c>
      <c r="G40" s="10"/>
    </row>
    <row r="41" spans="2:7" x14ac:dyDescent="0.25">
      <c r="B41" s="53" t="s">
        <v>245</v>
      </c>
      <c r="C41" s="10" t="s">
        <v>427</v>
      </c>
      <c r="D41" s="50">
        <v>413600</v>
      </c>
      <c r="E41" s="14">
        <v>8</v>
      </c>
      <c r="F41" s="61" t="s">
        <v>429</v>
      </c>
      <c r="G41" s="10"/>
    </row>
    <row r="42" spans="2:7" x14ac:dyDescent="0.25">
      <c r="B42" s="53" t="s">
        <v>245</v>
      </c>
      <c r="C42" s="10" t="s">
        <v>410</v>
      </c>
      <c r="D42" s="50">
        <v>0</v>
      </c>
      <c r="E42" s="14">
        <v>3</v>
      </c>
      <c r="F42" s="61" t="s">
        <v>429</v>
      </c>
      <c r="G42" s="10"/>
    </row>
    <row r="43" spans="2:7" x14ac:dyDescent="0.25">
      <c r="B43" s="53" t="s">
        <v>245</v>
      </c>
      <c r="C43" s="10" t="s">
        <v>427</v>
      </c>
      <c r="D43" s="58">
        <v>328000</v>
      </c>
      <c r="E43" s="14">
        <v>9</v>
      </c>
      <c r="F43" s="61" t="s">
        <v>429</v>
      </c>
      <c r="G43" s="10"/>
    </row>
    <row r="44" spans="2:7" x14ac:dyDescent="0.25">
      <c r="B44" s="54" t="s">
        <v>402</v>
      </c>
      <c r="C44" s="10" t="s">
        <v>427</v>
      </c>
      <c r="D44" s="57">
        <v>506000</v>
      </c>
      <c r="E44" s="14">
        <v>11</v>
      </c>
      <c r="F44" s="61" t="s">
        <v>429</v>
      </c>
      <c r="G44" s="10"/>
    </row>
    <row r="45" spans="2:7" x14ac:dyDescent="0.25">
      <c r="B45" s="54" t="s">
        <v>402</v>
      </c>
      <c r="C45" s="10" t="s">
        <v>410</v>
      </c>
      <c r="D45" s="50">
        <v>0</v>
      </c>
      <c r="E45" s="14">
        <v>23</v>
      </c>
      <c r="F45" s="61" t="s">
        <v>429</v>
      </c>
      <c r="G45" s="10"/>
    </row>
    <row r="46" spans="2:7" x14ac:dyDescent="0.25">
      <c r="B46" s="54" t="s">
        <v>402</v>
      </c>
      <c r="C46" s="10" t="s">
        <v>427</v>
      </c>
      <c r="D46" s="57">
        <v>287500</v>
      </c>
      <c r="E46" s="14">
        <v>2</v>
      </c>
      <c r="F46" s="61" t="s">
        <v>429</v>
      </c>
      <c r="G46" s="10"/>
    </row>
    <row r="47" spans="2:7" x14ac:dyDescent="0.25">
      <c r="B47" s="54" t="s">
        <v>402</v>
      </c>
      <c r="C47" s="10" t="s">
        <v>427</v>
      </c>
      <c r="D47" s="57">
        <v>151200</v>
      </c>
      <c r="E47" s="14">
        <v>19</v>
      </c>
      <c r="F47" s="61" t="s">
        <v>429</v>
      </c>
      <c r="G47" s="10"/>
    </row>
    <row r="48" spans="2:7" x14ac:dyDescent="0.25">
      <c r="B48" s="54" t="s">
        <v>402</v>
      </c>
      <c r="C48" s="10" t="s">
        <v>427</v>
      </c>
      <c r="D48" s="57">
        <v>504000</v>
      </c>
      <c r="E48" s="14">
        <v>27</v>
      </c>
      <c r="F48" s="61" t="s">
        <v>429</v>
      </c>
      <c r="G48" s="10"/>
    </row>
    <row r="49" spans="2:7" x14ac:dyDescent="0.25">
      <c r="B49" s="54" t="s">
        <v>402</v>
      </c>
      <c r="C49" s="10" t="s">
        <v>410</v>
      </c>
      <c r="D49" s="50">
        <v>0</v>
      </c>
      <c r="E49" s="14">
        <v>7</v>
      </c>
      <c r="F49" s="61" t="s">
        <v>429</v>
      </c>
      <c r="G49" s="10"/>
    </row>
    <row r="50" spans="2:7" x14ac:dyDescent="0.25">
      <c r="B50" s="54" t="s">
        <v>402</v>
      </c>
      <c r="C50" s="10" t="s">
        <v>427</v>
      </c>
      <c r="D50" s="57">
        <v>582000</v>
      </c>
      <c r="E50" s="14">
        <v>24</v>
      </c>
      <c r="F50" s="61" t="s">
        <v>429</v>
      </c>
      <c r="G50" s="10"/>
    </row>
    <row r="51" spans="2:7" x14ac:dyDescent="0.25">
      <c r="B51" s="54" t="s">
        <v>402</v>
      </c>
      <c r="C51" s="10" t="s">
        <v>427</v>
      </c>
      <c r="D51" s="57">
        <v>139500</v>
      </c>
      <c r="E51" s="14">
        <v>20</v>
      </c>
      <c r="F51" s="61" t="s">
        <v>429</v>
      </c>
      <c r="G51" s="10"/>
    </row>
    <row r="52" spans="2:7" x14ac:dyDescent="0.25">
      <c r="B52" s="54" t="s">
        <v>402</v>
      </c>
      <c r="C52" s="10" t="s">
        <v>427</v>
      </c>
      <c r="D52" s="57">
        <v>185350</v>
      </c>
      <c r="E52" s="14">
        <v>15</v>
      </c>
      <c r="F52" s="61" t="s">
        <v>429</v>
      </c>
      <c r="G52" s="10"/>
    </row>
    <row r="53" spans="2:7" x14ac:dyDescent="0.25">
      <c r="B53" s="54" t="s">
        <v>402</v>
      </c>
      <c r="C53" s="10" t="s">
        <v>427</v>
      </c>
      <c r="D53" s="57">
        <v>402500</v>
      </c>
      <c r="E53" s="14">
        <v>29</v>
      </c>
      <c r="F53" s="61" t="s">
        <v>429</v>
      </c>
      <c r="G53" s="10"/>
    </row>
    <row r="54" spans="2:7" x14ac:dyDescent="0.25">
      <c r="B54" s="54" t="s">
        <v>402</v>
      </c>
      <c r="C54" s="10" t="s">
        <v>427</v>
      </c>
      <c r="D54" s="57">
        <v>358000</v>
      </c>
      <c r="E54" s="14">
        <v>12</v>
      </c>
      <c r="F54" s="61" t="s">
        <v>429</v>
      </c>
      <c r="G54" s="10"/>
    </row>
    <row r="55" spans="2:7" x14ac:dyDescent="0.25">
      <c r="B55" s="54" t="s">
        <v>402</v>
      </c>
      <c r="C55" s="10" t="s">
        <v>427</v>
      </c>
      <c r="D55" s="57">
        <v>440000</v>
      </c>
      <c r="E55" s="14">
        <v>16</v>
      </c>
      <c r="F55" s="61" t="s">
        <v>429</v>
      </c>
      <c r="G55" s="10"/>
    </row>
    <row r="56" spans="2:7" x14ac:dyDescent="0.25">
      <c r="B56" s="54" t="s">
        <v>402</v>
      </c>
      <c r="C56" s="10" t="s">
        <v>427</v>
      </c>
      <c r="D56" s="57">
        <v>198550</v>
      </c>
      <c r="E56" s="14">
        <v>18</v>
      </c>
      <c r="F56" s="61" t="s">
        <v>429</v>
      </c>
      <c r="G56" s="10"/>
    </row>
    <row r="57" spans="2:7" x14ac:dyDescent="0.25">
      <c r="B57" s="54" t="s">
        <v>402</v>
      </c>
      <c r="C57" s="10" t="s">
        <v>427</v>
      </c>
      <c r="D57" s="57">
        <v>770400</v>
      </c>
      <c r="E57" s="14">
        <v>25</v>
      </c>
      <c r="F57" s="61" t="s">
        <v>429</v>
      </c>
      <c r="G57" s="10"/>
    </row>
    <row r="58" spans="2:7" x14ac:dyDescent="0.25">
      <c r="B58" s="54" t="s">
        <v>402</v>
      </c>
      <c r="C58" s="10" t="s">
        <v>427</v>
      </c>
      <c r="D58" s="57">
        <v>307000</v>
      </c>
      <c r="E58" s="14">
        <v>14</v>
      </c>
      <c r="F58" s="61" t="s">
        <v>429</v>
      </c>
      <c r="G58" s="10"/>
    </row>
    <row r="59" spans="2:7" x14ac:dyDescent="0.25">
      <c r="B59" s="54" t="s">
        <v>402</v>
      </c>
      <c r="C59" s="10" t="s">
        <v>427</v>
      </c>
      <c r="D59" s="57">
        <v>770400</v>
      </c>
      <c r="E59" s="14">
        <v>1</v>
      </c>
      <c r="F59" s="61" t="s">
        <v>429</v>
      </c>
      <c r="G59" s="10"/>
    </row>
    <row r="60" spans="2:7" x14ac:dyDescent="0.25">
      <c r="B60" s="54" t="s">
        <v>402</v>
      </c>
      <c r="C60" s="10" t="s">
        <v>427</v>
      </c>
      <c r="D60" s="57">
        <v>770400</v>
      </c>
      <c r="E60" s="14">
        <v>26</v>
      </c>
      <c r="F60" s="61" t="s">
        <v>429</v>
      </c>
      <c r="G60" s="10"/>
    </row>
    <row r="61" spans="2:7" x14ac:dyDescent="0.25">
      <c r="B61" s="54" t="s">
        <v>402</v>
      </c>
      <c r="C61" s="10" t="s">
        <v>427</v>
      </c>
      <c r="D61" s="57">
        <v>387500</v>
      </c>
      <c r="E61" s="14">
        <v>6</v>
      </c>
      <c r="F61" s="61" t="s">
        <v>429</v>
      </c>
      <c r="G61" s="10"/>
    </row>
    <row r="62" spans="2:7" x14ac:dyDescent="0.25">
      <c r="B62" s="54" t="s">
        <v>402</v>
      </c>
      <c r="C62" s="10" t="s">
        <v>410</v>
      </c>
      <c r="D62" s="50">
        <v>0</v>
      </c>
      <c r="E62" s="14">
        <v>4</v>
      </c>
      <c r="F62" s="61" t="s">
        <v>429</v>
      </c>
      <c r="G62" s="10"/>
    </row>
    <row r="63" spans="2:7" x14ac:dyDescent="0.25">
      <c r="B63" s="54" t="s">
        <v>402</v>
      </c>
      <c r="C63" s="10" t="s">
        <v>427</v>
      </c>
      <c r="D63" s="57">
        <v>373200</v>
      </c>
      <c r="E63" s="14">
        <v>22</v>
      </c>
      <c r="F63" s="61" t="s">
        <v>429</v>
      </c>
      <c r="G63" s="10"/>
    </row>
    <row r="64" spans="2:7" x14ac:dyDescent="0.25">
      <c r="B64" s="54" t="s">
        <v>402</v>
      </c>
      <c r="C64" s="10" t="s">
        <v>427</v>
      </c>
      <c r="D64" s="57">
        <v>504000</v>
      </c>
      <c r="E64" s="14">
        <v>28</v>
      </c>
      <c r="F64" s="61" t="s">
        <v>429</v>
      </c>
      <c r="G64" s="10"/>
    </row>
    <row r="65" spans="2:7" x14ac:dyDescent="0.25">
      <c r="B65" s="54" t="s">
        <v>402</v>
      </c>
      <c r="C65" s="10" t="s">
        <v>410</v>
      </c>
      <c r="D65" s="50">
        <v>0</v>
      </c>
      <c r="E65" s="14">
        <v>21</v>
      </c>
      <c r="F65" s="61" t="s">
        <v>429</v>
      </c>
      <c r="G65" s="10"/>
    </row>
    <row r="66" spans="2:7" x14ac:dyDescent="0.25">
      <c r="B66" s="54" t="s">
        <v>402</v>
      </c>
      <c r="C66" s="10" t="s">
        <v>427</v>
      </c>
      <c r="D66" s="57">
        <v>440000</v>
      </c>
      <c r="E66" s="14">
        <v>17</v>
      </c>
      <c r="F66" s="61" t="s">
        <v>429</v>
      </c>
      <c r="G66" s="10"/>
    </row>
    <row r="67" spans="2:7" x14ac:dyDescent="0.25">
      <c r="B67" s="54" t="s">
        <v>402</v>
      </c>
      <c r="C67" s="10" t="s">
        <v>410</v>
      </c>
      <c r="D67" s="50">
        <v>0</v>
      </c>
      <c r="E67" s="14">
        <v>5</v>
      </c>
      <c r="F67" s="61" t="s">
        <v>429</v>
      </c>
      <c r="G67" s="10"/>
    </row>
    <row r="68" spans="2:7" x14ac:dyDescent="0.25">
      <c r="B68" s="54" t="s">
        <v>402</v>
      </c>
      <c r="C68" s="10" t="s">
        <v>427</v>
      </c>
      <c r="D68" s="57">
        <v>191400</v>
      </c>
      <c r="E68" s="14">
        <v>10</v>
      </c>
      <c r="F68" s="61" t="s">
        <v>429</v>
      </c>
      <c r="G68" s="10"/>
    </row>
    <row r="69" spans="2:7" x14ac:dyDescent="0.25">
      <c r="B69" s="54" t="s">
        <v>402</v>
      </c>
      <c r="C69" s="10" t="s">
        <v>427</v>
      </c>
      <c r="D69" s="57">
        <v>198500</v>
      </c>
      <c r="E69" s="14">
        <v>13</v>
      </c>
      <c r="F69" s="61" t="s">
        <v>429</v>
      </c>
      <c r="G69" s="10"/>
    </row>
    <row r="70" spans="2:7" x14ac:dyDescent="0.25">
      <c r="B70" s="54" t="s">
        <v>402</v>
      </c>
      <c r="C70" s="10" t="s">
        <v>427</v>
      </c>
      <c r="D70" s="57">
        <v>209500</v>
      </c>
      <c r="E70" s="14">
        <v>8</v>
      </c>
      <c r="F70" s="61" t="s">
        <v>429</v>
      </c>
      <c r="G70" s="10"/>
    </row>
    <row r="71" spans="2:7" x14ac:dyDescent="0.25">
      <c r="B71" s="54" t="s">
        <v>402</v>
      </c>
      <c r="C71" s="10" t="s">
        <v>410</v>
      </c>
      <c r="D71" s="50">
        <v>0</v>
      </c>
      <c r="E71" s="14">
        <v>3</v>
      </c>
      <c r="F71" s="61" t="s">
        <v>429</v>
      </c>
      <c r="G71" s="10"/>
    </row>
    <row r="72" spans="2:7" x14ac:dyDescent="0.25">
      <c r="B72" s="54" t="s">
        <v>402</v>
      </c>
      <c r="C72" s="10" t="s">
        <v>427</v>
      </c>
      <c r="D72" s="45">
        <v>191400</v>
      </c>
      <c r="E72" s="14">
        <v>9</v>
      </c>
      <c r="F72" s="61" t="s">
        <v>429</v>
      </c>
      <c r="G72" s="10"/>
    </row>
    <row r="73" spans="2:7" x14ac:dyDescent="0.25">
      <c r="B73" s="53" t="s">
        <v>401</v>
      </c>
      <c r="C73" s="10" t="s">
        <v>427</v>
      </c>
      <c r="D73" s="57">
        <v>506000</v>
      </c>
      <c r="E73" s="14">
        <v>11</v>
      </c>
      <c r="F73" s="61" t="s">
        <v>429</v>
      </c>
      <c r="G73" s="10"/>
    </row>
    <row r="74" spans="2:7" x14ac:dyDescent="0.25">
      <c r="B74" s="53" t="s">
        <v>401</v>
      </c>
      <c r="C74" s="10" t="s">
        <v>410</v>
      </c>
      <c r="D74" s="50">
        <v>0</v>
      </c>
      <c r="E74" s="14">
        <v>23</v>
      </c>
      <c r="F74" s="61" t="s">
        <v>429</v>
      </c>
      <c r="G74" s="10"/>
    </row>
    <row r="75" spans="2:7" x14ac:dyDescent="0.25">
      <c r="B75" s="53" t="s">
        <v>401</v>
      </c>
      <c r="C75" s="10" t="s">
        <v>427</v>
      </c>
      <c r="D75" s="57">
        <v>287500</v>
      </c>
      <c r="E75" s="14">
        <v>2</v>
      </c>
      <c r="F75" s="61" t="s">
        <v>429</v>
      </c>
      <c r="G75" s="10"/>
    </row>
    <row r="76" spans="2:7" x14ac:dyDescent="0.25">
      <c r="B76" s="53" t="s">
        <v>401</v>
      </c>
      <c r="C76" s="10" t="s">
        <v>427</v>
      </c>
      <c r="D76" s="57">
        <v>151200</v>
      </c>
      <c r="E76" s="14">
        <v>19</v>
      </c>
      <c r="F76" s="61" t="s">
        <v>429</v>
      </c>
      <c r="G76" s="10"/>
    </row>
    <row r="77" spans="2:7" x14ac:dyDescent="0.25">
      <c r="B77" s="53" t="s">
        <v>401</v>
      </c>
      <c r="C77" s="10" t="s">
        <v>427</v>
      </c>
      <c r="D77" s="57">
        <v>504000</v>
      </c>
      <c r="E77" s="14">
        <v>27</v>
      </c>
      <c r="F77" s="61" t="s">
        <v>429</v>
      </c>
      <c r="G77" s="10"/>
    </row>
    <row r="78" spans="2:7" x14ac:dyDescent="0.25">
      <c r="B78" s="53" t="s">
        <v>401</v>
      </c>
      <c r="C78" s="10" t="s">
        <v>410</v>
      </c>
      <c r="D78" s="50">
        <v>0</v>
      </c>
      <c r="E78" s="14">
        <v>7</v>
      </c>
      <c r="F78" s="61" t="s">
        <v>429</v>
      </c>
      <c r="G78" s="10"/>
    </row>
    <row r="79" spans="2:7" x14ac:dyDescent="0.25">
      <c r="B79" s="53" t="s">
        <v>401</v>
      </c>
      <c r="C79" s="10" t="s">
        <v>427</v>
      </c>
      <c r="D79" s="57">
        <v>504000</v>
      </c>
      <c r="E79" s="14">
        <v>24</v>
      </c>
      <c r="F79" s="61" t="s">
        <v>429</v>
      </c>
      <c r="G79" s="10"/>
    </row>
    <row r="80" spans="2:7" x14ac:dyDescent="0.25">
      <c r="B80" s="53" t="s">
        <v>401</v>
      </c>
      <c r="C80" s="10" t="s">
        <v>427</v>
      </c>
      <c r="D80" s="57">
        <v>140400</v>
      </c>
      <c r="E80" s="14">
        <v>20</v>
      </c>
      <c r="F80" s="61" t="s">
        <v>429</v>
      </c>
      <c r="G80" s="10"/>
    </row>
    <row r="81" spans="2:7" x14ac:dyDescent="0.25">
      <c r="B81" s="53" t="s">
        <v>401</v>
      </c>
      <c r="C81" s="10" t="s">
        <v>427</v>
      </c>
      <c r="D81" s="57">
        <v>170500</v>
      </c>
      <c r="E81" s="14">
        <v>15</v>
      </c>
      <c r="F81" s="61" t="s">
        <v>429</v>
      </c>
      <c r="G81" s="10"/>
    </row>
    <row r="82" spans="2:7" x14ac:dyDescent="0.25">
      <c r="B82" s="53" t="s">
        <v>401</v>
      </c>
      <c r="C82" s="10" t="s">
        <v>427</v>
      </c>
      <c r="D82" s="57">
        <v>386500</v>
      </c>
      <c r="E82" s="14">
        <v>29</v>
      </c>
      <c r="F82" s="61" t="s">
        <v>429</v>
      </c>
      <c r="G82" s="10"/>
    </row>
    <row r="83" spans="2:7" x14ac:dyDescent="0.25">
      <c r="B83" s="53" t="s">
        <v>401</v>
      </c>
      <c r="C83" s="10" t="s">
        <v>427</v>
      </c>
      <c r="D83" s="57">
        <v>341500</v>
      </c>
      <c r="E83" s="14">
        <v>12</v>
      </c>
      <c r="F83" s="61" t="s">
        <v>429</v>
      </c>
      <c r="G83" s="10"/>
    </row>
    <row r="84" spans="2:7" x14ac:dyDescent="0.25">
      <c r="B84" s="53" t="s">
        <v>401</v>
      </c>
      <c r="C84" s="10" t="s">
        <v>427</v>
      </c>
      <c r="D84" s="57">
        <v>440000</v>
      </c>
      <c r="E84" s="14">
        <v>16</v>
      </c>
      <c r="F84" s="61" t="s">
        <v>429</v>
      </c>
      <c r="G84" s="10"/>
    </row>
    <row r="85" spans="2:7" x14ac:dyDescent="0.25">
      <c r="B85" s="53" t="s">
        <v>401</v>
      </c>
      <c r="C85" s="10" t="s">
        <v>427</v>
      </c>
      <c r="D85" s="57">
        <v>191400</v>
      </c>
      <c r="E85" s="14">
        <v>18</v>
      </c>
      <c r="F85" s="61" t="s">
        <v>429</v>
      </c>
      <c r="G85" s="10"/>
    </row>
    <row r="86" spans="2:7" x14ac:dyDescent="0.25">
      <c r="B86" s="53" t="s">
        <v>401</v>
      </c>
      <c r="C86" s="10" t="s">
        <v>427</v>
      </c>
      <c r="D86" s="57">
        <v>770400</v>
      </c>
      <c r="E86" s="14">
        <v>25</v>
      </c>
      <c r="F86" s="61" t="s">
        <v>429</v>
      </c>
      <c r="G86" s="10"/>
    </row>
    <row r="87" spans="2:7" x14ac:dyDescent="0.25">
      <c r="B87" s="53" t="s">
        <v>401</v>
      </c>
      <c r="C87" s="10" t="s">
        <v>427</v>
      </c>
      <c r="D87" s="57">
        <v>307000</v>
      </c>
      <c r="E87" s="14">
        <v>14</v>
      </c>
      <c r="F87" s="61" t="s">
        <v>429</v>
      </c>
      <c r="G87" s="10"/>
    </row>
    <row r="88" spans="2:7" x14ac:dyDescent="0.25">
      <c r="B88" s="53" t="s">
        <v>401</v>
      </c>
      <c r="C88" s="10" t="s">
        <v>427</v>
      </c>
      <c r="D88" s="57">
        <v>770400</v>
      </c>
      <c r="E88" s="14">
        <v>1</v>
      </c>
      <c r="F88" s="61" t="s">
        <v>429</v>
      </c>
      <c r="G88" s="10"/>
    </row>
    <row r="89" spans="2:7" x14ac:dyDescent="0.25">
      <c r="B89" s="53" t="s">
        <v>401</v>
      </c>
      <c r="C89" s="10" t="s">
        <v>427</v>
      </c>
      <c r="D89" s="57">
        <v>770400</v>
      </c>
      <c r="E89" s="14">
        <v>26</v>
      </c>
      <c r="F89" s="61" t="s">
        <v>429</v>
      </c>
      <c r="G89" s="10"/>
    </row>
    <row r="90" spans="2:7" x14ac:dyDescent="0.25">
      <c r="B90" s="53" t="s">
        <v>401</v>
      </c>
      <c r="C90" s="10" t="s">
        <v>427</v>
      </c>
      <c r="D90" s="57">
        <v>387500</v>
      </c>
      <c r="E90" s="14">
        <v>6</v>
      </c>
      <c r="F90" s="61" t="s">
        <v>429</v>
      </c>
      <c r="G90" s="10"/>
    </row>
    <row r="91" spans="2:7" x14ac:dyDescent="0.25">
      <c r="B91" s="53" t="s">
        <v>401</v>
      </c>
      <c r="C91" s="10" t="s">
        <v>410</v>
      </c>
      <c r="D91" s="50">
        <v>0</v>
      </c>
      <c r="E91" s="14">
        <v>4</v>
      </c>
      <c r="F91" s="61" t="s">
        <v>429</v>
      </c>
      <c r="G91" s="10"/>
    </row>
    <row r="92" spans="2:7" x14ac:dyDescent="0.25">
      <c r="B92" s="53" t="s">
        <v>401</v>
      </c>
      <c r="C92" s="10" t="s">
        <v>427</v>
      </c>
      <c r="D92" s="57">
        <v>373200</v>
      </c>
      <c r="E92" s="14">
        <v>22</v>
      </c>
      <c r="F92" s="61" t="s">
        <v>429</v>
      </c>
      <c r="G92" s="10"/>
    </row>
    <row r="93" spans="2:7" x14ac:dyDescent="0.25">
      <c r="B93" s="53" t="s">
        <v>401</v>
      </c>
      <c r="C93" s="10" t="s">
        <v>427</v>
      </c>
      <c r="D93" s="57">
        <v>504000</v>
      </c>
      <c r="E93" s="14">
        <v>28</v>
      </c>
      <c r="F93" s="61" t="s">
        <v>429</v>
      </c>
      <c r="G93" s="10"/>
    </row>
    <row r="94" spans="2:7" x14ac:dyDescent="0.25">
      <c r="B94" s="53" t="s">
        <v>401</v>
      </c>
      <c r="C94" s="10" t="s">
        <v>410</v>
      </c>
      <c r="D94" s="50">
        <v>0</v>
      </c>
      <c r="E94" s="14">
        <v>21</v>
      </c>
      <c r="F94" s="61" t="s">
        <v>429</v>
      </c>
      <c r="G94" s="10"/>
    </row>
    <row r="95" spans="2:7" x14ac:dyDescent="0.25">
      <c r="B95" s="53" t="s">
        <v>401</v>
      </c>
      <c r="C95" s="10" t="s">
        <v>427</v>
      </c>
      <c r="D95" s="57">
        <v>440000</v>
      </c>
      <c r="E95" s="14">
        <v>17</v>
      </c>
      <c r="F95" s="61" t="s">
        <v>429</v>
      </c>
      <c r="G95" s="10"/>
    </row>
    <row r="96" spans="2:7" x14ac:dyDescent="0.25">
      <c r="B96" s="53" t="s">
        <v>401</v>
      </c>
      <c r="C96" s="10" t="s">
        <v>410</v>
      </c>
      <c r="D96" s="50">
        <v>0</v>
      </c>
      <c r="E96" s="14">
        <v>5</v>
      </c>
      <c r="F96" s="61" t="s">
        <v>429</v>
      </c>
      <c r="G96" s="10"/>
    </row>
    <row r="97" spans="2:7" x14ac:dyDescent="0.25">
      <c r="B97" s="53" t="s">
        <v>401</v>
      </c>
      <c r="C97" s="10" t="s">
        <v>427</v>
      </c>
      <c r="D97" s="57">
        <v>191400</v>
      </c>
      <c r="E97" s="14">
        <v>10</v>
      </c>
      <c r="F97" s="61" t="s">
        <v>429</v>
      </c>
      <c r="G97" s="10"/>
    </row>
    <row r="98" spans="2:7" x14ac:dyDescent="0.25">
      <c r="B98" s="53" t="s">
        <v>401</v>
      </c>
      <c r="C98" s="10" t="s">
        <v>427</v>
      </c>
      <c r="D98" s="57">
        <v>198500</v>
      </c>
      <c r="E98" s="14">
        <v>13</v>
      </c>
      <c r="F98" s="61" t="s">
        <v>429</v>
      </c>
      <c r="G98" s="10"/>
    </row>
    <row r="99" spans="2:7" x14ac:dyDescent="0.25">
      <c r="B99" s="53" t="s">
        <v>401</v>
      </c>
      <c r="C99" s="10" t="s">
        <v>427</v>
      </c>
      <c r="D99" s="57">
        <v>209500</v>
      </c>
      <c r="E99" s="14">
        <v>8</v>
      </c>
      <c r="F99" s="61" t="s">
        <v>429</v>
      </c>
      <c r="G99" s="10"/>
    </row>
    <row r="100" spans="2:7" x14ac:dyDescent="0.25">
      <c r="B100" s="53" t="s">
        <v>401</v>
      </c>
      <c r="C100" s="10" t="s">
        <v>410</v>
      </c>
      <c r="D100" s="50">
        <v>0</v>
      </c>
      <c r="E100" s="14">
        <v>3</v>
      </c>
      <c r="F100" s="61" t="s">
        <v>429</v>
      </c>
      <c r="G100" s="10"/>
    </row>
    <row r="101" spans="2:7" x14ac:dyDescent="0.25">
      <c r="B101" s="53" t="s">
        <v>401</v>
      </c>
      <c r="C101" s="10" t="s">
        <v>427</v>
      </c>
      <c r="D101" s="45">
        <v>191400</v>
      </c>
      <c r="E101" s="14">
        <v>9</v>
      </c>
      <c r="F101" s="61" t="s">
        <v>429</v>
      </c>
      <c r="G101" s="10"/>
    </row>
    <row r="102" spans="2:7" x14ac:dyDescent="0.25">
      <c r="B102" s="54" t="s">
        <v>400</v>
      </c>
      <c r="C102" s="10" t="s">
        <v>427</v>
      </c>
      <c r="D102" s="57">
        <v>548500</v>
      </c>
      <c r="E102" s="14">
        <v>11</v>
      </c>
      <c r="F102" s="61" t="s">
        <v>429</v>
      </c>
      <c r="G102" s="10"/>
    </row>
    <row r="103" spans="2:7" x14ac:dyDescent="0.25">
      <c r="B103" s="54" t="s">
        <v>400</v>
      </c>
      <c r="C103" s="10" t="s">
        <v>410</v>
      </c>
      <c r="D103" s="50">
        <v>0</v>
      </c>
      <c r="E103" s="14">
        <v>23</v>
      </c>
      <c r="F103" s="61" t="s">
        <v>429</v>
      </c>
      <c r="G103" s="10"/>
    </row>
    <row r="104" spans="2:7" x14ac:dyDescent="0.25">
      <c r="B104" s="54" t="s">
        <v>400</v>
      </c>
      <c r="C104" s="10" t="s">
        <v>427</v>
      </c>
      <c r="D104" s="57">
        <v>365700</v>
      </c>
      <c r="E104" s="14">
        <v>2</v>
      </c>
      <c r="F104" s="61" t="s">
        <v>429</v>
      </c>
      <c r="G104" s="10"/>
    </row>
    <row r="105" spans="2:7" x14ac:dyDescent="0.25">
      <c r="B105" s="54" t="s">
        <v>400</v>
      </c>
      <c r="C105" s="10" t="s">
        <v>427</v>
      </c>
      <c r="D105" s="57">
        <v>173250</v>
      </c>
      <c r="E105" s="14">
        <v>19</v>
      </c>
      <c r="F105" s="61" t="s">
        <v>429</v>
      </c>
      <c r="G105" s="10"/>
    </row>
    <row r="106" spans="2:7" x14ac:dyDescent="0.25">
      <c r="B106" s="54" t="s">
        <v>400</v>
      </c>
      <c r="C106" s="10" t="s">
        <v>427</v>
      </c>
      <c r="D106" s="57">
        <v>582000</v>
      </c>
      <c r="E106" s="14">
        <v>27</v>
      </c>
      <c r="F106" s="61" t="s">
        <v>429</v>
      </c>
      <c r="G106" s="10"/>
    </row>
    <row r="107" spans="2:7" x14ac:dyDescent="0.25">
      <c r="B107" s="54" t="s">
        <v>400</v>
      </c>
      <c r="C107" s="10" t="s">
        <v>410</v>
      </c>
      <c r="D107" s="50">
        <v>0</v>
      </c>
      <c r="E107" s="14">
        <v>7</v>
      </c>
      <c r="F107" s="61" t="s">
        <v>429</v>
      </c>
      <c r="G107" s="10"/>
    </row>
    <row r="108" spans="2:7" x14ac:dyDescent="0.25">
      <c r="B108" s="54" t="s">
        <v>400</v>
      </c>
      <c r="C108" s="10" t="s">
        <v>427</v>
      </c>
      <c r="D108" s="57">
        <v>582000</v>
      </c>
      <c r="E108" s="14">
        <v>24</v>
      </c>
      <c r="F108" s="61" t="s">
        <v>429</v>
      </c>
      <c r="G108" s="10"/>
    </row>
    <row r="109" spans="2:7" x14ac:dyDescent="0.25">
      <c r="B109" s="54" t="s">
        <v>400</v>
      </c>
      <c r="C109" s="10" t="s">
        <v>427</v>
      </c>
      <c r="D109" s="57">
        <v>139500</v>
      </c>
      <c r="E109" s="14">
        <v>20</v>
      </c>
      <c r="F109" s="61" t="s">
        <v>429</v>
      </c>
      <c r="G109" s="10"/>
    </row>
    <row r="110" spans="2:7" x14ac:dyDescent="0.25">
      <c r="B110" s="54" t="s">
        <v>400</v>
      </c>
      <c r="C110" s="10" t="s">
        <v>427</v>
      </c>
      <c r="D110" s="57">
        <v>185350</v>
      </c>
      <c r="E110" s="14">
        <v>15</v>
      </c>
      <c r="F110" s="61" t="s">
        <v>429</v>
      </c>
      <c r="G110" s="10"/>
    </row>
    <row r="111" spans="2:7" x14ac:dyDescent="0.25">
      <c r="B111" s="54" t="s">
        <v>400</v>
      </c>
      <c r="C111" s="10" t="s">
        <v>427</v>
      </c>
      <c r="D111" s="57">
        <v>402500</v>
      </c>
      <c r="E111" s="14">
        <v>29</v>
      </c>
      <c r="F111" s="61" t="s">
        <v>429</v>
      </c>
      <c r="G111" s="10"/>
    </row>
    <row r="112" spans="2:7" x14ac:dyDescent="0.25">
      <c r="B112" s="54" t="s">
        <v>400</v>
      </c>
      <c r="C112" s="10" t="s">
        <v>427</v>
      </c>
      <c r="D112" s="57">
        <v>358000</v>
      </c>
      <c r="E112" s="14">
        <v>12</v>
      </c>
      <c r="F112" s="61" t="s">
        <v>429</v>
      </c>
      <c r="G112" s="10"/>
    </row>
    <row r="113" spans="2:7" x14ac:dyDescent="0.25">
      <c r="B113" s="54" t="s">
        <v>400</v>
      </c>
      <c r="C113" s="10" t="s">
        <v>427</v>
      </c>
      <c r="D113" s="57">
        <v>440000</v>
      </c>
      <c r="E113" s="14">
        <v>16</v>
      </c>
      <c r="F113" s="61" t="s">
        <v>429</v>
      </c>
      <c r="G113" s="10"/>
    </row>
    <row r="114" spans="2:7" x14ac:dyDescent="0.25">
      <c r="B114" s="54" t="s">
        <v>400</v>
      </c>
      <c r="C114" s="10" t="s">
        <v>427</v>
      </c>
      <c r="D114" s="57">
        <v>198550</v>
      </c>
      <c r="E114" s="14">
        <v>18</v>
      </c>
      <c r="F114" s="61" t="s">
        <v>429</v>
      </c>
      <c r="G114" s="10"/>
    </row>
    <row r="115" spans="2:7" x14ac:dyDescent="0.25">
      <c r="B115" s="54" t="s">
        <v>400</v>
      </c>
      <c r="C115" s="10" t="s">
        <v>427</v>
      </c>
      <c r="D115" s="57">
        <v>769000</v>
      </c>
      <c r="E115" s="14">
        <v>25</v>
      </c>
      <c r="F115" s="61" t="s">
        <v>429</v>
      </c>
      <c r="G115" s="10"/>
    </row>
    <row r="116" spans="2:7" x14ac:dyDescent="0.25">
      <c r="B116" s="54" t="s">
        <v>400</v>
      </c>
      <c r="C116" s="10" t="s">
        <v>427</v>
      </c>
      <c r="D116" s="57">
        <v>319500</v>
      </c>
      <c r="E116" s="14">
        <v>14</v>
      </c>
      <c r="F116" s="61" t="s">
        <v>429</v>
      </c>
      <c r="G116" s="10"/>
    </row>
    <row r="117" spans="2:7" x14ac:dyDescent="0.25">
      <c r="B117" s="54" t="s">
        <v>400</v>
      </c>
      <c r="C117" s="10" t="s">
        <v>427</v>
      </c>
      <c r="D117" s="57">
        <v>769000</v>
      </c>
      <c r="E117" s="14">
        <v>1</v>
      </c>
      <c r="F117" s="61" t="s">
        <v>429</v>
      </c>
      <c r="G117" s="10"/>
    </row>
    <row r="118" spans="2:7" x14ac:dyDescent="0.25">
      <c r="B118" s="54" t="s">
        <v>400</v>
      </c>
      <c r="C118" s="10" t="s">
        <v>427</v>
      </c>
      <c r="D118" s="57">
        <v>769000</v>
      </c>
      <c r="E118" s="14">
        <v>26</v>
      </c>
      <c r="F118" s="61" t="s">
        <v>429</v>
      </c>
      <c r="G118" s="10"/>
    </row>
    <row r="119" spans="2:7" x14ac:dyDescent="0.25">
      <c r="B119" s="54" t="s">
        <v>400</v>
      </c>
      <c r="C119" s="10" t="s">
        <v>427</v>
      </c>
      <c r="D119" s="57">
        <v>402500</v>
      </c>
      <c r="E119" s="14">
        <v>6</v>
      </c>
      <c r="F119" s="61" t="s">
        <v>429</v>
      </c>
      <c r="G119" s="10"/>
    </row>
    <row r="120" spans="2:7" x14ac:dyDescent="0.25">
      <c r="B120" s="54" t="s">
        <v>400</v>
      </c>
      <c r="C120" s="10" t="s">
        <v>410</v>
      </c>
      <c r="D120" s="50">
        <v>0</v>
      </c>
      <c r="E120" s="14">
        <v>4</v>
      </c>
      <c r="F120" s="61" t="s">
        <v>429</v>
      </c>
      <c r="G120" s="10"/>
    </row>
    <row r="121" spans="2:7" x14ac:dyDescent="0.25">
      <c r="B121" s="54" t="s">
        <v>400</v>
      </c>
      <c r="C121" s="10" t="s">
        <v>427</v>
      </c>
      <c r="D121" s="57">
        <v>392200</v>
      </c>
      <c r="E121" s="14">
        <v>22</v>
      </c>
      <c r="F121" s="61" t="s">
        <v>429</v>
      </c>
      <c r="G121" s="10"/>
    </row>
    <row r="122" spans="2:7" x14ac:dyDescent="0.25">
      <c r="B122" s="54" t="s">
        <v>400</v>
      </c>
      <c r="C122" s="10" t="s">
        <v>427</v>
      </c>
      <c r="D122" s="57">
        <v>582000</v>
      </c>
      <c r="E122" s="14">
        <v>28</v>
      </c>
      <c r="F122" s="61" t="s">
        <v>429</v>
      </c>
      <c r="G122" s="10"/>
    </row>
    <row r="123" spans="2:7" x14ac:dyDescent="0.25">
      <c r="B123" s="54" t="s">
        <v>400</v>
      </c>
      <c r="C123" s="10" t="s">
        <v>410</v>
      </c>
      <c r="D123" s="50">
        <v>0</v>
      </c>
      <c r="E123" s="14">
        <v>21</v>
      </c>
      <c r="F123" s="61" t="s">
        <v>429</v>
      </c>
      <c r="G123" s="10"/>
    </row>
    <row r="124" spans="2:7" x14ac:dyDescent="0.25">
      <c r="B124" s="54" t="s">
        <v>400</v>
      </c>
      <c r="C124" s="10" t="s">
        <v>427</v>
      </c>
      <c r="D124" s="57">
        <v>440000</v>
      </c>
      <c r="E124" s="14">
        <v>17</v>
      </c>
      <c r="F124" s="61" t="s">
        <v>429</v>
      </c>
      <c r="G124" s="10"/>
    </row>
    <row r="125" spans="2:7" x14ac:dyDescent="0.25">
      <c r="B125" s="54" t="s">
        <v>400</v>
      </c>
      <c r="C125" s="10" t="s">
        <v>410</v>
      </c>
      <c r="D125" s="50">
        <v>0</v>
      </c>
      <c r="E125" s="14">
        <v>5</v>
      </c>
      <c r="F125" s="61" t="s">
        <v>429</v>
      </c>
      <c r="G125" s="10"/>
    </row>
    <row r="126" spans="2:7" x14ac:dyDescent="0.25">
      <c r="B126" s="54" t="s">
        <v>400</v>
      </c>
      <c r="C126" s="10" t="s">
        <v>427</v>
      </c>
      <c r="D126" s="57">
        <v>198550</v>
      </c>
      <c r="E126" s="14">
        <v>10</v>
      </c>
      <c r="F126" s="61" t="s">
        <v>429</v>
      </c>
      <c r="G126" s="10"/>
    </row>
    <row r="127" spans="2:7" x14ac:dyDescent="0.25">
      <c r="B127" s="54" t="s">
        <v>400</v>
      </c>
      <c r="C127" s="10" t="s">
        <v>427</v>
      </c>
      <c r="D127" s="57">
        <v>198550</v>
      </c>
      <c r="E127" s="14">
        <v>13</v>
      </c>
      <c r="F127" s="61" t="s">
        <v>429</v>
      </c>
      <c r="G127" s="10"/>
    </row>
    <row r="128" spans="2:7" x14ac:dyDescent="0.25">
      <c r="B128" s="54" t="s">
        <v>400</v>
      </c>
      <c r="C128" s="10" t="s">
        <v>427</v>
      </c>
      <c r="D128" s="57">
        <v>218500</v>
      </c>
      <c r="E128" s="14">
        <v>8</v>
      </c>
      <c r="F128" s="61" t="s">
        <v>429</v>
      </c>
      <c r="G128" s="10"/>
    </row>
    <row r="129" spans="2:7" x14ac:dyDescent="0.25">
      <c r="B129" s="54" t="s">
        <v>400</v>
      </c>
      <c r="C129" s="10" t="s">
        <v>410</v>
      </c>
      <c r="D129" s="50">
        <v>0</v>
      </c>
      <c r="E129" s="14">
        <v>3</v>
      </c>
      <c r="F129" s="61" t="s">
        <v>429</v>
      </c>
      <c r="G129" s="10"/>
    </row>
    <row r="130" spans="2:7" x14ac:dyDescent="0.25">
      <c r="B130" s="54" t="s">
        <v>400</v>
      </c>
      <c r="C130" s="10" t="s">
        <v>427</v>
      </c>
      <c r="D130" s="45">
        <v>198550</v>
      </c>
      <c r="E130" s="14">
        <v>9</v>
      </c>
      <c r="F130" s="61" t="s">
        <v>429</v>
      </c>
      <c r="G130" s="10"/>
    </row>
    <row r="131" spans="2:7" x14ac:dyDescent="0.25">
      <c r="B131" s="53" t="s">
        <v>406</v>
      </c>
      <c r="C131" s="10" t="s">
        <v>430</v>
      </c>
      <c r="D131" s="57">
        <v>0</v>
      </c>
      <c r="E131" s="14">
        <v>11</v>
      </c>
      <c r="F131" s="61" t="s">
        <v>432</v>
      </c>
      <c r="G131" s="10"/>
    </row>
    <row r="132" spans="2:7" x14ac:dyDescent="0.25">
      <c r="B132" s="53" t="s">
        <v>406</v>
      </c>
      <c r="C132" s="10" t="s">
        <v>410</v>
      </c>
      <c r="D132" s="57">
        <v>0</v>
      </c>
      <c r="E132" s="14">
        <v>23</v>
      </c>
      <c r="F132" s="61" t="s">
        <v>432</v>
      </c>
      <c r="G132" s="10"/>
    </row>
    <row r="133" spans="2:7" x14ac:dyDescent="0.25">
      <c r="B133" s="53" t="s">
        <v>406</v>
      </c>
      <c r="C133" s="10" t="s">
        <v>430</v>
      </c>
      <c r="D133" s="57">
        <v>0</v>
      </c>
      <c r="E133" s="14">
        <v>2</v>
      </c>
      <c r="F133" s="61" t="s">
        <v>432</v>
      </c>
      <c r="G133" s="10"/>
    </row>
    <row r="134" spans="2:7" x14ac:dyDescent="0.25">
      <c r="B134" s="53" t="s">
        <v>406</v>
      </c>
      <c r="C134" s="10" t="s">
        <v>430</v>
      </c>
      <c r="D134" s="57">
        <v>0</v>
      </c>
      <c r="E134" s="14">
        <v>19</v>
      </c>
      <c r="F134" s="61" t="s">
        <v>432</v>
      </c>
      <c r="G134" s="10"/>
    </row>
    <row r="135" spans="2:7" x14ac:dyDescent="0.25">
      <c r="B135" s="53" t="s">
        <v>406</v>
      </c>
      <c r="C135" s="10" t="s">
        <v>430</v>
      </c>
      <c r="D135" s="57">
        <v>0</v>
      </c>
      <c r="E135" s="14">
        <v>27</v>
      </c>
      <c r="F135" s="61" t="s">
        <v>432</v>
      </c>
      <c r="G135" s="10"/>
    </row>
    <row r="136" spans="2:7" x14ac:dyDescent="0.25">
      <c r="B136" s="53" t="s">
        <v>406</v>
      </c>
      <c r="C136" s="10" t="s">
        <v>410</v>
      </c>
      <c r="D136" s="57">
        <v>0</v>
      </c>
      <c r="E136" s="14">
        <v>7</v>
      </c>
      <c r="F136" s="61" t="s">
        <v>432</v>
      </c>
      <c r="G136" s="10"/>
    </row>
    <row r="137" spans="2:7" x14ac:dyDescent="0.25">
      <c r="B137" s="53" t="s">
        <v>406</v>
      </c>
      <c r="C137" s="10" t="s">
        <v>430</v>
      </c>
      <c r="D137" s="57">
        <v>0</v>
      </c>
      <c r="E137" s="14">
        <v>24</v>
      </c>
      <c r="F137" s="61" t="s">
        <v>432</v>
      </c>
      <c r="G137" s="10"/>
    </row>
    <row r="138" spans="2:7" x14ac:dyDescent="0.25">
      <c r="B138" s="53" t="s">
        <v>406</v>
      </c>
      <c r="C138" s="10" t="s">
        <v>430</v>
      </c>
      <c r="D138" s="57">
        <v>0</v>
      </c>
      <c r="E138" s="14">
        <v>20</v>
      </c>
      <c r="F138" s="61" t="s">
        <v>432</v>
      </c>
      <c r="G138" s="10"/>
    </row>
    <row r="139" spans="2:7" x14ac:dyDescent="0.25">
      <c r="B139" s="53" t="s">
        <v>406</v>
      </c>
      <c r="C139" s="10" t="s">
        <v>430</v>
      </c>
      <c r="D139" s="57">
        <v>0</v>
      </c>
      <c r="E139" s="14">
        <v>15</v>
      </c>
      <c r="F139" s="61" t="s">
        <v>432</v>
      </c>
      <c r="G139" s="10"/>
    </row>
    <row r="140" spans="2:7" x14ac:dyDescent="0.25">
      <c r="B140" s="53" t="s">
        <v>406</v>
      </c>
      <c r="C140" s="10" t="s">
        <v>430</v>
      </c>
      <c r="D140" s="57">
        <v>0</v>
      </c>
      <c r="E140" s="14">
        <v>29</v>
      </c>
      <c r="F140" s="61" t="s">
        <v>432</v>
      </c>
      <c r="G140" s="10"/>
    </row>
    <row r="141" spans="2:7" x14ac:dyDescent="0.25">
      <c r="B141" s="53" t="s">
        <v>406</v>
      </c>
      <c r="C141" s="10" t="s">
        <v>430</v>
      </c>
      <c r="D141" s="57">
        <v>0</v>
      </c>
      <c r="E141" s="14">
        <v>12</v>
      </c>
      <c r="F141" s="61" t="s">
        <v>432</v>
      </c>
      <c r="G141" s="10"/>
    </row>
    <row r="142" spans="2:7" x14ac:dyDescent="0.25">
      <c r="B142" s="53" t="s">
        <v>406</v>
      </c>
      <c r="C142" s="10" t="s">
        <v>430</v>
      </c>
      <c r="D142" s="57">
        <v>0</v>
      </c>
      <c r="E142" s="14">
        <v>16</v>
      </c>
      <c r="F142" s="61" t="s">
        <v>432</v>
      </c>
      <c r="G142" s="10"/>
    </row>
    <row r="143" spans="2:7" x14ac:dyDescent="0.25">
      <c r="B143" s="53" t="s">
        <v>406</v>
      </c>
      <c r="C143" s="10" t="s">
        <v>430</v>
      </c>
      <c r="D143" s="57">
        <v>0</v>
      </c>
      <c r="E143" s="14">
        <v>18</v>
      </c>
      <c r="F143" s="61" t="s">
        <v>432</v>
      </c>
      <c r="G143" s="10"/>
    </row>
    <row r="144" spans="2:7" x14ac:dyDescent="0.25">
      <c r="B144" s="53" t="s">
        <v>406</v>
      </c>
      <c r="C144" s="10" t="s">
        <v>430</v>
      </c>
      <c r="D144" s="57">
        <v>0</v>
      </c>
      <c r="E144" s="14">
        <v>25</v>
      </c>
      <c r="F144" s="61" t="s">
        <v>432</v>
      </c>
      <c r="G144" s="10"/>
    </row>
    <row r="145" spans="2:7" x14ac:dyDescent="0.25">
      <c r="B145" s="53" t="s">
        <v>406</v>
      </c>
      <c r="C145" s="10" t="s">
        <v>430</v>
      </c>
      <c r="D145" s="57">
        <v>0</v>
      </c>
      <c r="E145" s="14">
        <v>14</v>
      </c>
      <c r="F145" s="61" t="s">
        <v>432</v>
      </c>
      <c r="G145" s="10"/>
    </row>
    <row r="146" spans="2:7" x14ac:dyDescent="0.25">
      <c r="B146" s="53" t="s">
        <v>406</v>
      </c>
      <c r="C146" s="10" t="s">
        <v>430</v>
      </c>
      <c r="D146" s="57">
        <v>0</v>
      </c>
      <c r="E146" s="14">
        <v>1</v>
      </c>
      <c r="F146" s="61" t="s">
        <v>432</v>
      </c>
      <c r="G146" s="10"/>
    </row>
    <row r="147" spans="2:7" x14ac:dyDescent="0.25">
      <c r="B147" s="53" t="s">
        <v>406</v>
      </c>
      <c r="C147" s="10" t="s">
        <v>430</v>
      </c>
      <c r="D147" s="57">
        <v>0</v>
      </c>
      <c r="E147" s="14">
        <v>26</v>
      </c>
      <c r="F147" s="61" t="s">
        <v>432</v>
      </c>
      <c r="G147" s="10"/>
    </row>
    <row r="148" spans="2:7" x14ac:dyDescent="0.25">
      <c r="B148" s="53" t="s">
        <v>406</v>
      </c>
      <c r="C148" s="10" t="s">
        <v>430</v>
      </c>
      <c r="D148" s="57">
        <v>0</v>
      </c>
      <c r="E148" s="14">
        <v>6</v>
      </c>
      <c r="F148" s="61" t="s">
        <v>432</v>
      </c>
      <c r="G148" s="10"/>
    </row>
    <row r="149" spans="2:7" x14ac:dyDescent="0.25">
      <c r="B149" s="53" t="s">
        <v>406</v>
      </c>
      <c r="C149" s="10" t="s">
        <v>410</v>
      </c>
      <c r="D149" s="57">
        <v>0</v>
      </c>
      <c r="E149" s="14">
        <v>4</v>
      </c>
      <c r="F149" s="61" t="s">
        <v>432</v>
      </c>
      <c r="G149" s="10"/>
    </row>
    <row r="150" spans="2:7" x14ac:dyDescent="0.25">
      <c r="B150" s="53" t="s">
        <v>406</v>
      </c>
      <c r="C150" s="10" t="s">
        <v>430</v>
      </c>
      <c r="D150" s="57">
        <v>0</v>
      </c>
      <c r="E150" s="14">
        <v>22</v>
      </c>
      <c r="F150" s="61" t="s">
        <v>432</v>
      </c>
      <c r="G150" s="10"/>
    </row>
    <row r="151" spans="2:7" x14ac:dyDescent="0.25">
      <c r="B151" s="53" t="s">
        <v>406</v>
      </c>
      <c r="C151" s="10" t="s">
        <v>430</v>
      </c>
      <c r="D151" s="57">
        <v>0</v>
      </c>
      <c r="E151" s="14">
        <v>28</v>
      </c>
      <c r="F151" s="61" t="s">
        <v>432</v>
      </c>
      <c r="G151" s="10"/>
    </row>
    <row r="152" spans="2:7" x14ac:dyDescent="0.25">
      <c r="B152" s="53" t="s">
        <v>406</v>
      </c>
      <c r="C152" s="10" t="s">
        <v>410</v>
      </c>
      <c r="D152" s="57">
        <v>0</v>
      </c>
      <c r="E152" s="14">
        <v>21</v>
      </c>
      <c r="F152" s="61" t="s">
        <v>432</v>
      </c>
      <c r="G152" s="10"/>
    </row>
    <row r="153" spans="2:7" x14ac:dyDescent="0.25">
      <c r="B153" s="53" t="s">
        <v>406</v>
      </c>
      <c r="C153" s="10" t="s">
        <v>430</v>
      </c>
      <c r="D153" s="57">
        <v>0</v>
      </c>
      <c r="E153" s="14">
        <v>17</v>
      </c>
      <c r="F153" s="61" t="s">
        <v>432</v>
      </c>
      <c r="G153" s="10"/>
    </row>
    <row r="154" spans="2:7" x14ac:dyDescent="0.25">
      <c r="B154" s="53" t="s">
        <v>406</v>
      </c>
      <c r="C154" s="10" t="s">
        <v>410</v>
      </c>
      <c r="D154" s="57">
        <v>0</v>
      </c>
      <c r="E154" s="14">
        <v>5</v>
      </c>
      <c r="F154" s="61" t="s">
        <v>432</v>
      </c>
      <c r="G154" s="10"/>
    </row>
    <row r="155" spans="2:7" x14ac:dyDescent="0.25">
      <c r="B155" s="53" t="s">
        <v>406</v>
      </c>
      <c r="C155" s="10" t="s">
        <v>430</v>
      </c>
      <c r="D155" s="57">
        <v>0</v>
      </c>
      <c r="E155" s="14">
        <v>10</v>
      </c>
      <c r="F155" s="61" t="s">
        <v>432</v>
      </c>
      <c r="G155" s="10"/>
    </row>
    <row r="156" spans="2:7" x14ac:dyDescent="0.25">
      <c r="B156" s="53" t="s">
        <v>406</v>
      </c>
      <c r="C156" s="10" t="s">
        <v>430</v>
      </c>
      <c r="D156" s="57">
        <v>0</v>
      </c>
      <c r="E156" s="14">
        <v>13</v>
      </c>
      <c r="F156" s="61" t="s">
        <v>432</v>
      </c>
      <c r="G156" s="10"/>
    </row>
    <row r="157" spans="2:7" x14ac:dyDescent="0.25">
      <c r="B157" s="53" t="s">
        <v>406</v>
      </c>
      <c r="C157" s="10" t="s">
        <v>430</v>
      </c>
      <c r="D157" s="57">
        <v>0</v>
      </c>
      <c r="E157" s="14">
        <v>8</v>
      </c>
      <c r="F157" s="61" t="s">
        <v>432</v>
      </c>
      <c r="G157" s="10"/>
    </row>
    <row r="158" spans="2:7" x14ac:dyDescent="0.25">
      <c r="B158" s="53" t="s">
        <v>406</v>
      </c>
      <c r="C158" s="10" t="s">
        <v>410</v>
      </c>
      <c r="D158" s="57">
        <v>0</v>
      </c>
      <c r="E158" s="14">
        <v>3</v>
      </c>
      <c r="F158" s="61" t="s">
        <v>432</v>
      </c>
      <c r="G158" s="10"/>
    </row>
    <row r="159" spans="2:7" x14ac:dyDescent="0.25">
      <c r="B159" s="53" t="s">
        <v>406</v>
      </c>
      <c r="C159" s="10" t="s">
        <v>430</v>
      </c>
      <c r="D159" s="57">
        <v>0</v>
      </c>
      <c r="E159" s="14">
        <v>9</v>
      </c>
      <c r="F159" s="61" t="s">
        <v>432</v>
      </c>
      <c r="G159" s="10"/>
    </row>
    <row r="160" spans="2:7" x14ac:dyDescent="0.25">
      <c r="B160" s="54" t="s">
        <v>405</v>
      </c>
      <c r="C160" s="10" t="s">
        <v>427</v>
      </c>
      <c r="D160" s="51">
        <v>182000</v>
      </c>
      <c r="E160" s="14">
        <v>11</v>
      </c>
      <c r="F160" s="61" t="s">
        <v>432</v>
      </c>
      <c r="G160" s="10"/>
    </row>
    <row r="161" spans="2:7" x14ac:dyDescent="0.25">
      <c r="B161" s="54" t="s">
        <v>405</v>
      </c>
      <c r="C161" s="10" t="s">
        <v>410</v>
      </c>
      <c r="D161" s="51">
        <v>0</v>
      </c>
      <c r="E161" s="14">
        <v>23</v>
      </c>
      <c r="F161" s="61" t="s">
        <v>432</v>
      </c>
      <c r="G161" s="10"/>
    </row>
    <row r="162" spans="2:7" x14ac:dyDescent="0.25">
      <c r="B162" s="54" t="s">
        <v>405</v>
      </c>
      <c r="C162" s="10" t="s">
        <v>427</v>
      </c>
      <c r="D162" s="51">
        <v>84000</v>
      </c>
      <c r="E162" s="14">
        <v>2</v>
      </c>
      <c r="F162" s="61" t="s">
        <v>432</v>
      </c>
      <c r="G162" s="10"/>
    </row>
    <row r="163" spans="2:7" x14ac:dyDescent="0.25">
      <c r="B163" s="54" t="s">
        <v>405</v>
      </c>
      <c r="C163" s="10" t="s">
        <v>427</v>
      </c>
      <c r="D163" s="51">
        <v>46750</v>
      </c>
      <c r="E163" s="14">
        <v>19</v>
      </c>
      <c r="F163" s="61" t="s">
        <v>432</v>
      </c>
      <c r="G163" s="10"/>
    </row>
    <row r="164" spans="2:7" x14ac:dyDescent="0.25">
      <c r="B164" s="54" t="s">
        <v>405</v>
      </c>
      <c r="C164" s="10" t="s">
        <v>427</v>
      </c>
      <c r="D164" s="51">
        <v>128000</v>
      </c>
      <c r="E164" s="14">
        <v>27</v>
      </c>
      <c r="F164" s="61" t="s">
        <v>432</v>
      </c>
      <c r="G164" s="10"/>
    </row>
    <row r="165" spans="2:7" x14ac:dyDescent="0.25">
      <c r="B165" s="54" t="s">
        <v>405</v>
      </c>
      <c r="C165" s="10" t="s">
        <v>410</v>
      </c>
      <c r="D165" s="51">
        <v>0</v>
      </c>
      <c r="E165" s="14">
        <v>7</v>
      </c>
      <c r="F165" s="61" t="s">
        <v>432</v>
      </c>
      <c r="G165" s="10"/>
    </row>
    <row r="166" spans="2:7" x14ac:dyDescent="0.25">
      <c r="B166" s="54" t="s">
        <v>405</v>
      </c>
      <c r="C166" s="10" t="s">
        <v>427</v>
      </c>
      <c r="D166" s="51">
        <v>128000</v>
      </c>
      <c r="E166" s="14">
        <v>24</v>
      </c>
      <c r="F166" s="61" t="s">
        <v>432</v>
      </c>
      <c r="G166" s="10"/>
    </row>
    <row r="167" spans="2:7" x14ac:dyDescent="0.25">
      <c r="B167" s="54" t="s">
        <v>405</v>
      </c>
      <c r="C167" s="10" t="s">
        <v>427</v>
      </c>
      <c r="D167" s="51">
        <v>36500</v>
      </c>
      <c r="E167" s="14">
        <v>20</v>
      </c>
      <c r="F167" s="61" t="s">
        <v>432</v>
      </c>
      <c r="G167" s="10"/>
    </row>
    <row r="168" spans="2:7" x14ac:dyDescent="0.25">
      <c r="B168" s="54" t="s">
        <v>405</v>
      </c>
      <c r="C168" s="10" t="s">
        <v>427</v>
      </c>
      <c r="D168" s="51">
        <v>51500</v>
      </c>
      <c r="E168" s="14">
        <v>15</v>
      </c>
      <c r="F168" s="61" t="s">
        <v>432</v>
      </c>
      <c r="G168" s="10"/>
    </row>
    <row r="169" spans="2:7" x14ac:dyDescent="0.25">
      <c r="B169" s="54" t="s">
        <v>405</v>
      </c>
      <c r="C169" s="10" t="s">
        <v>427</v>
      </c>
      <c r="D169" s="51">
        <v>107500</v>
      </c>
      <c r="E169" s="14">
        <v>29</v>
      </c>
      <c r="F169" s="61" t="s">
        <v>432</v>
      </c>
      <c r="G169" s="10"/>
    </row>
    <row r="170" spans="2:7" x14ac:dyDescent="0.25">
      <c r="B170" s="54" t="s">
        <v>405</v>
      </c>
      <c r="C170" s="10" t="s">
        <v>427</v>
      </c>
      <c r="D170" s="51">
        <v>115500</v>
      </c>
      <c r="E170" s="14">
        <v>12</v>
      </c>
      <c r="F170" s="61" t="s">
        <v>432</v>
      </c>
      <c r="G170" s="10"/>
    </row>
    <row r="171" spans="2:7" x14ac:dyDescent="0.25">
      <c r="B171" s="54" t="s">
        <v>405</v>
      </c>
      <c r="C171" s="10" t="s">
        <v>427</v>
      </c>
      <c r="D171" s="51">
        <v>85000</v>
      </c>
      <c r="E171" s="14">
        <v>16</v>
      </c>
      <c r="F171" s="61" t="s">
        <v>432</v>
      </c>
      <c r="G171" s="10"/>
    </row>
    <row r="172" spans="2:7" x14ac:dyDescent="0.25">
      <c r="B172" s="54" t="s">
        <v>405</v>
      </c>
      <c r="C172" s="10" t="s">
        <v>427</v>
      </c>
      <c r="D172" s="51">
        <v>58500</v>
      </c>
      <c r="E172" s="14">
        <v>18</v>
      </c>
      <c r="F172" s="61" t="s">
        <v>432</v>
      </c>
      <c r="G172" s="10"/>
    </row>
    <row r="173" spans="2:7" x14ac:dyDescent="0.25">
      <c r="B173" s="54" t="s">
        <v>405</v>
      </c>
      <c r="C173" s="10" t="s">
        <v>427</v>
      </c>
      <c r="D173" s="51">
        <v>135700</v>
      </c>
      <c r="E173" s="14">
        <v>25</v>
      </c>
      <c r="F173" s="61" t="s">
        <v>432</v>
      </c>
      <c r="G173" s="10"/>
    </row>
    <row r="174" spans="2:7" x14ac:dyDescent="0.25">
      <c r="B174" s="54" t="s">
        <v>405</v>
      </c>
      <c r="C174" s="10" t="s">
        <v>427</v>
      </c>
      <c r="D174" s="51">
        <v>111500</v>
      </c>
      <c r="E174" s="14">
        <v>14</v>
      </c>
      <c r="F174" s="61" t="s">
        <v>432</v>
      </c>
      <c r="G174" s="10"/>
    </row>
    <row r="175" spans="2:7" x14ac:dyDescent="0.25">
      <c r="B175" s="54" t="s">
        <v>405</v>
      </c>
      <c r="C175" s="10" t="s">
        <v>427</v>
      </c>
      <c r="D175" s="51">
        <v>135700</v>
      </c>
      <c r="E175" s="14">
        <v>1</v>
      </c>
      <c r="F175" s="61" t="s">
        <v>432</v>
      </c>
      <c r="G175" s="10"/>
    </row>
    <row r="176" spans="2:7" x14ac:dyDescent="0.25">
      <c r="B176" s="54" t="s">
        <v>405</v>
      </c>
      <c r="C176" s="10" t="s">
        <v>427</v>
      </c>
      <c r="D176" s="51">
        <v>135700</v>
      </c>
      <c r="E176" s="14">
        <v>26</v>
      </c>
      <c r="F176" s="61" t="s">
        <v>432</v>
      </c>
      <c r="G176" s="10"/>
    </row>
    <row r="177" spans="2:7" x14ac:dyDescent="0.25">
      <c r="B177" s="54" t="s">
        <v>405</v>
      </c>
      <c r="C177" s="10" t="s">
        <v>427</v>
      </c>
      <c r="D177" s="51">
        <v>107500</v>
      </c>
      <c r="E177" s="14">
        <v>6</v>
      </c>
      <c r="F177" s="61" t="s">
        <v>432</v>
      </c>
      <c r="G177" s="10"/>
    </row>
    <row r="178" spans="2:7" x14ac:dyDescent="0.25">
      <c r="B178" s="54" t="s">
        <v>405</v>
      </c>
      <c r="C178" s="10" t="s">
        <v>410</v>
      </c>
      <c r="D178" s="51">
        <v>0</v>
      </c>
      <c r="E178" s="14">
        <v>4</v>
      </c>
      <c r="F178" s="61" t="s">
        <v>432</v>
      </c>
      <c r="G178" s="10"/>
    </row>
    <row r="179" spans="2:7" x14ac:dyDescent="0.25">
      <c r="B179" s="54" t="s">
        <v>405</v>
      </c>
      <c r="C179" s="10" t="s">
        <v>427</v>
      </c>
      <c r="D179" s="51">
        <v>96600</v>
      </c>
      <c r="E179" s="14">
        <v>22</v>
      </c>
      <c r="F179" s="61" t="s">
        <v>432</v>
      </c>
      <c r="G179" s="10"/>
    </row>
    <row r="180" spans="2:7" x14ac:dyDescent="0.25">
      <c r="B180" s="54" t="s">
        <v>405</v>
      </c>
      <c r="C180" s="10" t="s">
        <v>427</v>
      </c>
      <c r="D180" s="51">
        <v>128000</v>
      </c>
      <c r="E180" s="14">
        <v>28</v>
      </c>
      <c r="F180" s="61" t="s">
        <v>432</v>
      </c>
      <c r="G180" s="10"/>
    </row>
    <row r="181" spans="2:7" x14ac:dyDescent="0.25">
      <c r="B181" s="54" t="s">
        <v>405</v>
      </c>
      <c r="C181" s="10" t="s">
        <v>410</v>
      </c>
      <c r="D181" s="51">
        <v>0</v>
      </c>
      <c r="E181" s="14">
        <v>21</v>
      </c>
      <c r="F181" s="61" t="s">
        <v>432</v>
      </c>
      <c r="G181" s="10"/>
    </row>
    <row r="182" spans="2:7" x14ac:dyDescent="0.25">
      <c r="B182" s="54" t="s">
        <v>405</v>
      </c>
      <c r="C182" s="10" t="s">
        <v>427</v>
      </c>
      <c r="D182" s="51">
        <v>85000</v>
      </c>
      <c r="E182" s="14">
        <v>17</v>
      </c>
      <c r="F182" s="61" t="s">
        <v>432</v>
      </c>
      <c r="G182" s="10"/>
    </row>
    <row r="183" spans="2:7" x14ac:dyDescent="0.25">
      <c r="B183" s="54" t="s">
        <v>405</v>
      </c>
      <c r="C183" s="10" t="s">
        <v>410</v>
      </c>
      <c r="D183" s="51">
        <v>0</v>
      </c>
      <c r="E183" s="14">
        <v>5</v>
      </c>
      <c r="F183" s="61" t="s">
        <v>432</v>
      </c>
      <c r="G183" s="10"/>
    </row>
    <row r="184" spans="2:7" x14ac:dyDescent="0.25">
      <c r="B184" s="54" t="s">
        <v>405</v>
      </c>
      <c r="C184" s="10" t="s">
        <v>427</v>
      </c>
      <c r="D184" s="51">
        <v>58500</v>
      </c>
      <c r="E184" s="14">
        <v>10</v>
      </c>
      <c r="F184" s="61" t="s">
        <v>432</v>
      </c>
      <c r="G184" s="10"/>
    </row>
    <row r="185" spans="2:7" x14ac:dyDescent="0.25">
      <c r="B185" s="54" t="s">
        <v>405</v>
      </c>
      <c r="C185" s="10" t="s">
        <v>427</v>
      </c>
      <c r="D185" s="51">
        <v>60000</v>
      </c>
      <c r="E185" s="14">
        <v>13</v>
      </c>
      <c r="F185" s="61" t="s">
        <v>432</v>
      </c>
      <c r="G185" s="10"/>
    </row>
    <row r="186" spans="2:7" x14ac:dyDescent="0.25">
      <c r="B186" s="54" t="s">
        <v>405</v>
      </c>
      <c r="C186" s="10" t="s">
        <v>427</v>
      </c>
      <c r="D186" s="51">
        <v>69500</v>
      </c>
      <c r="E186" s="14">
        <v>8</v>
      </c>
      <c r="F186" s="61" t="s">
        <v>432</v>
      </c>
      <c r="G186" s="10"/>
    </row>
    <row r="187" spans="2:7" x14ac:dyDescent="0.25">
      <c r="B187" s="54" t="s">
        <v>405</v>
      </c>
      <c r="C187" s="10" t="s">
        <v>410</v>
      </c>
      <c r="D187" s="51">
        <v>0</v>
      </c>
      <c r="E187" s="14">
        <v>3</v>
      </c>
      <c r="F187" s="61" t="s">
        <v>432</v>
      </c>
      <c r="G187" s="10"/>
    </row>
    <row r="188" spans="2:7" x14ac:dyDescent="0.25">
      <c r="B188" s="54" t="s">
        <v>405</v>
      </c>
      <c r="C188" s="10" t="s">
        <v>427</v>
      </c>
      <c r="D188" s="59">
        <v>58500</v>
      </c>
      <c r="E188" s="14">
        <v>9</v>
      </c>
      <c r="F188" s="61" t="s">
        <v>432</v>
      </c>
      <c r="G188" s="10"/>
    </row>
    <row r="189" spans="2:7" x14ac:dyDescent="0.25">
      <c r="B189" s="53" t="s">
        <v>386</v>
      </c>
      <c r="C189" s="10" t="s">
        <v>427</v>
      </c>
      <c r="D189" s="50">
        <v>248500</v>
      </c>
      <c r="E189" s="14">
        <v>11</v>
      </c>
      <c r="F189" s="61" t="s">
        <v>432</v>
      </c>
      <c r="G189" s="10"/>
    </row>
    <row r="190" spans="2:7" x14ac:dyDescent="0.25">
      <c r="B190" s="53" t="s">
        <v>386</v>
      </c>
      <c r="C190" s="10" t="s">
        <v>410</v>
      </c>
      <c r="D190" s="50">
        <v>0</v>
      </c>
      <c r="E190" s="14">
        <v>23</v>
      </c>
      <c r="F190" s="61" t="s">
        <v>432</v>
      </c>
      <c r="G190" s="10"/>
    </row>
    <row r="191" spans="2:7" x14ac:dyDescent="0.25">
      <c r="B191" s="53" t="s">
        <v>386</v>
      </c>
      <c r="C191" s="10" t="s">
        <v>427</v>
      </c>
      <c r="D191" s="50">
        <v>228000</v>
      </c>
      <c r="E191" s="14">
        <v>2</v>
      </c>
      <c r="F191" s="61" t="s">
        <v>432</v>
      </c>
      <c r="G191" s="10"/>
    </row>
    <row r="192" spans="2:7" x14ac:dyDescent="0.25">
      <c r="B192" s="53" t="s">
        <v>386</v>
      </c>
      <c r="C192" s="10" t="s">
        <v>427</v>
      </c>
      <c r="D192" s="50">
        <v>103950</v>
      </c>
      <c r="E192" s="14">
        <v>19</v>
      </c>
      <c r="F192" s="61" t="s">
        <v>432</v>
      </c>
      <c r="G192" s="10"/>
    </row>
    <row r="193" spans="2:7" x14ac:dyDescent="0.25">
      <c r="B193" s="53" t="s">
        <v>386</v>
      </c>
      <c r="C193" s="10" t="s">
        <v>427</v>
      </c>
      <c r="D193" s="50">
        <v>256500</v>
      </c>
      <c r="E193" s="14">
        <v>27</v>
      </c>
      <c r="F193" s="61" t="s">
        <v>432</v>
      </c>
      <c r="G193" s="10"/>
    </row>
    <row r="194" spans="2:7" x14ac:dyDescent="0.25">
      <c r="B194" s="53" t="s">
        <v>386</v>
      </c>
      <c r="C194" s="10" t="s">
        <v>410</v>
      </c>
      <c r="D194" s="50">
        <v>0</v>
      </c>
      <c r="E194" s="14">
        <v>7</v>
      </c>
      <c r="F194" s="61" t="s">
        <v>432</v>
      </c>
      <c r="G194" s="10"/>
    </row>
    <row r="195" spans="2:7" x14ac:dyDescent="0.25">
      <c r="B195" s="53" t="s">
        <v>386</v>
      </c>
      <c r="C195" s="10" t="s">
        <v>427</v>
      </c>
      <c r="D195" s="50">
        <v>250700</v>
      </c>
      <c r="E195" s="14">
        <v>24</v>
      </c>
      <c r="F195" s="61" t="s">
        <v>432</v>
      </c>
      <c r="G195" s="10"/>
    </row>
    <row r="196" spans="2:7" x14ac:dyDescent="0.25">
      <c r="B196" s="53" t="s">
        <v>386</v>
      </c>
      <c r="C196" s="10" t="s">
        <v>427</v>
      </c>
      <c r="D196" s="50">
        <v>69000</v>
      </c>
      <c r="E196" s="14">
        <v>20</v>
      </c>
      <c r="F196" s="61" t="s">
        <v>432</v>
      </c>
      <c r="G196" s="10"/>
    </row>
    <row r="197" spans="2:7" x14ac:dyDescent="0.25">
      <c r="B197" s="53" t="s">
        <v>386</v>
      </c>
      <c r="C197" s="10" t="s">
        <v>427</v>
      </c>
      <c r="D197" s="50">
        <v>107800</v>
      </c>
      <c r="E197" s="14">
        <v>15</v>
      </c>
      <c r="F197" s="61" t="s">
        <v>432</v>
      </c>
      <c r="G197" s="10"/>
    </row>
    <row r="198" spans="2:7" x14ac:dyDescent="0.25">
      <c r="B198" s="53" t="s">
        <v>386</v>
      </c>
      <c r="C198" s="10" t="s">
        <v>427</v>
      </c>
      <c r="D198" s="50">
        <v>239500</v>
      </c>
      <c r="E198" s="14">
        <v>29</v>
      </c>
      <c r="F198" s="61" t="s">
        <v>432</v>
      </c>
      <c r="G198" s="10"/>
    </row>
    <row r="199" spans="2:7" x14ac:dyDescent="0.25">
      <c r="B199" s="53" t="s">
        <v>386</v>
      </c>
      <c r="C199" s="10" t="s">
        <v>427</v>
      </c>
      <c r="D199" s="50">
        <v>144500</v>
      </c>
      <c r="E199" s="14">
        <v>12</v>
      </c>
      <c r="F199" s="61" t="s">
        <v>432</v>
      </c>
      <c r="G199" s="10"/>
    </row>
    <row r="200" spans="2:7" x14ac:dyDescent="0.25">
      <c r="B200" s="53" t="s">
        <v>386</v>
      </c>
      <c r="C200" s="10" t="s">
        <v>427</v>
      </c>
      <c r="D200" s="50">
        <v>119000</v>
      </c>
      <c r="E200" s="14">
        <v>16</v>
      </c>
      <c r="F200" s="61" t="s">
        <v>432</v>
      </c>
      <c r="G200" s="10"/>
    </row>
    <row r="201" spans="2:7" x14ac:dyDescent="0.25">
      <c r="B201" s="53" t="s">
        <v>386</v>
      </c>
      <c r="C201" s="10" t="s">
        <v>427</v>
      </c>
      <c r="D201" s="50">
        <v>110550</v>
      </c>
      <c r="E201" s="14">
        <v>18</v>
      </c>
      <c r="F201" s="61" t="s">
        <v>432</v>
      </c>
      <c r="G201" s="10"/>
    </row>
    <row r="202" spans="2:7" x14ac:dyDescent="0.25">
      <c r="B202" s="53" t="s">
        <v>386</v>
      </c>
      <c r="C202" s="10" t="s">
        <v>427</v>
      </c>
      <c r="D202" s="50">
        <v>314500</v>
      </c>
      <c r="E202" s="14">
        <v>25</v>
      </c>
      <c r="F202" s="61" t="s">
        <v>432</v>
      </c>
      <c r="G202" s="10"/>
    </row>
    <row r="203" spans="2:7" x14ac:dyDescent="0.25">
      <c r="B203" s="53" t="s">
        <v>386</v>
      </c>
      <c r="C203" s="10" t="s">
        <v>427</v>
      </c>
      <c r="D203" s="50">
        <v>133800</v>
      </c>
      <c r="E203" s="14">
        <v>14</v>
      </c>
      <c r="F203" s="61" t="s">
        <v>432</v>
      </c>
      <c r="G203" s="10"/>
    </row>
    <row r="204" spans="2:7" x14ac:dyDescent="0.25">
      <c r="B204" s="53" t="s">
        <v>386</v>
      </c>
      <c r="C204" s="10" t="s">
        <v>427</v>
      </c>
      <c r="D204" s="50">
        <v>314500</v>
      </c>
      <c r="E204" s="14">
        <v>1</v>
      </c>
      <c r="F204" s="61" t="s">
        <v>432</v>
      </c>
      <c r="G204" s="10"/>
    </row>
    <row r="205" spans="2:7" x14ac:dyDescent="0.25">
      <c r="B205" s="53" t="s">
        <v>386</v>
      </c>
      <c r="C205" s="10" t="s">
        <v>427</v>
      </c>
      <c r="D205" s="50">
        <v>314500</v>
      </c>
      <c r="E205" s="14">
        <v>26</v>
      </c>
      <c r="F205" s="61" t="s">
        <v>432</v>
      </c>
      <c r="G205" s="10"/>
    </row>
    <row r="206" spans="2:7" x14ac:dyDescent="0.25">
      <c r="B206" s="53" t="s">
        <v>386</v>
      </c>
      <c r="C206" s="10" t="s">
        <v>427</v>
      </c>
      <c r="D206" s="50">
        <v>239500</v>
      </c>
      <c r="E206" s="14">
        <v>6</v>
      </c>
      <c r="F206" s="61" t="s">
        <v>432</v>
      </c>
      <c r="G206" s="10"/>
    </row>
    <row r="207" spans="2:7" x14ac:dyDescent="0.25">
      <c r="B207" s="53" t="s">
        <v>386</v>
      </c>
      <c r="C207" s="10" t="s">
        <v>410</v>
      </c>
      <c r="D207" s="50">
        <v>0</v>
      </c>
      <c r="E207" s="14">
        <v>4</v>
      </c>
      <c r="F207" s="61" t="s">
        <v>432</v>
      </c>
      <c r="G207" s="10"/>
    </row>
    <row r="208" spans="2:7" x14ac:dyDescent="0.25">
      <c r="B208" s="53" t="s">
        <v>386</v>
      </c>
      <c r="C208" s="10" t="s">
        <v>427</v>
      </c>
      <c r="D208" s="50">
        <v>234000</v>
      </c>
      <c r="E208" s="14">
        <v>22</v>
      </c>
      <c r="F208" s="61" t="s">
        <v>432</v>
      </c>
      <c r="G208" s="10"/>
    </row>
    <row r="209" spans="2:7" x14ac:dyDescent="0.25">
      <c r="B209" s="53" t="s">
        <v>386</v>
      </c>
      <c r="C209" s="10" t="s">
        <v>427</v>
      </c>
      <c r="D209" s="50">
        <v>256500</v>
      </c>
      <c r="E209" s="14">
        <v>28</v>
      </c>
      <c r="F209" s="61" t="s">
        <v>432</v>
      </c>
      <c r="G209" s="10"/>
    </row>
    <row r="210" spans="2:7" x14ac:dyDescent="0.25">
      <c r="B210" s="53" t="s">
        <v>386</v>
      </c>
      <c r="C210" s="10" t="s">
        <v>410</v>
      </c>
      <c r="D210" s="50">
        <v>0</v>
      </c>
      <c r="E210" s="14">
        <v>21</v>
      </c>
      <c r="F210" s="61" t="s">
        <v>432</v>
      </c>
      <c r="G210" s="10"/>
    </row>
    <row r="211" spans="2:7" x14ac:dyDescent="0.25">
      <c r="B211" s="53" t="s">
        <v>386</v>
      </c>
      <c r="C211" s="10" t="s">
        <v>427</v>
      </c>
      <c r="D211" s="50">
        <v>119000</v>
      </c>
      <c r="E211" s="14">
        <v>17</v>
      </c>
      <c r="F211" s="61" t="s">
        <v>432</v>
      </c>
      <c r="G211" s="10"/>
    </row>
    <row r="212" spans="2:7" x14ac:dyDescent="0.25">
      <c r="B212" s="53" t="s">
        <v>386</v>
      </c>
      <c r="C212" s="10" t="s">
        <v>410</v>
      </c>
      <c r="D212" s="50">
        <v>0</v>
      </c>
      <c r="E212" s="14">
        <v>5</v>
      </c>
      <c r="F212" s="61" t="s">
        <v>432</v>
      </c>
      <c r="G212" s="10"/>
    </row>
    <row r="213" spans="2:7" x14ac:dyDescent="0.25">
      <c r="B213" s="53" t="s">
        <v>386</v>
      </c>
      <c r="C213" s="10" t="s">
        <v>427</v>
      </c>
      <c r="D213" s="50">
        <v>110550</v>
      </c>
      <c r="E213" s="14">
        <v>10</v>
      </c>
      <c r="F213" s="61" t="s">
        <v>432</v>
      </c>
      <c r="G213" s="10"/>
    </row>
    <row r="214" spans="2:7" x14ac:dyDescent="0.25">
      <c r="B214" s="53" t="s">
        <v>386</v>
      </c>
      <c r="C214" s="10" t="s">
        <v>427</v>
      </c>
      <c r="D214" s="50">
        <v>111650</v>
      </c>
      <c r="E214" s="14">
        <v>13</v>
      </c>
      <c r="F214" s="61" t="s">
        <v>432</v>
      </c>
      <c r="G214" s="10"/>
    </row>
    <row r="215" spans="2:7" x14ac:dyDescent="0.25">
      <c r="B215" s="53" t="s">
        <v>386</v>
      </c>
      <c r="C215" s="10" t="s">
        <v>427</v>
      </c>
      <c r="D215" s="50">
        <v>129500</v>
      </c>
      <c r="E215" s="14">
        <v>8</v>
      </c>
      <c r="F215" s="61" t="s">
        <v>432</v>
      </c>
      <c r="G215" s="10"/>
    </row>
    <row r="216" spans="2:7" x14ac:dyDescent="0.25">
      <c r="B216" s="53" t="s">
        <v>386</v>
      </c>
      <c r="C216" s="10" t="s">
        <v>410</v>
      </c>
      <c r="D216" s="50">
        <v>0</v>
      </c>
      <c r="E216" s="14">
        <v>3</v>
      </c>
      <c r="F216" s="61" t="s">
        <v>432</v>
      </c>
      <c r="G216" s="10"/>
    </row>
    <row r="217" spans="2:7" x14ac:dyDescent="0.25">
      <c r="B217" s="53" t="s">
        <v>386</v>
      </c>
      <c r="C217" s="10" t="s">
        <v>427</v>
      </c>
      <c r="D217" s="58">
        <v>110550</v>
      </c>
      <c r="E217" s="14">
        <v>9</v>
      </c>
      <c r="F217" s="61" t="s">
        <v>432</v>
      </c>
      <c r="G217" s="10"/>
    </row>
    <row r="218" spans="2:7" x14ac:dyDescent="0.25">
      <c r="B218" s="54" t="s">
        <v>342</v>
      </c>
      <c r="C218" s="10" t="s">
        <v>427</v>
      </c>
      <c r="D218" s="57">
        <v>198700</v>
      </c>
      <c r="E218" s="14">
        <v>11</v>
      </c>
      <c r="F218" s="61" t="s">
        <v>432</v>
      </c>
      <c r="G218" s="10"/>
    </row>
    <row r="219" spans="2:7" x14ac:dyDescent="0.25">
      <c r="B219" s="54" t="s">
        <v>342</v>
      </c>
      <c r="C219" s="10" t="s">
        <v>410</v>
      </c>
      <c r="D219" s="50">
        <v>0</v>
      </c>
      <c r="E219" s="14">
        <v>23</v>
      </c>
      <c r="F219" s="61" t="s">
        <v>432</v>
      </c>
      <c r="G219" s="10"/>
    </row>
    <row r="220" spans="2:7" x14ac:dyDescent="0.25">
      <c r="B220" s="54" t="s">
        <v>342</v>
      </c>
      <c r="C220" s="10" t="s">
        <v>427</v>
      </c>
      <c r="D220" s="57">
        <v>114000</v>
      </c>
      <c r="E220" s="14">
        <v>2</v>
      </c>
      <c r="F220" s="61" t="s">
        <v>432</v>
      </c>
      <c r="G220" s="10"/>
    </row>
    <row r="221" spans="2:7" x14ac:dyDescent="0.25">
      <c r="B221" s="54" t="s">
        <v>342</v>
      </c>
      <c r="C221" s="10" t="s">
        <v>427</v>
      </c>
      <c r="D221" s="57">
        <v>49500</v>
      </c>
      <c r="E221" s="14">
        <v>19</v>
      </c>
      <c r="F221" s="61" t="s">
        <v>432</v>
      </c>
      <c r="G221" s="10"/>
    </row>
    <row r="222" spans="2:7" x14ac:dyDescent="0.25">
      <c r="B222" s="54" t="s">
        <v>342</v>
      </c>
      <c r="C222" s="10" t="s">
        <v>427</v>
      </c>
      <c r="D222" s="57">
        <v>142000</v>
      </c>
      <c r="E222" s="14">
        <v>27</v>
      </c>
      <c r="F222" s="61" t="s">
        <v>432</v>
      </c>
      <c r="G222" s="10"/>
    </row>
    <row r="223" spans="2:7" x14ac:dyDescent="0.25">
      <c r="B223" s="54" t="s">
        <v>342</v>
      </c>
      <c r="C223" s="10" t="s">
        <v>410</v>
      </c>
      <c r="D223" s="50">
        <v>0</v>
      </c>
      <c r="E223" s="14">
        <v>7</v>
      </c>
      <c r="F223" s="61" t="s">
        <v>432</v>
      </c>
      <c r="G223" s="10"/>
    </row>
    <row r="224" spans="2:7" x14ac:dyDescent="0.25">
      <c r="B224" s="54" t="s">
        <v>342</v>
      </c>
      <c r="C224" s="10" t="s">
        <v>427</v>
      </c>
      <c r="D224" s="57">
        <v>142200</v>
      </c>
      <c r="E224" s="14">
        <v>24</v>
      </c>
      <c r="F224" s="61" t="s">
        <v>432</v>
      </c>
      <c r="G224" s="10"/>
    </row>
    <row r="225" spans="2:7" x14ac:dyDescent="0.25">
      <c r="B225" s="54" t="s">
        <v>342</v>
      </c>
      <c r="C225" s="10" t="s">
        <v>427</v>
      </c>
      <c r="D225" s="57">
        <v>32700</v>
      </c>
      <c r="E225" s="14">
        <v>20</v>
      </c>
      <c r="F225" s="61" t="s">
        <v>432</v>
      </c>
      <c r="G225" s="10"/>
    </row>
    <row r="226" spans="2:7" x14ac:dyDescent="0.25">
      <c r="B226" s="54" t="s">
        <v>342</v>
      </c>
      <c r="C226" s="10" t="s">
        <v>427</v>
      </c>
      <c r="D226" s="57">
        <v>58500</v>
      </c>
      <c r="E226" s="14">
        <v>15</v>
      </c>
      <c r="F226" s="61" t="s">
        <v>432</v>
      </c>
      <c r="G226" s="10"/>
    </row>
    <row r="227" spans="2:7" x14ac:dyDescent="0.25">
      <c r="B227" s="54" t="s">
        <v>342</v>
      </c>
      <c r="C227" s="10" t="s">
        <v>427</v>
      </c>
      <c r="D227" s="57">
        <v>137500</v>
      </c>
      <c r="E227" s="14">
        <v>29</v>
      </c>
      <c r="F227" s="61" t="s">
        <v>432</v>
      </c>
      <c r="G227" s="10"/>
    </row>
    <row r="228" spans="2:7" x14ac:dyDescent="0.25">
      <c r="B228" s="54" t="s">
        <v>342</v>
      </c>
      <c r="C228" s="10" t="s">
        <v>427</v>
      </c>
      <c r="D228" s="57">
        <v>131000</v>
      </c>
      <c r="E228" s="14">
        <v>12</v>
      </c>
      <c r="F228" s="61" t="s">
        <v>432</v>
      </c>
      <c r="G228" s="10"/>
    </row>
    <row r="229" spans="2:7" x14ac:dyDescent="0.25">
      <c r="B229" s="54" t="s">
        <v>342</v>
      </c>
      <c r="C229" s="10" t="s">
        <v>427</v>
      </c>
      <c r="D229" s="57">
        <v>94600</v>
      </c>
      <c r="E229" s="14">
        <v>16</v>
      </c>
      <c r="F229" s="61" t="s">
        <v>432</v>
      </c>
      <c r="G229" s="10"/>
    </row>
    <row r="230" spans="2:7" x14ac:dyDescent="0.25">
      <c r="B230" s="54" t="s">
        <v>342</v>
      </c>
      <c r="C230" s="10" t="s">
        <v>427</v>
      </c>
      <c r="D230" s="57">
        <v>60500</v>
      </c>
      <c r="E230" s="14">
        <v>18</v>
      </c>
      <c r="F230" s="61" t="s">
        <v>432</v>
      </c>
      <c r="G230" s="10"/>
    </row>
    <row r="231" spans="2:7" x14ac:dyDescent="0.25">
      <c r="B231" s="54" t="s">
        <v>342</v>
      </c>
      <c r="C231" s="10" t="s">
        <v>427</v>
      </c>
      <c r="D231" s="57">
        <v>161500</v>
      </c>
      <c r="E231" s="14">
        <v>25</v>
      </c>
      <c r="F231" s="61" t="s">
        <v>432</v>
      </c>
      <c r="G231" s="10"/>
    </row>
    <row r="232" spans="2:7" x14ac:dyDescent="0.25">
      <c r="B232" s="54" t="s">
        <v>342</v>
      </c>
      <c r="C232" s="10" t="s">
        <v>427</v>
      </c>
      <c r="D232" s="57">
        <v>121500</v>
      </c>
      <c r="E232" s="14">
        <v>14</v>
      </c>
      <c r="F232" s="61" t="s">
        <v>432</v>
      </c>
      <c r="G232" s="10"/>
    </row>
    <row r="233" spans="2:7" x14ac:dyDescent="0.25">
      <c r="B233" s="54" t="s">
        <v>342</v>
      </c>
      <c r="C233" s="10" t="s">
        <v>427</v>
      </c>
      <c r="D233" s="57">
        <v>161500</v>
      </c>
      <c r="E233" s="14">
        <v>1</v>
      </c>
      <c r="F233" s="61" t="s">
        <v>432</v>
      </c>
      <c r="G233" s="10"/>
    </row>
    <row r="234" spans="2:7" x14ac:dyDescent="0.25">
      <c r="B234" s="54" t="s">
        <v>342</v>
      </c>
      <c r="C234" s="10" t="s">
        <v>427</v>
      </c>
      <c r="D234" s="57">
        <v>161500</v>
      </c>
      <c r="E234" s="14">
        <v>26</v>
      </c>
      <c r="F234" s="61" t="s">
        <v>432</v>
      </c>
      <c r="G234" s="10"/>
    </row>
    <row r="235" spans="2:7" x14ac:dyDescent="0.25">
      <c r="B235" s="54" t="s">
        <v>342</v>
      </c>
      <c r="C235" s="10" t="s">
        <v>427</v>
      </c>
      <c r="D235" s="57">
        <v>133000</v>
      </c>
      <c r="E235" s="14">
        <v>6</v>
      </c>
      <c r="F235" s="61" t="s">
        <v>432</v>
      </c>
      <c r="G235" s="10"/>
    </row>
    <row r="236" spans="2:7" x14ac:dyDescent="0.25">
      <c r="B236" s="54" t="s">
        <v>342</v>
      </c>
      <c r="C236" s="10" t="s">
        <v>410</v>
      </c>
      <c r="D236" s="50">
        <v>0</v>
      </c>
      <c r="E236" s="14">
        <v>4</v>
      </c>
      <c r="F236" s="61" t="s">
        <v>432</v>
      </c>
      <c r="G236" s="10"/>
    </row>
    <row r="237" spans="2:7" x14ac:dyDescent="0.25">
      <c r="B237" s="54" t="s">
        <v>342</v>
      </c>
      <c r="C237" s="10" t="s">
        <v>427</v>
      </c>
      <c r="D237" s="57">
        <v>125500</v>
      </c>
      <c r="E237" s="14">
        <v>22</v>
      </c>
      <c r="F237" s="61" t="s">
        <v>432</v>
      </c>
      <c r="G237" s="10"/>
    </row>
    <row r="238" spans="2:7" x14ac:dyDescent="0.25">
      <c r="B238" s="54" t="s">
        <v>342</v>
      </c>
      <c r="C238" s="10" t="s">
        <v>427</v>
      </c>
      <c r="D238" s="57">
        <v>142000</v>
      </c>
      <c r="E238" s="14">
        <v>28</v>
      </c>
      <c r="F238" s="61" t="s">
        <v>432</v>
      </c>
      <c r="G238" s="10"/>
    </row>
    <row r="239" spans="2:7" x14ac:dyDescent="0.25">
      <c r="B239" s="54" t="s">
        <v>342</v>
      </c>
      <c r="C239" s="10" t="s">
        <v>410</v>
      </c>
      <c r="D239" s="50">
        <v>0</v>
      </c>
      <c r="E239" s="14">
        <v>21</v>
      </c>
      <c r="F239" s="61" t="s">
        <v>432</v>
      </c>
      <c r="G239" s="10"/>
    </row>
    <row r="240" spans="2:7" x14ac:dyDescent="0.25">
      <c r="B240" s="54" t="s">
        <v>342</v>
      </c>
      <c r="C240" s="10" t="s">
        <v>427</v>
      </c>
      <c r="D240" s="57">
        <v>94600</v>
      </c>
      <c r="E240" s="14">
        <v>17</v>
      </c>
      <c r="F240" s="61" t="s">
        <v>432</v>
      </c>
      <c r="G240" s="10"/>
    </row>
    <row r="241" spans="2:7" x14ac:dyDescent="0.25">
      <c r="B241" s="54" t="s">
        <v>342</v>
      </c>
      <c r="C241" s="10" t="s">
        <v>410</v>
      </c>
      <c r="D241" s="50">
        <v>0</v>
      </c>
      <c r="E241" s="14">
        <v>5</v>
      </c>
      <c r="F241" s="61" t="s">
        <v>432</v>
      </c>
      <c r="G241" s="10"/>
    </row>
    <row r="242" spans="2:7" x14ac:dyDescent="0.25">
      <c r="B242" s="54" t="s">
        <v>342</v>
      </c>
      <c r="C242" s="10" t="s">
        <v>427</v>
      </c>
      <c r="D242" s="57">
        <v>60500</v>
      </c>
      <c r="E242" s="14">
        <v>10</v>
      </c>
      <c r="F242" s="61" t="s">
        <v>432</v>
      </c>
      <c r="G242" s="10"/>
    </row>
    <row r="243" spans="2:7" x14ac:dyDescent="0.25">
      <c r="B243" s="54" t="s">
        <v>342</v>
      </c>
      <c r="C243" s="10" t="s">
        <v>427</v>
      </c>
      <c r="D243" s="57">
        <v>63500</v>
      </c>
      <c r="E243" s="14">
        <v>13</v>
      </c>
      <c r="F243" s="61" t="s">
        <v>432</v>
      </c>
      <c r="G243" s="10"/>
    </row>
    <row r="244" spans="2:7" x14ac:dyDescent="0.25">
      <c r="B244" s="54" t="s">
        <v>342</v>
      </c>
      <c r="C244" s="10" t="s">
        <v>427</v>
      </c>
      <c r="D244" s="57">
        <v>77000</v>
      </c>
      <c r="E244" s="14">
        <v>8</v>
      </c>
      <c r="F244" s="61" t="s">
        <v>432</v>
      </c>
      <c r="G244" s="10"/>
    </row>
    <row r="245" spans="2:7" x14ac:dyDescent="0.25">
      <c r="B245" s="54" t="s">
        <v>342</v>
      </c>
      <c r="C245" s="10" t="s">
        <v>410</v>
      </c>
      <c r="D245" s="50">
        <v>0</v>
      </c>
      <c r="E245" s="14">
        <v>3</v>
      </c>
      <c r="F245" s="61" t="s">
        <v>432</v>
      </c>
      <c r="G245" s="10"/>
    </row>
    <row r="246" spans="2:7" x14ac:dyDescent="0.25">
      <c r="B246" s="54" t="s">
        <v>342</v>
      </c>
      <c r="C246" s="10" t="s">
        <v>427</v>
      </c>
      <c r="D246" s="45">
        <v>60500</v>
      </c>
      <c r="E246" s="14">
        <v>9</v>
      </c>
      <c r="F246" s="61" t="s">
        <v>432</v>
      </c>
      <c r="G246" s="10"/>
    </row>
    <row r="247" spans="2:7" x14ac:dyDescent="0.25">
      <c r="B247" s="53" t="s">
        <v>404</v>
      </c>
      <c r="C247" s="10" t="s">
        <v>427</v>
      </c>
      <c r="D247" s="50">
        <v>182000</v>
      </c>
      <c r="E247" s="14">
        <v>11</v>
      </c>
      <c r="F247" s="61" t="s">
        <v>432</v>
      </c>
      <c r="G247" s="10"/>
    </row>
    <row r="248" spans="2:7" x14ac:dyDescent="0.25">
      <c r="B248" s="53" t="s">
        <v>404</v>
      </c>
      <c r="C248" s="10" t="s">
        <v>410</v>
      </c>
      <c r="D248" s="50">
        <v>0</v>
      </c>
      <c r="E248" s="14">
        <v>23</v>
      </c>
      <c r="F248" s="61" t="s">
        <v>432</v>
      </c>
      <c r="G248" s="10"/>
    </row>
    <row r="249" spans="2:7" x14ac:dyDescent="0.25">
      <c r="B249" s="53" t="s">
        <v>404</v>
      </c>
      <c r="C249" s="10" t="s">
        <v>427</v>
      </c>
      <c r="D249" s="50">
        <v>38000</v>
      </c>
      <c r="E249" s="14">
        <v>2</v>
      </c>
      <c r="F249" s="61" t="s">
        <v>432</v>
      </c>
      <c r="G249" s="10"/>
    </row>
    <row r="250" spans="2:7" x14ac:dyDescent="0.25">
      <c r="B250" s="53" t="s">
        <v>404</v>
      </c>
      <c r="C250" s="10" t="s">
        <v>427</v>
      </c>
      <c r="D250" s="50">
        <v>36300</v>
      </c>
      <c r="E250" s="14">
        <v>19</v>
      </c>
      <c r="F250" s="61" t="s">
        <v>432</v>
      </c>
      <c r="G250" s="10"/>
    </row>
    <row r="251" spans="2:7" x14ac:dyDescent="0.25">
      <c r="B251" s="53" t="s">
        <v>404</v>
      </c>
      <c r="C251" s="10" t="s">
        <v>427</v>
      </c>
      <c r="D251" s="57">
        <v>49500</v>
      </c>
      <c r="E251" s="14">
        <v>27</v>
      </c>
      <c r="F251" s="61" t="s">
        <v>432</v>
      </c>
      <c r="G251" s="10"/>
    </row>
    <row r="252" spans="2:7" x14ac:dyDescent="0.25">
      <c r="B252" s="53" t="s">
        <v>404</v>
      </c>
      <c r="C252" s="10" t="s">
        <v>410</v>
      </c>
      <c r="D252" s="50">
        <v>0</v>
      </c>
      <c r="E252" s="14">
        <v>7</v>
      </c>
      <c r="F252" s="61" t="s">
        <v>432</v>
      </c>
      <c r="G252" s="10"/>
    </row>
    <row r="253" spans="2:7" x14ac:dyDescent="0.25">
      <c r="B253" s="53" t="s">
        <v>404</v>
      </c>
      <c r="C253" s="10" t="s">
        <v>427</v>
      </c>
      <c r="D253" s="50">
        <v>49500</v>
      </c>
      <c r="E253" s="14">
        <v>24</v>
      </c>
      <c r="F253" s="61" t="s">
        <v>432</v>
      </c>
      <c r="G253" s="10"/>
    </row>
    <row r="254" spans="2:7" x14ac:dyDescent="0.25">
      <c r="B254" s="53" t="s">
        <v>404</v>
      </c>
      <c r="C254" s="10" t="s">
        <v>427</v>
      </c>
      <c r="D254" s="50">
        <v>29000</v>
      </c>
      <c r="E254" s="14">
        <v>20</v>
      </c>
      <c r="F254" s="61" t="s">
        <v>432</v>
      </c>
      <c r="G254" s="10"/>
    </row>
    <row r="255" spans="2:7" x14ac:dyDescent="0.25">
      <c r="B255" s="53" t="s">
        <v>404</v>
      </c>
      <c r="C255" s="10" t="s">
        <v>427</v>
      </c>
      <c r="D255" s="50">
        <v>39000</v>
      </c>
      <c r="E255" s="14">
        <v>15</v>
      </c>
      <c r="F255" s="61" t="s">
        <v>432</v>
      </c>
      <c r="G255" s="10"/>
    </row>
    <row r="256" spans="2:7" x14ac:dyDescent="0.25">
      <c r="B256" s="53" t="s">
        <v>404</v>
      </c>
      <c r="C256" s="10" t="s">
        <v>427</v>
      </c>
      <c r="D256" s="50">
        <v>46000</v>
      </c>
      <c r="E256" s="14">
        <v>29</v>
      </c>
      <c r="F256" s="61" t="s">
        <v>432</v>
      </c>
      <c r="G256" s="10"/>
    </row>
    <row r="257" spans="2:7" x14ac:dyDescent="0.25">
      <c r="B257" s="53" t="s">
        <v>404</v>
      </c>
      <c r="C257" s="10" t="s">
        <v>427</v>
      </c>
      <c r="D257" s="50">
        <v>85500</v>
      </c>
      <c r="E257" s="14">
        <v>12</v>
      </c>
      <c r="F257" s="61" t="s">
        <v>432</v>
      </c>
      <c r="G257" s="10"/>
    </row>
    <row r="258" spans="2:7" x14ac:dyDescent="0.25">
      <c r="B258" s="53" t="s">
        <v>404</v>
      </c>
      <c r="C258" s="10" t="s">
        <v>427</v>
      </c>
      <c r="D258" s="50">
        <v>48500</v>
      </c>
      <c r="E258" s="14">
        <v>16</v>
      </c>
      <c r="F258" s="61" t="s">
        <v>432</v>
      </c>
      <c r="G258" s="10"/>
    </row>
    <row r="259" spans="2:7" x14ac:dyDescent="0.25">
      <c r="B259" s="53" t="s">
        <v>404</v>
      </c>
      <c r="C259" s="10" t="s">
        <v>427</v>
      </c>
      <c r="D259" s="50">
        <v>40500</v>
      </c>
      <c r="E259" s="14">
        <v>18</v>
      </c>
      <c r="F259" s="61" t="s">
        <v>432</v>
      </c>
      <c r="G259" s="10"/>
    </row>
    <row r="260" spans="2:7" x14ac:dyDescent="0.25">
      <c r="B260" s="53" t="s">
        <v>404</v>
      </c>
      <c r="C260" s="10" t="s">
        <v>427</v>
      </c>
      <c r="D260" s="50">
        <v>54600</v>
      </c>
      <c r="E260" s="14">
        <v>25</v>
      </c>
      <c r="F260" s="61" t="s">
        <v>432</v>
      </c>
      <c r="G260" s="10"/>
    </row>
    <row r="261" spans="2:7" x14ac:dyDescent="0.25">
      <c r="B261" s="53" t="s">
        <v>404</v>
      </c>
      <c r="C261" s="10" t="s">
        <v>427</v>
      </c>
      <c r="D261" s="50">
        <v>58500</v>
      </c>
      <c r="E261" s="14">
        <v>14</v>
      </c>
      <c r="F261" s="61" t="s">
        <v>432</v>
      </c>
      <c r="G261" s="10"/>
    </row>
    <row r="262" spans="2:7" x14ac:dyDescent="0.25">
      <c r="B262" s="53" t="s">
        <v>404</v>
      </c>
      <c r="C262" s="10" t="s">
        <v>427</v>
      </c>
      <c r="D262" s="50">
        <v>54600</v>
      </c>
      <c r="E262" s="14">
        <v>1</v>
      </c>
      <c r="F262" s="61" t="s">
        <v>432</v>
      </c>
      <c r="G262" s="10"/>
    </row>
    <row r="263" spans="2:7" x14ac:dyDescent="0.25">
      <c r="B263" s="53" t="s">
        <v>404</v>
      </c>
      <c r="C263" s="10" t="s">
        <v>427</v>
      </c>
      <c r="D263" s="50">
        <v>54600</v>
      </c>
      <c r="E263" s="14">
        <v>26</v>
      </c>
      <c r="F263" s="61" t="s">
        <v>432</v>
      </c>
      <c r="G263" s="10"/>
    </row>
    <row r="264" spans="2:7" x14ac:dyDescent="0.25">
      <c r="B264" s="53" t="s">
        <v>404</v>
      </c>
      <c r="C264" s="10" t="s">
        <v>427</v>
      </c>
      <c r="D264" s="50">
        <v>46000</v>
      </c>
      <c r="E264" s="14">
        <v>6</v>
      </c>
      <c r="F264" s="61" t="s">
        <v>432</v>
      </c>
      <c r="G264" s="10"/>
    </row>
    <row r="265" spans="2:7" x14ac:dyDescent="0.25">
      <c r="B265" s="53" t="s">
        <v>404</v>
      </c>
      <c r="C265" s="10" t="s">
        <v>410</v>
      </c>
      <c r="D265" s="50">
        <v>0</v>
      </c>
      <c r="E265" s="14">
        <v>4</v>
      </c>
      <c r="F265" s="61" t="s">
        <v>432</v>
      </c>
      <c r="G265" s="10"/>
    </row>
    <row r="266" spans="2:7" x14ac:dyDescent="0.25">
      <c r="B266" s="53" t="s">
        <v>404</v>
      </c>
      <c r="C266" s="10" t="s">
        <v>427</v>
      </c>
      <c r="D266" s="50">
        <v>44500</v>
      </c>
      <c r="E266" s="14">
        <v>22</v>
      </c>
      <c r="F266" s="61" t="s">
        <v>432</v>
      </c>
      <c r="G266" s="10"/>
    </row>
    <row r="267" spans="2:7" x14ac:dyDescent="0.25">
      <c r="B267" s="53" t="s">
        <v>404</v>
      </c>
      <c r="C267" s="10" t="s">
        <v>427</v>
      </c>
      <c r="D267" s="57">
        <v>49500</v>
      </c>
      <c r="E267" s="14">
        <v>28</v>
      </c>
      <c r="F267" s="61" t="s">
        <v>432</v>
      </c>
      <c r="G267" s="10"/>
    </row>
    <row r="268" spans="2:7" x14ac:dyDescent="0.25">
      <c r="B268" s="53" t="s">
        <v>404</v>
      </c>
      <c r="C268" s="10" t="s">
        <v>410</v>
      </c>
      <c r="D268" s="50">
        <v>0</v>
      </c>
      <c r="E268" s="14">
        <v>21</v>
      </c>
      <c r="F268" s="61" t="s">
        <v>432</v>
      </c>
      <c r="G268" s="10"/>
    </row>
    <row r="269" spans="2:7" x14ac:dyDescent="0.25">
      <c r="B269" s="53" t="s">
        <v>404</v>
      </c>
      <c r="C269" s="10" t="s">
        <v>427</v>
      </c>
      <c r="D269" s="50">
        <v>48500</v>
      </c>
      <c r="E269" s="14">
        <v>17</v>
      </c>
      <c r="F269" s="61" t="s">
        <v>432</v>
      </c>
      <c r="G269" s="10"/>
    </row>
    <row r="270" spans="2:7" x14ac:dyDescent="0.25">
      <c r="B270" s="53" t="s">
        <v>404</v>
      </c>
      <c r="C270" s="10" t="s">
        <v>410</v>
      </c>
      <c r="D270" s="50">
        <v>0</v>
      </c>
      <c r="E270" s="14">
        <v>5</v>
      </c>
      <c r="F270" s="61" t="s">
        <v>432</v>
      </c>
      <c r="G270" s="10"/>
    </row>
    <row r="271" spans="2:7" x14ac:dyDescent="0.25">
      <c r="B271" s="53" t="s">
        <v>404</v>
      </c>
      <c r="C271" s="10" t="s">
        <v>427</v>
      </c>
      <c r="D271" s="50">
        <v>40500</v>
      </c>
      <c r="E271" s="14">
        <v>10</v>
      </c>
      <c r="F271" s="61" t="s">
        <v>432</v>
      </c>
      <c r="G271" s="10"/>
    </row>
    <row r="272" spans="2:7" x14ac:dyDescent="0.25">
      <c r="B272" s="53" t="s">
        <v>404</v>
      </c>
      <c r="C272" s="10" t="s">
        <v>427</v>
      </c>
      <c r="D272" s="50">
        <v>41500</v>
      </c>
      <c r="E272" s="14">
        <v>13</v>
      </c>
      <c r="F272" s="61" t="s">
        <v>432</v>
      </c>
      <c r="G272" s="10"/>
    </row>
    <row r="273" spans="2:7" x14ac:dyDescent="0.25">
      <c r="B273" s="53" t="s">
        <v>404</v>
      </c>
      <c r="C273" s="10" t="s">
        <v>427</v>
      </c>
      <c r="D273" s="50">
        <v>55700</v>
      </c>
      <c r="E273" s="14">
        <v>8</v>
      </c>
      <c r="F273" s="61" t="s">
        <v>432</v>
      </c>
      <c r="G273" s="10"/>
    </row>
    <row r="274" spans="2:7" x14ac:dyDescent="0.25">
      <c r="B274" s="53" t="s">
        <v>404</v>
      </c>
      <c r="C274" s="10" t="s">
        <v>410</v>
      </c>
      <c r="D274" s="50">
        <v>0</v>
      </c>
      <c r="E274" s="14">
        <v>3</v>
      </c>
      <c r="F274" s="61" t="s">
        <v>432</v>
      </c>
      <c r="G274" s="10"/>
    </row>
    <row r="275" spans="2:7" x14ac:dyDescent="0.25">
      <c r="B275" s="53" t="s">
        <v>404</v>
      </c>
      <c r="C275" s="10" t="s">
        <v>427</v>
      </c>
      <c r="D275" s="58">
        <v>40500</v>
      </c>
      <c r="E275" s="14">
        <v>9</v>
      </c>
      <c r="F275" s="61" t="s">
        <v>432</v>
      </c>
      <c r="G275" s="10"/>
    </row>
    <row r="276" spans="2:7" x14ac:dyDescent="0.25">
      <c r="B276" s="56" t="s">
        <v>412</v>
      </c>
      <c r="C276" s="10" t="s">
        <v>430</v>
      </c>
      <c r="D276" s="50">
        <v>0</v>
      </c>
      <c r="E276" s="14">
        <v>11</v>
      </c>
      <c r="F276" s="61" t="s">
        <v>431</v>
      </c>
      <c r="G276" s="10"/>
    </row>
    <row r="277" spans="2:7" x14ac:dyDescent="0.25">
      <c r="B277" s="56" t="s">
        <v>412</v>
      </c>
      <c r="C277" s="10" t="s">
        <v>410</v>
      </c>
      <c r="D277" s="50">
        <v>0</v>
      </c>
      <c r="E277" s="14">
        <v>23</v>
      </c>
      <c r="F277" s="61" t="s">
        <v>431</v>
      </c>
      <c r="G277" s="10"/>
    </row>
    <row r="278" spans="2:7" x14ac:dyDescent="0.25">
      <c r="B278" s="56" t="s">
        <v>412</v>
      </c>
      <c r="C278" s="10" t="s">
        <v>430</v>
      </c>
      <c r="D278" s="50">
        <v>0</v>
      </c>
      <c r="E278" s="14">
        <v>2</v>
      </c>
      <c r="F278" s="61" t="s">
        <v>431</v>
      </c>
      <c r="G278" s="10"/>
    </row>
    <row r="279" spans="2:7" x14ac:dyDescent="0.25">
      <c r="B279" s="56" t="s">
        <v>412</v>
      </c>
      <c r="C279" s="10" t="s">
        <v>430</v>
      </c>
      <c r="D279" s="50">
        <v>0</v>
      </c>
      <c r="E279" s="14">
        <v>19</v>
      </c>
      <c r="F279" s="61" t="s">
        <v>431</v>
      </c>
      <c r="G279" s="10"/>
    </row>
    <row r="280" spans="2:7" x14ac:dyDescent="0.25">
      <c r="B280" s="56" t="s">
        <v>412</v>
      </c>
      <c r="C280" s="10" t="s">
        <v>430</v>
      </c>
      <c r="D280" s="50">
        <v>0</v>
      </c>
      <c r="E280" s="14">
        <v>27</v>
      </c>
      <c r="F280" s="61" t="s">
        <v>431</v>
      </c>
      <c r="G280" s="10"/>
    </row>
    <row r="281" spans="2:7" x14ac:dyDescent="0.25">
      <c r="B281" s="56" t="s">
        <v>412</v>
      </c>
      <c r="C281" s="10" t="s">
        <v>410</v>
      </c>
      <c r="D281" s="50">
        <v>0</v>
      </c>
      <c r="E281" s="14">
        <v>7</v>
      </c>
      <c r="F281" s="61" t="s">
        <v>431</v>
      </c>
      <c r="G281" s="10"/>
    </row>
    <row r="282" spans="2:7" x14ac:dyDescent="0.25">
      <c r="B282" s="56" t="s">
        <v>412</v>
      </c>
      <c r="C282" s="10" t="s">
        <v>430</v>
      </c>
      <c r="D282" s="50">
        <v>0</v>
      </c>
      <c r="E282" s="14">
        <v>24</v>
      </c>
      <c r="F282" s="61" t="s">
        <v>431</v>
      </c>
      <c r="G282" s="10"/>
    </row>
    <row r="283" spans="2:7" x14ac:dyDescent="0.25">
      <c r="B283" s="56" t="s">
        <v>412</v>
      </c>
      <c r="C283" s="10" t="s">
        <v>430</v>
      </c>
      <c r="D283" s="50">
        <v>0</v>
      </c>
      <c r="E283" s="14">
        <v>20</v>
      </c>
      <c r="F283" s="61" t="s">
        <v>431</v>
      </c>
      <c r="G283" s="10"/>
    </row>
    <row r="284" spans="2:7" x14ac:dyDescent="0.25">
      <c r="B284" s="56" t="s">
        <v>412</v>
      </c>
      <c r="C284" s="10" t="s">
        <v>430</v>
      </c>
      <c r="D284" s="50">
        <v>0</v>
      </c>
      <c r="E284" s="14">
        <v>15</v>
      </c>
      <c r="F284" s="61" t="s">
        <v>431</v>
      </c>
      <c r="G284" s="10"/>
    </row>
    <row r="285" spans="2:7" x14ac:dyDescent="0.25">
      <c r="B285" s="56" t="s">
        <v>412</v>
      </c>
      <c r="C285" s="10" t="s">
        <v>430</v>
      </c>
      <c r="D285" s="50">
        <v>0</v>
      </c>
      <c r="E285" s="14">
        <v>29</v>
      </c>
      <c r="F285" s="61" t="s">
        <v>431</v>
      </c>
      <c r="G285" s="10"/>
    </row>
    <row r="286" spans="2:7" x14ac:dyDescent="0.25">
      <c r="B286" s="56" t="s">
        <v>412</v>
      </c>
      <c r="C286" s="10" t="s">
        <v>430</v>
      </c>
      <c r="D286" s="50">
        <v>0</v>
      </c>
      <c r="E286" s="14">
        <v>12</v>
      </c>
      <c r="F286" s="61" t="s">
        <v>431</v>
      </c>
      <c r="G286" s="10"/>
    </row>
    <row r="287" spans="2:7" x14ac:dyDescent="0.25">
      <c r="B287" s="56" t="s">
        <v>412</v>
      </c>
      <c r="C287" s="10" t="s">
        <v>430</v>
      </c>
      <c r="D287" s="50">
        <v>0</v>
      </c>
      <c r="E287" s="14">
        <v>16</v>
      </c>
      <c r="F287" s="61" t="s">
        <v>431</v>
      </c>
      <c r="G287" s="10"/>
    </row>
    <row r="288" spans="2:7" x14ac:dyDescent="0.25">
      <c r="B288" s="56" t="s">
        <v>412</v>
      </c>
      <c r="C288" s="10" t="s">
        <v>430</v>
      </c>
      <c r="D288" s="50">
        <v>0</v>
      </c>
      <c r="E288" s="14">
        <v>18</v>
      </c>
      <c r="F288" s="61" t="s">
        <v>431</v>
      </c>
      <c r="G288" s="10"/>
    </row>
    <row r="289" spans="2:7" x14ac:dyDescent="0.25">
      <c r="B289" s="56" t="s">
        <v>412</v>
      </c>
      <c r="C289" s="10" t="s">
        <v>430</v>
      </c>
      <c r="D289" s="50">
        <v>0</v>
      </c>
      <c r="E289" s="14">
        <v>25</v>
      </c>
      <c r="F289" s="61" t="s">
        <v>431</v>
      </c>
      <c r="G289" s="10"/>
    </row>
    <row r="290" spans="2:7" x14ac:dyDescent="0.25">
      <c r="B290" s="56" t="s">
        <v>412</v>
      </c>
      <c r="C290" s="10" t="s">
        <v>430</v>
      </c>
      <c r="D290" s="50">
        <v>0</v>
      </c>
      <c r="E290" s="14">
        <v>14</v>
      </c>
      <c r="F290" s="61" t="s">
        <v>431</v>
      </c>
      <c r="G290" s="10"/>
    </row>
    <row r="291" spans="2:7" x14ac:dyDescent="0.25">
      <c r="B291" s="56" t="s">
        <v>412</v>
      </c>
      <c r="C291" s="10" t="s">
        <v>430</v>
      </c>
      <c r="D291" s="50">
        <v>0</v>
      </c>
      <c r="E291" s="14">
        <v>1</v>
      </c>
      <c r="F291" s="61" t="s">
        <v>431</v>
      </c>
      <c r="G291" s="10"/>
    </row>
    <row r="292" spans="2:7" x14ac:dyDescent="0.25">
      <c r="B292" s="56" t="s">
        <v>412</v>
      </c>
      <c r="C292" s="10" t="s">
        <v>430</v>
      </c>
      <c r="D292" s="50">
        <v>0</v>
      </c>
      <c r="E292" s="14">
        <v>26</v>
      </c>
      <c r="F292" s="61" t="s">
        <v>431</v>
      </c>
      <c r="G292" s="10"/>
    </row>
    <row r="293" spans="2:7" x14ac:dyDescent="0.25">
      <c r="B293" s="56" t="s">
        <v>412</v>
      </c>
      <c r="C293" s="10" t="s">
        <v>430</v>
      </c>
      <c r="D293" s="50">
        <v>0</v>
      </c>
      <c r="E293" s="14">
        <v>6</v>
      </c>
      <c r="F293" s="61" t="s">
        <v>431</v>
      </c>
      <c r="G293" s="10"/>
    </row>
    <row r="294" spans="2:7" x14ac:dyDescent="0.25">
      <c r="B294" s="56" t="s">
        <v>412</v>
      </c>
      <c r="C294" s="10" t="s">
        <v>410</v>
      </c>
      <c r="D294" s="50">
        <v>0</v>
      </c>
      <c r="E294" s="14">
        <v>4</v>
      </c>
      <c r="F294" s="61" t="s">
        <v>431</v>
      </c>
      <c r="G294" s="10"/>
    </row>
    <row r="295" spans="2:7" x14ac:dyDescent="0.25">
      <c r="B295" s="56" t="s">
        <v>412</v>
      </c>
      <c r="C295" s="10" t="s">
        <v>430</v>
      </c>
      <c r="D295" s="50">
        <v>0</v>
      </c>
      <c r="E295" s="14">
        <v>22</v>
      </c>
      <c r="F295" s="61" t="s">
        <v>431</v>
      </c>
      <c r="G295" s="10"/>
    </row>
    <row r="296" spans="2:7" x14ac:dyDescent="0.25">
      <c r="B296" s="56" t="s">
        <v>412</v>
      </c>
      <c r="C296" s="10" t="s">
        <v>430</v>
      </c>
      <c r="D296" s="50">
        <v>0</v>
      </c>
      <c r="E296" s="14">
        <v>28</v>
      </c>
      <c r="F296" s="61" t="s">
        <v>431</v>
      </c>
      <c r="G296" s="10"/>
    </row>
    <row r="297" spans="2:7" x14ac:dyDescent="0.25">
      <c r="B297" s="56" t="s">
        <v>412</v>
      </c>
      <c r="C297" s="10" t="s">
        <v>410</v>
      </c>
      <c r="D297" s="50">
        <v>0</v>
      </c>
      <c r="E297" s="14">
        <v>21</v>
      </c>
      <c r="F297" s="61" t="s">
        <v>431</v>
      </c>
      <c r="G297" s="10"/>
    </row>
    <row r="298" spans="2:7" x14ac:dyDescent="0.25">
      <c r="B298" s="56" t="s">
        <v>412</v>
      </c>
      <c r="C298" s="10" t="s">
        <v>430</v>
      </c>
      <c r="D298" s="50">
        <v>0</v>
      </c>
      <c r="E298" s="14">
        <v>17</v>
      </c>
      <c r="F298" s="61" t="s">
        <v>431</v>
      </c>
      <c r="G298" s="10"/>
    </row>
    <row r="299" spans="2:7" x14ac:dyDescent="0.25">
      <c r="B299" s="56" t="s">
        <v>412</v>
      </c>
      <c r="C299" s="10" t="s">
        <v>410</v>
      </c>
      <c r="D299" s="50">
        <v>0</v>
      </c>
      <c r="E299" s="14">
        <v>5</v>
      </c>
      <c r="F299" s="61" t="s">
        <v>431</v>
      </c>
      <c r="G299" s="10"/>
    </row>
    <row r="300" spans="2:7" x14ac:dyDescent="0.25">
      <c r="B300" s="56" t="s">
        <v>412</v>
      </c>
      <c r="C300" s="10" t="s">
        <v>430</v>
      </c>
      <c r="D300" s="50">
        <v>0</v>
      </c>
      <c r="E300" s="14">
        <v>10</v>
      </c>
      <c r="F300" s="61" t="s">
        <v>431</v>
      </c>
      <c r="G300" s="10"/>
    </row>
    <row r="301" spans="2:7" x14ac:dyDescent="0.25">
      <c r="B301" s="56" t="s">
        <v>412</v>
      </c>
      <c r="C301" s="10" t="s">
        <v>430</v>
      </c>
      <c r="D301" s="50">
        <v>0</v>
      </c>
      <c r="E301" s="14">
        <v>13</v>
      </c>
      <c r="F301" s="61" t="s">
        <v>431</v>
      </c>
      <c r="G301" s="10"/>
    </row>
    <row r="302" spans="2:7" x14ac:dyDescent="0.25">
      <c r="B302" s="56" t="s">
        <v>412</v>
      </c>
      <c r="C302" s="10" t="s">
        <v>430</v>
      </c>
      <c r="D302" s="50">
        <v>0</v>
      </c>
      <c r="E302" s="14">
        <v>8</v>
      </c>
      <c r="F302" s="61" t="s">
        <v>431</v>
      </c>
      <c r="G302" s="10"/>
    </row>
    <row r="303" spans="2:7" x14ac:dyDescent="0.25">
      <c r="B303" s="56" t="s">
        <v>412</v>
      </c>
      <c r="C303" s="10" t="s">
        <v>410</v>
      </c>
      <c r="D303" s="50">
        <v>0</v>
      </c>
      <c r="E303" s="14">
        <v>3</v>
      </c>
      <c r="F303" s="61" t="s">
        <v>431</v>
      </c>
      <c r="G303" s="10"/>
    </row>
    <row r="304" spans="2:7" x14ac:dyDescent="0.25">
      <c r="B304" s="56" t="s">
        <v>412</v>
      </c>
      <c r="C304" s="10" t="s">
        <v>430</v>
      </c>
      <c r="D304" s="50">
        <v>0</v>
      </c>
      <c r="E304" s="14">
        <v>9</v>
      </c>
      <c r="F304" s="61" t="s">
        <v>431</v>
      </c>
      <c r="G304" s="10"/>
    </row>
  </sheetData>
  <conditionalFormatting sqref="D2">
    <cfRule type="duplicateValues" dxfId="48" priority="22"/>
  </conditionalFormatting>
  <conditionalFormatting sqref="E2:AF2">
    <cfRule type="duplicateValues" dxfId="47" priority="21"/>
  </conditionalFormatting>
  <pageMargins left="0.7" right="0.7" top="0.75" bottom="0.75" header="0.3" footer="0.3"/>
  <pageSetup paperSize="9" orientation="portrait" horizontalDpi="4294967293" verticalDpi="0" r:id="rId1"/>
  <ignoredErrors>
    <ignoredError sqref="E4:E12 H3:H7 I3:I12 V3:V12 Y3:Y12 AA3:AA12 H8:H12" calculatedColumn="1"/>
  </ignoredErrors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70C0"/>
  </sheetPr>
  <dimension ref="A1:L31"/>
  <sheetViews>
    <sheetView workbookViewId="0">
      <selection activeCell="C3" sqref="C3:C13"/>
    </sheetView>
  </sheetViews>
  <sheetFormatPr defaultRowHeight="15" x14ac:dyDescent="0.25"/>
  <cols>
    <col min="2" max="2" width="18.42578125" customWidth="1"/>
    <col min="3" max="3" width="15.5703125" customWidth="1"/>
    <col min="6" max="6" width="15.42578125" bestFit="1" customWidth="1"/>
    <col min="7" max="7" width="9.42578125" bestFit="1" customWidth="1"/>
    <col min="11" max="11" width="18.28515625" bestFit="1" customWidth="1"/>
  </cols>
  <sheetData>
    <row r="1" spans="1:12" x14ac:dyDescent="0.25">
      <c r="A1" s="66" t="s">
        <v>417</v>
      </c>
      <c r="B1" s="66"/>
      <c r="C1" s="66"/>
      <c r="D1" s="66"/>
      <c r="E1" s="66"/>
      <c r="F1" s="66"/>
    </row>
    <row r="2" spans="1:12" x14ac:dyDescent="0.25">
      <c r="A2" s="1" t="s">
        <v>194</v>
      </c>
      <c r="B2" s="1" t="s">
        <v>54</v>
      </c>
      <c r="C2" s="1" t="s">
        <v>416</v>
      </c>
      <c r="F2" t="s">
        <v>422</v>
      </c>
      <c r="G2" t="s">
        <v>423</v>
      </c>
      <c r="H2" t="s">
        <v>424</v>
      </c>
      <c r="K2" t="s">
        <v>165</v>
      </c>
      <c r="L2">
        <v>1</v>
      </c>
    </row>
    <row r="3" spans="1:12" x14ac:dyDescent="0.25">
      <c r="A3">
        <v>1</v>
      </c>
      <c r="B3" t="s">
        <v>115</v>
      </c>
      <c r="C3" s="33">
        <v>175000</v>
      </c>
      <c r="G3">
        <f>VLOOKUP(Tbl_Min_Pricelist[[#This Row],[City_Municipal]],$K$2:$L$30,2,0)</f>
        <v>11</v>
      </c>
      <c r="H3" s="45">
        <v>175000</v>
      </c>
      <c r="K3" t="s">
        <v>156</v>
      </c>
      <c r="L3">
        <v>2</v>
      </c>
    </row>
    <row r="4" spans="1:12" x14ac:dyDescent="0.25">
      <c r="A4">
        <v>2</v>
      </c>
      <c r="B4" t="s">
        <v>181</v>
      </c>
      <c r="C4">
        <v>0</v>
      </c>
      <c r="G4">
        <f>VLOOKUP(Tbl_Min_Pricelist[[#This Row],[City_Municipal]],$K$2:$L$30,2,0)</f>
        <v>23</v>
      </c>
      <c r="H4" s="46">
        <v>0</v>
      </c>
      <c r="K4" t="s">
        <v>159</v>
      </c>
      <c r="L4">
        <v>3</v>
      </c>
    </row>
    <row r="5" spans="1:12" x14ac:dyDescent="0.25">
      <c r="A5">
        <v>3</v>
      </c>
      <c r="B5" t="s">
        <v>156</v>
      </c>
      <c r="C5" s="33">
        <v>57500</v>
      </c>
      <c r="G5">
        <f>VLOOKUP(Tbl_Min_Pricelist[[#This Row],[City_Municipal]],$K$2:$L$30,2,0)</f>
        <v>2</v>
      </c>
      <c r="H5" s="45">
        <v>57500</v>
      </c>
      <c r="K5" t="s">
        <v>187</v>
      </c>
      <c r="L5">
        <v>4</v>
      </c>
    </row>
    <row r="6" spans="1:12" x14ac:dyDescent="0.25">
      <c r="A6">
        <v>4</v>
      </c>
      <c r="B6" t="s">
        <v>57</v>
      </c>
      <c r="C6" s="33">
        <v>57500</v>
      </c>
      <c r="G6">
        <f>VLOOKUP(Tbl_Min_Pricelist[[#This Row],[City_Municipal]],$K$2:$L$30,2,0)</f>
        <v>19</v>
      </c>
      <c r="H6" s="47">
        <v>57500</v>
      </c>
      <c r="K6" t="s">
        <v>169</v>
      </c>
      <c r="L6">
        <v>5</v>
      </c>
    </row>
    <row r="7" spans="1:12" x14ac:dyDescent="0.25">
      <c r="A7">
        <v>5</v>
      </c>
      <c r="B7" t="s">
        <v>144</v>
      </c>
      <c r="C7" s="33">
        <v>84600</v>
      </c>
      <c r="G7">
        <f>VLOOKUP(Tbl_Min_Pricelist[[#This Row],[City_Municipal]],$K$2:$L$30,2,0)</f>
        <v>27</v>
      </c>
      <c r="H7" s="45">
        <v>84600</v>
      </c>
      <c r="K7" t="s">
        <v>128</v>
      </c>
      <c r="L7">
        <v>6</v>
      </c>
    </row>
    <row r="8" spans="1:12" x14ac:dyDescent="0.25">
      <c r="A8">
        <v>6</v>
      </c>
      <c r="B8" t="s">
        <v>184</v>
      </c>
      <c r="C8">
        <v>0</v>
      </c>
      <c r="G8">
        <f>VLOOKUP(Tbl_Min_Pricelist[[#This Row],[City_Municipal]],$K$2:$L$30,2,0)</f>
        <v>7</v>
      </c>
      <c r="H8" s="46">
        <v>0</v>
      </c>
      <c r="K8" t="s">
        <v>184</v>
      </c>
      <c r="L8">
        <v>7</v>
      </c>
    </row>
    <row r="9" spans="1:12" x14ac:dyDescent="0.25">
      <c r="A9">
        <v>7</v>
      </c>
      <c r="B9" t="s">
        <v>146</v>
      </c>
      <c r="C9" s="33">
        <v>83000</v>
      </c>
      <c r="G9">
        <f>VLOOKUP(Tbl_Min_Pricelist[[#This Row],[City_Municipal]],$K$2:$L$30,2,0)</f>
        <v>24</v>
      </c>
      <c r="H9" s="45">
        <v>83000</v>
      </c>
      <c r="K9" t="s">
        <v>96</v>
      </c>
      <c r="L9">
        <v>8</v>
      </c>
    </row>
    <row r="10" spans="1:12" x14ac:dyDescent="0.25">
      <c r="A10">
        <v>8</v>
      </c>
      <c r="B10" t="s">
        <v>70</v>
      </c>
      <c r="C10" s="33">
        <v>48500</v>
      </c>
      <c r="G10">
        <f>VLOOKUP(Tbl_Min_Pricelist[[#This Row],[City_Municipal]],$K$2:$L$30,2,0)</f>
        <v>20</v>
      </c>
      <c r="H10" s="47">
        <v>48500</v>
      </c>
      <c r="K10" t="s">
        <v>73</v>
      </c>
      <c r="L10">
        <v>9</v>
      </c>
    </row>
    <row r="11" spans="1:12" x14ac:dyDescent="0.25">
      <c r="A11">
        <v>9</v>
      </c>
      <c r="B11" t="s">
        <v>69</v>
      </c>
      <c r="C11" s="33">
        <v>61600</v>
      </c>
      <c r="G11">
        <f>VLOOKUP(Tbl_Min_Pricelist[[#This Row],[City_Municipal]],$K$2:$L$30,2,0)</f>
        <v>15</v>
      </c>
      <c r="H11" s="45">
        <v>61600</v>
      </c>
      <c r="K11" t="s">
        <v>87</v>
      </c>
      <c r="L11">
        <v>10</v>
      </c>
    </row>
    <row r="12" spans="1:12" x14ac:dyDescent="0.25">
      <c r="A12">
        <v>10</v>
      </c>
      <c r="B12" t="s">
        <v>135</v>
      </c>
      <c r="C12" s="33">
        <v>69500</v>
      </c>
      <c r="G12">
        <f>VLOOKUP(Tbl_Min_Pricelist[[#This Row],[City_Municipal]],$K$2:$L$30,2,0)</f>
        <v>29</v>
      </c>
      <c r="H12" s="47">
        <v>69500</v>
      </c>
      <c r="K12" t="s">
        <v>115</v>
      </c>
      <c r="L12">
        <v>11</v>
      </c>
    </row>
    <row r="13" spans="1:12" x14ac:dyDescent="0.25">
      <c r="A13">
        <v>11</v>
      </c>
      <c r="B13" t="s">
        <v>112</v>
      </c>
      <c r="C13" s="33">
        <v>85500</v>
      </c>
      <c r="G13">
        <f>VLOOKUP(Tbl_Min_Pricelist[[#This Row],[City_Municipal]],$K$2:$L$30,2,0)</f>
        <v>12</v>
      </c>
      <c r="H13" s="45">
        <v>85500</v>
      </c>
      <c r="K13" t="s">
        <v>112</v>
      </c>
      <c r="L13">
        <v>12</v>
      </c>
    </row>
    <row r="14" spans="1:12" x14ac:dyDescent="0.25">
      <c r="A14">
        <v>12</v>
      </c>
      <c r="B14" t="s">
        <v>85</v>
      </c>
      <c r="C14" s="33">
        <v>72600</v>
      </c>
      <c r="G14">
        <f>VLOOKUP(Tbl_Min_Pricelist[[#This Row],[City_Municipal]],$K$2:$L$30,2,0)</f>
        <v>16</v>
      </c>
      <c r="H14" s="47">
        <v>72600</v>
      </c>
      <c r="K14" t="s">
        <v>79</v>
      </c>
      <c r="L14">
        <v>13</v>
      </c>
    </row>
    <row r="15" spans="1:12" x14ac:dyDescent="0.25">
      <c r="A15">
        <v>13</v>
      </c>
      <c r="B15" t="s">
        <v>94</v>
      </c>
      <c r="C15" s="33">
        <v>70500</v>
      </c>
      <c r="G15">
        <f>VLOOKUP(Tbl_Min_Pricelist[[#This Row],[City_Municipal]],$K$2:$L$30,2,0)</f>
        <v>18</v>
      </c>
      <c r="H15" s="45">
        <v>70500</v>
      </c>
      <c r="K15" t="s">
        <v>114</v>
      </c>
      <c r="L15">
        <v>14</v>
      </c>
    </row>
    <row r="16" spans="1:12" x14ac:dyDescent="0.25">
      <c r="A16">
        <v>14</v>
      </c>
      <c r="B16" t="s">
        <v>162</v>
      </c>
      <c r="C16" s="33">
        <v>94000</v>
      </c>
      <c r="G16">
        <f>VLOOKUP(Tbl_Min_Pricelist[[#This Row],[City_Municipal]],$K$2:$L$30,2,0)</f>
        <v>25</v>
      </c>
      <c r="H16" s="47">
        <v>94000</v>
      </c>
      <c r="K16" t="s">
        <v>69</v>
      </c>
      <c r="L16">
        <v>15</v>
      </c>
    </row>
    <row r="17" spans="1:12" x14ac:dyDescent="0.25">
      <c r="A17">
        <v>15</v>
      </c>
      <c r="B17" t="s">
        <v>114</v>
      </c>
      <c r="C17" s="33">
        <v>83000</v>
      </c>
      <c r="G17">
        <f>VLOOKUP(Tbl_Min_Pricelist[[#This Row],[City_Municipal]],$K$2:$L$30,2,0)</f>
        <v>14</v>
      </c>
      <c r="H17" s="45">
        <v>83000</v>
      </c>
      <c r="K17" t="s">
        <v>85</v>
      </c>
      <c r="L17">
        <v>16</v>
      </c>
    </row>
    <row r="18" spans="1:12" x14ac:dyDescent="0.25">
      <c r="A18">
        <v>16</v>
      </c>
      <c r="B18" t="s">
        <v>165</v>
      </c>
      <c r="C18" s="33">
        <v>94000</v>
      </c>
      <c r="G18">
        <f>VLOOKUP(Tbl_Min_Pricelist[[#This Row],[City_Municipal]],$K$2:$L$30,2,0)</f>
        <v>1</v>
      </c>
      <c r="H18" s="47">
        <v>94000</v>
      </c>
      <c r="K18" t="s">
        <v>82</v>
      </c>
      <c r="L18">
        <v>17</v>
      </c>
    </row>
    <row r="19" spans="1:12" x14ac:dyDescent="0.25">
      <c r="A19">
        <v>17</v>
      </c>
      <c r="B19" t="s">
        <v>119</v>
      </c>
      <c r="C19" s="33">
        <v>94000</v>
      </c>
      <c r="G19">
        <f>VLOOKUP(Tbl_Min_Pricelist[[#This Row],[City_Municipal]],$K$2:$L$30,2,0)</f>
        <v>26</v>
      </c>
      <c r="H19" s="45">
        <v>94000</v>
      </c>
      <c r="K19" t="s">
        <v>94</v>
      </c>
      <c r="L19">
        <v>18</v>
      </c>
    </row>
    <row r="20" spans="1:12" x14ac:dyDescent="0.25">
      <c r="A20">
        <v>18</v>
      </c>
      <c r="B20" t="s">
        <v>128</v>
      </c>
      <c r="C20" s="33">
        <v>69500</v>
      </c>
      <c r="G20">
        <f>VLOOKUP(Tbl_Min_Pricelist[[#This Row],[City_Municipal]],$K$2:$L$30,2,0)</f>
        <v>6</v>
      </c>
      <c r="H20" s="47">
        <v>69500</v>
      </c>
      <c r="K20" t="s">
        <v>57</v>
      </c>
      <c r="L20">
        <v>19</v>
      </c>
    </row>
    <row r="21" spans="1:12" x14ac:dyDescent="0.25">
      <c r="A21">
        <v>19</v>
      </c>
      <c r="B21" t="s">
        <v>187</v>
      </c>
      <c r="C21">
        <v>0</v>
      </c>
      <c r="G21">
        <f>VLOOKUP(Tbl_Min_Pricelist[[#This Row],[City_Municipal]],$K$2:$L$30,2,0)</f>
        <v>4</v>
      </c>
      <c r="H21" s="48">
        <v>0</v>
      </c>
      <c r="K21" t="s">
        <v>70</v>
      </c>
      <c r="L21">
        <v>20</v>
      </c>
    </row>
    <row r="22" spans="1:12" x14ac:dyDescent="0.25">
      <c r="A22">
        <v>20</v>
      </c>
      <c r="B22" t="s">
        <v>150</v>
      </c>
      <c r="C22" s="33">
        <v>63500</v>
      </c>
      <c r="G22">
        <f>VLOOKUP(Tbl_Min_Pricelist[[#This Row],[City_Municipal]],$K$2:$L$30,2,0)</f>
        <v>22</v>
      </c>
      <c r="H22" s="47">
        <v>63500</v>
      </c>
      <c r="K22" t="s">
        <v>178</v>
      </c>
      <c r="L22">
        <v>21</v>
      </c>
    </row>
    <row r="23" spans="1:12" x14ac:dyDescent="0.25">
      <c r="A23">
        <v>21</v>
      </c>
      <c r="B23" t="s">
        <v>139</v>
      </c>
      <c r="C23" s="33">
        <v>84600</v>
      </c>
      <c r="G23">
        <f>VLOOKUP(Tbl_Min_Pricelist[[#This Row],[City_Municipal]],$K$2:$L$30,2,0)</f>
        <v>28</v>
      </c>
      <c r="H23" s="45">
        <v>84600</v>
      </c>
      <c r="K23" t="s">
        <v>150</v>
      </c>
      <c r="L23">
        <v>22</v>
      </c>
    </row>
    <row r="24" spans="1:12" x14ac:dyDescent="0.25">
      <c r="A24">
        <v>22</v>
      </c>
      <c r="B24" t="s">
        <v>178</v>
      </c>
      <c r="C24">
        <v>0</v>
      </c>
      <c r="G24">
        <f>VLOOKUP(Tbl_Min_Pricelist[[#This Row],[City_Municipal]],$K$2:$L$30,2,0)</f>
        <v>21</v>
      </c>
      <c r="H24" s="46">
        <v>0</v>
      </c>
      <c r="K24" t="s">
        <v>181</v>
      </c>
      <c r="L24">
        <v>23</v>
      </c>
    </row>
    <row r="25" spans="1:12" x14ac:dyDescent="0.25">
      <c r="A25">
        <v>23</v>
      </c>
      <c r="B25" t="s">
        <v>82</v>
      </c>
      <c r="C25" s="33">
        <v>72600</v>
      </c>
      <c r="G25">
        <f>VLOOKUP(Tbl_Min_Pricelist[[#This Row],[City_Municipal]],$K$2:$L$30,2,0)</f>
        <v>17</v>
      </c>
      <c r="H25" s="45">
        <v>72600</v>
      </c>
      <c r="K25" t="s">
        <v>146</v>
      </c>
      <c r="L25">
        <v>24</v>
      </c>
    </row>
    <row r="26" spans="1:12" x14ac:dyDescent="0.25">
      <c r="A26">
        <v>24</v>
      </c>
      <c r="B26" t="s">
        <v>169</v>
      </c>
      <c r="C26">
        <v>0</v>
      </c>
      <c r="G26">
        <f>VLOOKUP(Tbl_Min_Pricelist[[#This Row],[City_Municipal]],$K$2:$L$30,2,0)</f>
        <v>5</v>
      </c>
      <c r="H26" s="46">
        <v>0</v>
      </c>
      <c r="K26" t="s">
        <v>162</v>
      </c>
      <c r="L26">
        <v>25</v>
      </c>
    </row>
    <row r="27" spans="1:12" x14ac:dyDescent="0.25">
      <c r="A27">
        <v>25</v>
      </c>
      <c r="B27" t="s">
        <v>87</v>
      </c>
      <c r="C27" s="33">
        <v>70500</v>
      </c>
      <c r="G27">
        <f>VLOOKUP(Tbl_Min_Pricelist[[#This Row],[City_Municipal]],$K$2:$L$30,2,0)</f>
        <v>10</v>
      </c>
      <c r="H27" s="45">
        <v>70500</v>
      </c>
      <c r="K27" t="s">
        <v>119</v>
      </c>
      <c r="L27">
        <v>26</v>
      </c>
    </row>
    <row r="28" spans="1:12" x14ac:dyDescent="0.25">
      <c r="A28">
        <v>26</v>
      </c>
      <c r="B28" t="s">
        <v>79</v>
      </c>
      <c r="C28" s="33">
        <v>71500</v>
      </c>
      <c r="G28">
        <f>VLOOKUP(Tbl_Min_Pricelist[[#This Row],[City_Municipal]],$K$2:$L$30,2,0)</f>
        <v>13</v>
      </c>
      <c r="H28" s="47">
        <v>71500</v>
      </c>
      <c r="K28" t="s">
        <v>144</v>
      </c>
      <c r="L28">
        <v>27</v>
      </c>
    </row>
    <row r="29" spans="1:12" x14ac:dyDescent="0.25">
      <c r="A29">
        <v>27</v>
      </c>
      <c r="B29" t="s">
        <v>96</v>
      </c>
      <c r="C29" s="33">
        <v>80500</v>
      </c>
      <c r="G29">
        <f>VLOOKUP(Tbl_Min_Pricelist[[#This Row],[City_Municipal]],$K$2:$L$30,2,0)</f>
        <v>8</v>
      </c>
      <c r="H29" s="45">
        <v>80500</v>
      </c>
      <c r="K29" t="s">
        <v>139</v>
      </c>
      <c r="L29">
        <v>28</v>
      </c>
    </row>
    <row r="30" spans="1:12" x14ac:dyDescent="0.25">
      <c r="A30">
        <v>28</v>
      </c>
      <c r="B30" t="s">
        <v>159</v>
      </c>
      <c r="C30" s="33">
        <v>0</v>
      </c>
      <c r="G30">
        <f>VLOOKUP(Tbl_Min_Pricelist[[#This Row],[City_Municipal]],$K$2:$L$30,2,0)</f>
        <v>3</v>
      </c>
      <c r="H30" s="47">
        <v>0</v>
      </c>
      <c r="K30" t="s">
        <v>135</v>
      </c>
      <c r="L30">
        <v>29</v>
      </c>
    </row>
    <row r="31" spans="1:12" x14ac:dyDescent="0.25">
      <c r="A31">
        <v>29</v>
      </c>
      <c r="B31" t="s">
        <v>73</v>
      </c>
      <c r="C31" s="33">
        <v>70500</v>
      </c>
      <c r="G31">
        <f>VLOOKUP(Tbl_Min_Pricelist[[#This Row],[City_Municipal]],$K$2:$L$30,2,0)</f>
        <v>9</v>
      </c>
      <c r="H31" s="49">
        <v>70500</v>
      </c>
    </row>
  </sheetData>
  <mergeCells count="1">
    <mergeCell ref="A1:F1"/>
  </mergeCell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32"/>
  <sheetViews>
    <sheetView workbookViewId="0">
      <selection activeCell="C30" sqref="C30"/>
    </sheetView>
  </sheetViews>
  <sheetFormatPr defaultRowHeight="15" x14ac:dyDescent="0.25"/>
  <cols>
    <col min="4" max="4" width="10.28515625" customWidth="1"/>
    <col min="6" max="6" width="10" customWidth="1"/>
    <col min="7" max="7" width="10.42578125" customWidth="1"/>
  </cols>
  <sheetData>
    <row r="1" spans="1:7" x14ac:dyDescent="0.25">
      <c r="A1" s="1" t="s">
        <v>308</v>
      </c>
      <c r="B1" s="1" t="s">
        <v>309</v>
      </c>
      <c r="C1" s="1" t="s">
        <v>307</v>
      </c>
      <c r="D1" s="1" t="s">
        <v>310</v>
      </c>
      <c r="E1" s="1" t="s">
        <v>311</v>
      </c>
      <c r="F1" s="1" t="s">
        <v>312</v>
      </c>
      <c r="G1" s="1" t="s">
        <v>313</v>
      </c>
    </row>
    <row r="2" spans="1:7" x14ac:dyDescent="0.25">
      <c r="A2" s="32">
        <v>42522</v>
      </c>
      <c r="B2" s="32">
        <v>42552</v>
      </c>
      <c r="C2" s="32">
        <v>42583</v>
      </c>
      <c r="D2" s="32">
        <v>42614</v>
      </c>
      <c r="E2" s="32">
        <v>42644</v>
      </c>
      <c r="F2" s="32">
        <v>42675</v>
      </c>
      <c r="G2" s="32">
        <v>42705</v>
      </c>
    </row>
    <row r="3" spans="1:7" x14ac:dyDescent="0.25">
      <c r="A3" s="32">
        <v>42523</v>
      </c>
      <c r="B3" s="32">
        <v>42553</v>
      </c>
      <c r="C3" s="32">
        <v>42584</v>
      </c>
      <c r="D3" s="32">
        <v>42615</v>
      </c>
      <c r="E3" s="32">
        <v>42645</v>
      </c>
      <c r="F3" s="32">
        <v>42676</v>
      </c>
      <c r="G3" s="32">
        <v>42706</v>
      </c>
    </row>
    <row r="4" spans="1:7" x14ac:dyDescent="0.25">
      <c r="A4" s="32">
        <v>42524</v>
      </c>
      <c r="B4" s="32">
        <v>42554</v>
      </c>
      <c r="C4" s="32">
        <v>42585</v>
      </c>
      <c r="D4" s="32">
        <v>42616</v>
      </c>
      <c r="E4" s="32">
        <v>42646</v>
      </c>
      <c r="F4" s="32">
        <v>42677</v>
      </c>
      <c r="G4" s="32">
        <v>42707</v>
      </c>
    </row>
    <row r="5" spans="1:7" x14ac:dyDescent="0.25">
      <c r="A5" s="32">
        <v>42525</v>
      </c>
      <c r="B5" s="32">
        <v>42555</v>
      </c>
      <c r="C5" s="32">
        <v>42586</v>
      </c>
      <c r="D5" s="32">
        <v>42617</v>
      </c>
      <c r="E5" s="32">
        <v>42647</v>
      </c>
      <c r="F5" s="32">
        <v>42678</v>
      </c>
      <c r="G5" s="32">
        <v>42708</v>
      </c>
    </row>
    <row r="6" spans="1:7" x14ac:dyDescent="0.25">
      <c r="A6" s="32">
        <v>42526</v>
      </c>
      <c r="B6" s="32">
        <v>42556</v>
      </c>
      <c r="C6" s="32">
        <v>42587</v>
      </c>
      <c r="D6" s="32">
        <v>42618</v>
      </c>
      <c r="E6" s="32">
        <v>42648</v>
      </c>
      <c r="F6" s="32">
        <v>42679</v>
      </c>
      <c r="G6" s="32">
        <v>42709</v>
      </c>
    </row>
    <row r="7" spans="1:7" x14ac:dyDescent="0.25">
      <c r="A7" s="32">
        <v>42527</v>
      </c>
      <c r="B7" s="32">
        <v>42557</v>
      </c>
      <c r="C7" s="32">
        <v>42588</v>
      </c>
      <c r="D7" s="32">
        <v>42619</v>
      </c>
      <c r="E7" s="32">
        <v>42649</v>
      </c>
      <c r="F7" s="32">
        <v>42680</v>
      </c>
      <c r="G7" s="32">
        <v>42710</v>
      </c>
    </row>
    <row r="8" spans="1:7" x14ac:dyDescent="0.25">
      <c r="A8" s="32">
        <v>42528</v>
      </c>
      <c r="B8" s="32">
        <v>42558</v>
      </c>
      <c r="C8" s="32">
        <v>42589</v>
      </c>
      <c r="D8" s="32">
        <v>42620</v>
      </c>
      <c r="E8" s="32">
        <v>42650</v>
      </c>
      <c r="F8" s="32">
        <v>42681</v>
      </c>
      <c r="G8" s="32">
        <v>42711</v>
      </c>
    </row>
    <row r="9" spans="1:7" x14ac:dyDescent="0.25">
      <c r="A9" s="32">
        <v>42529</v>
      </c>
      <c r="B9" s="32">
        <v>42559</v>
      </c>
      <c r="C9" s="32">
        <v>42590</v>
      </c>
      <c r="D9" s="32">
        <v>42621</v>
      </c>
      <c r="E9" s="32">
        <v>42651</v>
      </c>
      <c r="F9" s="32">
        <v>42682</v>
      </c>
      <c r="G9" s="32">
        <v>42712</v>
      </c>
    </row>
    <row r="10" spans="1:7" x14ac:dyDescent="0.25">
      <c r="A10" s="32">
        <v>42530</v>
      </c>
      <c r="B10" s="32">
        <v>42560</v>
      </c>
      <c r="C10" s="32">
        <v>42591</v>
      </c>
      <c r="D10" s="32">
        <v>42622</v>
      </c>
      <c r="E10" s="32">
        <v>42652</v>
      </c>
      <c r="F10" s="32">
        <v>42683</v>
      </c>
      <c r="G10" s="32">
        <v>42713</v>
      </c>
    </row>
    <row r="11" spans="1:7" x14ac:dyDescent="0.25">
      <c r="A11" s="32">
        <v>42531</v>
      </c>
      <c r="B11" s="32">
        <v>42561</v>
      </c>
      <c r="C11" s="32">
        <v>42592</v>
      </c>
      <c r="D11" s="32">
        <v>42623</v>
      </c>
      <c r="E11" s="32">
        <v>42653</v>
      </c>
      <c r="F11" s="32">
        <v>42684</v>
      </c>
      <c r="G11" s="32">
        <v>42714</v>
      </c>
    </row>
    <row r="12" spans="1:7" x14ac:dyDescent="0.25">
      <c r="A12" s="32">
        <v>42532</v>
      </c>
      <c r="B12" s="32">
        <v>42562</v>
      </c>
      <c r="C12" s="32">
        <v>42593</v>
      </c>
      <c r="D12" s="32">
        <v>42624</v>
      </c>
      <c r="E12" s="32">
        <v>42654</v>
      </c>
      <c r="F12" s="32">
        <v>42685</v>
      </c>
      <c r="G12" s="32">
        <v>42715</v>
      </c>
    </row>
    <row r="13" spans="1:7" x14ac:dyDescent="0.25">
      <c r="A13" s="32">
        <v>42533</v>
      </c>
      <c r="B13" s="32">
        <v>42563</v>
      </c>
      <c r="C13" s="32">
        <v>42594</v>
      </c>
      <c r="D13" s="32">
        <v>42625</v>
      </c>
      <c r="E13" s="32">
        <v>42655</v>
      </c>
      <c r="F13" s="32">
        <v>42686</v>
      </c>
      <c r="G13" s="32">
        <v>42716</v>
      </c>
    </row>
    <row r="14" spans="1:7" x14ac:dyDescent="0.25">
      <c r="A14" s="32">
        <v>42534</v>
      </c>
      <c r="B14" s="32">
        <v>42564</v>
      </c>
      <c r="C14" s="32">
        <v>42595</v>
      </c>
      <c r="D14" s="32">
        <v>42626</v>
      </c>
      <c r="E14" s="32">
        <v>42656</v>
      </c>
      <c r="F14" s="32">
        <v>42687</v>
      </c>
      <c r="G14" s="32">
        <v>42717</v>
      </c>
    </row>
    <row r="15" spans="1:7" x14ac:dyDescent="0.25">
      <c r="A15" s="32">
        <v>42535</v>
      </c>
      <c r="B15" s="32">
        <v>42565</v>
      </c>
      <c r="C15" s="32">
        <v>42596</v>
      </c>
      <c r="D15" s="32">
        <v>42627</v>
      </c>
      <c r="E15" s="32">
        <v>42657</v>
      </c>
      <c r="F15" s="32">
        <v>42688</v>
      </c>
      <c r="G15" s="32">
        <v>42718</v>
      </c>
    </row>
    <row r="16" spans="1:7" x14ac:dyDescent="0.25">
      <c r="A16" s="32">
        <v>42536</v>
      </c>
      <c r="B16" s="32">
        <v>42566</v>
      </c>
      <c r="C16" s="32">
        <v>42597</v>
      </c>
      <c r="D16" s="32">
        <v>42628</v>
      </c>
      <c r="E16" s="32">
        <v>42658</v>
      </c>
      <c r="F16" s="32">
        <v>42689</v>
      </c>
      <c r="G16" s="32">
        <v>42719</v>
      </c>
    </row>
    <row r="17" spans="1:7" x14ac:dyDescent="0.25">
      <c r="A17" s="32">
        <v>42537</v>
      </c>
      <c r="B17" s="32">
        <v>42567</v>
      </c>
      <c r="C17" s="32">
        <v>42598</v>
      </c>
      <c r="D17" s="32">
        <v>42629</v>
      </c>
      <c r="E17" s="32">
        <v>42659</v>
      </c>
      <c r="F17" s="32">
        <v>42690</v>
      </c>
      <c r="G17" s="32">
        <v>42720</v>
      </c>
    </row>
    <row r="18" spans="1:7" x14ac:dyDescent="0.25">
      <c r="A18" s="32">
        <v>42538</v>
      </c>
      <c r="B18" s="32">
        <v>42568</v>
      </c>
      <c r="C18" s="32">
        <v>42599</v>
      </c>
      <c r="D18" s="32">
        <v>42630</v>
      </c>
      <c r="E18" s="32">
        <v>42660</v>
      </c>
      <c r="F18" s="32">
        <v>42691</v>
      </c>
      <c r="G18" s="32">
        <v>42721</v>
      </c>
    </row>
    <row r="19" spans="1:7" x14ac:dyDescent="0.25">
      <c r="A19" s="32">
        <v>42539</v>
      </c>
      <c r="B19" s="32">
        <v>42569</v>
      </c>
      <c r="C19" s="32">
        <v>42600</v>
      </c>
      <c r="D19" s="32">
        <v>42631</v>
      </c>
      <c r="E19" s="32">
        <v>42661</v>
      </c>
      <c r="F19" s="32">
        <v>42692</v>
      </c>
      <c r="G19" s="32">
        <v>42722</v>
      </c>
    </row>
    <row r="20" spans="1:7" x14ac:dyDescent="0.25">
      <c r="A20" s="32">
        <v>42540</v>
      </c>
      <c r="B20" s="32">
        <v>42570</v>
      </c>
      <c r="C20" s="32">
        <v>42601</v>
      </c>
      <c r="D20" s="32">
        <v>42632</v>
      </c>
      <c r="E20" s="32">
        <v>42662</v>
      </c>
      <c r="F20" s="32">
        <v>42693</v>
      </c>
      <c r="G20" s="32">
        <v>42723</v>
      </c>
    </row>
    <row r="21" spans="1:7" x14ac:dyDescent="0.25">
      <c r="A21" s="32">
        <v>42541</v>
      </c>
      <c r="B21" s="32">
        <v>42571</v>
      </c>
      <c r="C21" s="32">
        <v>42602</v>
      </c>
      <c r="D21" s="32">
        <v>42633</v>
      </c>
      <c r="E21" s="32">
        <v>42663</v>
      </c>
      <c r="F21" s="32">
        <v>42694</v>
      </c>
      <c r="G21" s="32">
        <v>42724</v>
      </c>
    </row>
    <row r="22" spans="1:7" x14ac:dyDescent="0.25">
      <c r="A22" s="32">
        <v>42542</v>
      </c>
      <c r="B22" s="32">
        <v>42572</v>
      </c>
      <c r="C22" s="32">
        <v>42603</v>
      </c>
      <c r="D22" s="32">
        <v>42634</v>
      </c>
      <c r="E22" s="32">
        <v>42664</v>
      </c>
      <c r="F22" s="32">
        <v>42695</v>
      </c>
      <c r="G22" s="32">
        <v>42725</v>
      </c>
    </row>
    <row r="23" spans="1:7" x14ac:dyDescent="0.25">
      <c r="A23" s="32">
        <v>42543</v>
      </c>
      <c r="B23" s="32">
        <v>42573</v>
      </c>
      <c r="C23" s="32">
        <v>42604</v>
      </c>
      <c r="D23" s="32">
        <v>42635</v>
      </c>
      <c r="E23" s="32">
        <v>42665</v>
      </c>
      <c r="F23" s="32">
        <v>42696</v>
      </c>
      <c r="G23" s="32">
        <v>42726</v>
      </c>
    </row>
    <row r="24" spans="1:7" x14ac:dyDescent="0.25">
      <c r="A24" s="32">
        <v>42544</v>
      </c>
      <c r="B24" s="32">
        <v>42574</v>
      </c>
      <c r="C24" s="32">
        <v>42605</v>
      </c>
      <c r="D24" s="32">
        <v>42636</v>
      </c>
      <c r="E24" s="32">
        <v>42666</v>
      </c>
      <c r="F24" s="32">
        <v>42697</v>
      </c>
      <c r="G24" s="32">
        <v>42727</v>
      </c>
    </row>
    <row r="25" spans="1:7" x14ac:dyDescent="0.25">
      <c r="A25" s="32">
        <v>42545</v>
      </c>
      <c r="B25" s="32">
        <v>42575</v>
      </c>
      <c r="C25" s="32">
        <v>42606</v>
      </c>
      <c r="D25" s="32">
        <v>42637</v>
      </c>
      <c r="E25" s="32">
        <v>42667</v>
      </c>
      <c r="F25" s="32">
        <v>42698</v>
      </c>
      <c r="G25" s="32">
        <v>42728</v>
      </c>
    </row>
    <row r="26" spans="1:7" x14ac:dyDescent="0.25">
      <c r="A26" s="32">
        <v>42546</v>
      </c>
      <c r="B26" s="32">
        <v>42576</v>
      </c>
      <c r="C26" s="32">
        <v>42607</v>
      </c>
      <c r="D26" s="32">
        <v>42638</v>
      </c>
      <c r="E26" s="32">
        <v>42668</v>
      </c>
      <c r="F26" s="32">
        <v>42699</v>
      </c>
      <c r="G26" s="32">
        <v>42729</v>
      </c>
    </row>
    <row r="27" spans="1:7" x14ac:dyDescent="0.25">
      <c r="A27" s="32">
        <v>42547</v>
      </c>
      <c r="B27" s="32">
        <v>42577</v>
      </c>
      <c r="C27" s="32">
        <v>42608</v>
      </c>
      <c r="D27" s="32">
        <v>42639</v>
      </c>
      <c r="E27" s="32">
        <v>42669</v>
      </c>
      <c r="F27" s="32">
        <v>42700</v>
      </c>
      <c r="G27" s="32">
        <v>42730</v>
      </c>
    </row>
    <row r="28" spans="1:7" x14ac:dyDescent="0.25">
      <c r="A28" s="32">
        <v>42548</v>
      </c>
      <c r="B28" s="32">
        <v>42578</v>
      </c>
      <c r="C28" s="32">
        <v>42609</v>
      </c>
      <c r="D28" s="32">
        <v>42640</v>
      </c>
      <c r="E28" s="32">
        <v>42670</v>
      </c>
      <c r="F28" s="32">
        <v>42701</v>
      </c>
      <c r="G28" s="32">
        <v>42731</v>
      </c>
    </row>
    <row r="29" spans="1:7" x14ac:dyDescent="0.25">
      <c r="A29" s="32">
        <v>42549</v>
      </c>
      <c r="B29" s="32">
        <v>42579</v>
      </c>
      <c r="C29" s="32">
        <v>42610</v>
      </c>
      <c r="D29" s="32">
        <v>42641</v>
      </c>
      <c r="E29" s="32">
        <v>42671</v>
      </c>
      <c r="F29" s="32">
        <v>42702</v>
      </c>
      <c r="G29" s="32">
        <v>42732</v>
      </c>
    </row>
    <row r="30" spans="1:7" x14ac:dyDescent="0.25">
      <c r="A30" s="32">
        <v>42550</v>
      </c>
      <c r="B30" s="32">
        <v>42580</v>
      </c>
      <c r="C30" s="32">
        <v>42611</v>
      </c>
      <c r="D30" s="32">
        <v>42642</v>
      </c>
      <c r="E30" s="32">
        <v>42672</v>
      </c>
      <c r="F30" s="32">
        <v>42703</v>
      </c>
      <c r="G30" s="32">
        <v>42733</v>
      </c>
    </row>
    <row r="31" spans="1:7" x14ac:dyDescent="0.25">
      <c r="A31" s="32">
        <v>42551</v>
      </c>
      <c r="B31" s="32">
        <v>42581</v>
      </c>
      <c r="C31" s="32">
        <v>42612</v>
      </c>
      <c r="D31" s="32">
        <v>42643</v>
      </c>
      <c r="E31" s="32">
        <v>42673</v>
      </c>
      <c r="F31" s="32">
        <v>42704</v>
      </c>
      <c r="G31" s="32">
        <v>42734</v>
      </c>
    </row>
    <row r="32" spans="1:7" x14ac:dyDescent="0.25">
      <c r="B32" s="32">
        <v>42582</v>
      </c>
      <c r="C32" s="32">
        <v>42613</v>
      </c>
      <c r="D32" s="32"/>
      <c r="E32" s="32">
        <v>42674</v>
      </c>
      <c r="F32" s="32"/>
      <c r="G32" s="32">
        <v>42735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Report</vt:lpstr>
      <vt:lpstr>Kendaraan</vt:lpstr>
      <vt:lpstr>Delivery_Man</vt:lpstr>
      <vt:lpstr>Dealer_Exp</vt:lpstr>
      <vt:lpstr>Product_Pricelist</vt:lpstr>
      <vt:lpstr>Product_Catalog</vt:lpstr>
      <vt:lpstr>Class_Pricelist</vt:lpstr>
      <vt:lpstr>Min_Pricelist</vt:lpstr>
      <vt:lpstr>Date_List</vt:lpstr>
      <vt:lpstr>Class_Pricelist!Dealer</vt:lpstr>
      <vt:lpstr>Dealer</vt:lpstr>
      <vt:lpstr>June</vt:lpstr>
      <vt:lpstr>Class_Pricelist!Nama</vt:lpstr>
      <vt:lpstr>Nama</vt:lpstr>
      <vt:lpstr>Class_Pricelist!No.Polisi</vt:lpstr>
      <vt:lpstr>No.Polisi</vt:lpstr>
      <vt:lpstr>Class_Pricelist!Prod_Name_Catalog</vt:lpstr>
      <vt:lpstr>Prod_Name_Catalog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</dc:creator>
  <cp:lastModifiedBy>MANASAMA</cp:lastModifiedBy>
  <dcterms:created xsi:type="dcterms:W3CDTF">2016-06-03T03:30:31Z</dcterms:created>
  <dcterms:modified xsi:type="dcterms:W3CDTF">2016-07-07T18:03:26Z</dcterms:modified>
</cp:coreProperties>
</file>