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 Notes\BDM\Project\Final\final\"/>
    </mc:Choice>
  </mc:AlternateContent>
  <bookViews>
    <workbookView minimized="1" xWindow="0" yWindow="0" windowWidth="20490" windowHeight="7755" tabRatio="1000" firstSheet="3" activeTab="9"/>
  </bookViews>
  <sheets>
    <sheet name="BaseCase" sheetId="1" r:id="rId1"/>
    <sheet name="GivenValues" sheetId="2" r:id="rId2"/>
    <sheet name="BestBallPrice" sheetId="4" r:id="rId3"/>
    <sheet name="Changingour price" sheetId="6" r:id="rId4"/>
    <sheet name="ChangingOurPrice Report" sheetId="9" r:id="rId5"/>
    <sheet name="Varying Investment" sheetId="18" r:id="rId6"/>
    <sheet name="Varying Investment report" sheetId="21" r:id="rId7"/>
    <sheet name="CompetitorAnalysis" sheetId="5" r:id="rId8"/>
    <sheet name="ChangingbothPrices" sheetId="11" r:id="rId9"/>
    <sheet name="ChangingbothPrices Report" sheetId="13" r:id="rId10"/>
  </sheets>
  <definedNames>
    <definedName name="Ball_Price" localSheetId="2">BestBallPrice!$D$17</definedName>
    <definedName name="Ball_Price" localSheetId="8">ChangingbothPrices!$D$17</definedName>
    <definedName name="Ball_Price" localSheetId="3">'Changingour price'!$D$17</definedName>
    <definedName name="Ball_Price" localSheetId="7">CompetitorAnalysis!$D$18</definedName>
    <definedName name="Ball_Price" localSheetId="5">'Varying Investment'!$D$17</definedName>
    <definedName name="Ball_Price">BaseCase!$D$17</definedName>
    <definedName name="Bank_Interest_rate" localSheetId="2">BestBallPrice!$D$13</definedName>
    <definedName name="Bank_Interest_rate" localSheetId="8">ChangingbothPrices!$D$13</definedName>
    <definedName name="Bank_Interest_rate" localSheetId="3">'Changingour price'!$D$13</definedName>
    <definedName name="Bank_Interest_rate" localSheetId="7">CompetitorAnalysis!$D$14</definedName>
    <definedName name="Bank_Interest_rate" localSheetId="5">'Varying Investment'!$D$13</definedName>
    <definedName name="Bank_Interest_rate">BaseCase!$D$13</definedName>
    <definedName name="Competitoe_Selling_Price" localSheetId="2">BestBallPrice!$D$8</definedName>
    <definedName name="Competitoe_Selling_Price" localSheetId="8">ChangingbothPrices!$D$8</definedName>
    <definedName name="Competitoe_Selling_Price" localSheetId="3">'Changingour price'!$D$8</definedName>
    <definedName name="Competitoe_Selling_Price" localSheetId="7">CompetitorAnalysis!$D$9</definedName>
    <definedName name="Competitoe_Selling_Price" localSheetId="5">'Varying Investment'!$D$8</definedName>
    <definedName name="Competitoe_Selling_Price">BaseCase!$D$8</definedName>
    <definedName name="Competitor_price" localSheetId="2">BestBallPrice!$D$7</definedName>
    <definedName name="Competitor_price" localSheetId="8">ChangingbothPrices!$D$7</definedName>
    <definedName name="Competitor_price" localSheetId="3">'Changingour price'!$D$7</definedName>
    <definedName name="Competitor_price" localSheetId="7">CompetitorAnalysis!$D$8</definedName>
    <definedName name="Competitor_price" localSheetId="5">'Varying Investment'!$D$7</definedName>
    <definedName name="Competitor_price">BaseCase!$D$7</definedName>
    <definedName name="Competitor_retail_price" localSheetId="2">BestBallPrice!$D$7</definedName>
    <definedName name="Competitor_retail_price" localSheetId="8">ChangingbothPrices!$D$7</definedName>
    <definedName name="Competitor_retail_price" localSheetId="3">'Changingour price'!$D$7</definedName>
    <definedName name="Competitor_retail_price" localSheetId="7">CompetitorAnalysis!$D$8</definedName>
    <definedName name="Competitor_retail_price" localSheetId="5">'Varying Investment'!$D$7</definedName>
    <definedName name="Competitor_retail_price">BaseCase!$D$7</definedName>
    <definedName name="Competitor_Selling_Price" localSheetId="2">BestBallPrice!$D$8</definedName>
    <definedName name="Competitor_Selling_Price" localSheetId="8">ChangingbothPrices!$D$8</definedName>
    <definedName name="Competitor_Selling_Price" localSheetId="3">'Changingour price'!$D$8</definedName>
    <definedName name="Competitor_Selling_Price" localSheetId="7">CompetitorAnalysis!$D$9</definedName>
    <definedName name="Competitor_Selling_Price" localSheetId="5">'Varying Investment'!$D$8</definedName>
    <definedName name="Competitor_Selling_Price">BaseCase!$D$8</definedName>
    <definedName name="Growth_In_Players" localSheetId="2">BestBallPrice!$D$9</definedName>
    <definedName name="Growth_In_Players" localSheetId="8">ChangingbothPrices!$D$9</definedName>
    <definedName name="Growth_In_Players" localSheetId="3">'Changingour price'!$D$9</definedName>
    <definedName name="Growth_In_Players" localSheetId="7">CompetitorAnalysis!$D$10</definedName>
    <definedName name="Growth_In_Players" localSheetId="5">'Varying Investment'!$D$9</definedName>
    <definedName name="Growth_In_Players">BaseCase!$D$9</definedName>
    <definedName name="Initial_Investment" localSheetId="2">BestBallPrice!$D$6</definedName>
    <definedName name="Initial_Investment" localSheetId="8">ChangingbothPrices!$D$6</definedName>
    <definedName name="Initial_Investment" localSheetId="3">'Changingour price'!$D$6</definedName>
    <definedName name="Initial_Investment" localSheetId="7">CompetitorAnalysis!$D$6</definedName>
    <definedName name="Initial_Investment" localSheetId="5">'Varying Investment'!$D$6</definedName>
    <definedName name="Initial_Investment">BaseCase!$D$6</definedName>
    <definedName name="Loan_Tenure" localSheetId="2">BestBallPrice!$D$10</definedName>
    <definedName name="Loan_Tenure" localSheetId="8">ChangingbothPrices!$D$10</definedName>
    <definedName name="Loan_Tenure" localSheetId="3">'Changingour price'!$D$10</definedName>
    <definedName name="Loan_Tenure" localSheetId="7">CompetitorAnalysis!$D$11</definedName>
    <definedName name="Loan_Tenure" localSheetId="5">'Varying Investment'!$D$10</definedName>
    <definedName name="Loan_Tenure">BaseCase!$D$10</definedName>
    <definedName name="Maintainance_Cost_rate" localSheetId="2">BestBallPrice!$D$14</definedName>
    <definedName name="Maintainance_Cost_rate" localSheetId="8">ChangingbothPrices!$D$14</definedName>
    <definedName name="Maintainance_Cost_rate" localSheetId="3">'Changingour price'!$D$14</definedName>
    <definedName name="Maintainance_Cost_rate" localSheetId="7">CompetitorAnalysis!$D$15</definedName>
    <definedName name="Maintainance_Cost_rate" localSheetId="5">'Varying Investment'!$D$14</definedName>
    <definedName name="Maintainance_Cost_rate">BaseCase!$D$14</definedName>
    <definedName name="NPV">BaseCase!$N$22</definedName>
    <definedName name="NPV_2010">BaseCase!$N$21</definedName>
    <definedName name="NPV_for_2010">ChangingbothPrices!$N$21</definedName>
    <definedName name="NPV_for_year_2010" localSheetId="5">'Varying Investment'!$N$21</definedName>
    <definedName name="NPV_for_year_2010">'Changingour price'!$N$21</definedName>
    <definedName name="Number_of_balls_per_player" localSheetId="2">BestBallPrice!$D$12</definedName>
    <definedName name="Number_of_balls_per_player" localSheetId="8">ChangingbothPrices!$D$12</definedName>
    <definedName name="Number_of_balls_per_player" localSheetId="3">'Changingour price'!$D$12</definedName>
    <definedName name="Number_of_balls_per_player" localSheetId="7">CompetitorAnalysis!$D$13</definedName>
    <definedName name="Number_of_balls_per_player" localSheetId="5">'Varying Investment'!$D$12</definedName>
    <definedName name="Number_of_balls_per_player">BaseCase!$D$12</definedName>
    <definedName name="Players_in_1999" localSheetId="2">BestBallPrice!$D$11</definedName>
    <definedName name="Players_in_1999" localSheetId="8">ChangingbothPrices!$D$11</definedName>
    <definedName name="Players_in_1999" localSheetId="3">'Changingour price'!$D$11</definedName>
    <definedName name="Players_in_1999" localSheetId="7">CompetitorAnalysis!$D$12</definedName>
    <definedName name="Players_in_1999" localSheetId="5">'Varying Investment'!$D$11</definedName>
    <definedName name="Players_in_1999">BaseCase!$D$11</definedName>
    <definedName name="solver_adj" localSheetId="2" hidden="1">BestBallPrice!$D$17</definedName>
    <definedName name="solver_adj" localSheetId="7" hidden="1">CompetitorAnalysis!$D$18</definedName>
    <definedName name="solver_adj_ob" localSheetId="2" hidden="1">1</definedName>
    <definedName name="solver_adj_ob" localSheetId="7" hidden="1">1</definedName>
    <definedName name="solver_cha" localSheetId="2" hidden="1">0</definedName>
    <definedName name="solver_cha" localSheetId="7" hidden="1">0</definedName>
    <definedName name="solver_chc1" localSheetId="2" hidden="1">0</definedName>
    <definedName name="solver_chc1" localSheetId="7" hidden="1">0</definedName>
    <definedName name="solver_chn" localSheetId="2" hidden="1">4</definedName>
    <definedName name="solver_chn" localSheetId="7" hidden="1">4</definedName>
    <definedName name="solver_chp1" localSheetId="2" hidden="1">0</definedName>
    <definedName name="solver_chp1" localSheetId="7" hidden="1">0</definedName>
    <definedName name="solver_cht" localSheetId="2" hidden="1">0</definedName>
    <definedName name="solver_cht" localSheetId="7" hidden="1">0</definedName>
    <definedName name="solver_cir1" localSheetId="2" hidden="1">1</definedName>
    <definedName name="solver_cir1" localSheetId="7" hidden="1">1</definedName>
    <definedName name="solver_con" localSheetId="2" hidden="1">" "</definedName>
    <definedName name="solver_con" localSheetId="7" hidden="1">" "</definedName>
    <definedName name="solver_con1" localSheetId="2" hidden="1">"For obtaining minimum market share"</definedName>
    <definedName name="solver_con1" localSheetId="7" hidden="1">"For obtaining minimum market share"</definedName>
    <definedName name="solver_dia" localSheetId="2" hidden="1">5</definedName>
    <definedName name="solver_dia" localSheetId="7" hidden="1">5</definedName>
    <definedName name="solver_iao" localSheetId="2" hidden="1">0</definedName>
    <definedName name="solver_iao" localSheetId="7" hidden="1">0</definedName>
    <definedName name="solver_int" localSheetId="2" hidden="1">0</definedName>
    <definedName name="solver_int" localSheetId="7" hidden="1">0</definedName>
    <definedName name="solver_irs" localSheetId="2" hidden="1">0</definedName>
    <definedName name="solver_irs" localSheetId="7" hidden="1">0</definedName>
    <definedName name="solver_ism" localSheetId="2" hidden="1">0</definedName>
    <definedName name="solver_ism" localSheetId="7" hidden="1">0</definedName>
    <definedName name="solver_lhs_ob1" localSheetId="2" hidden="1">0</definedName>
    <definedName name="solver_lhs_ob1" localSheetId="7" hidden="1">0</definedName>
    <definedName name="solver_lhs1" localSheetId="2" hidden="1">BestBallPrice!$D$17</definedName>
    <definedName name="solver_lhs1" localSheetId="7" hidden="1">CompetitorAnalysis!$D$18</definedName>
    <definedName name="solver_mda" localSheetId="2" hidden="1">4</definedName>
    <definedName name="solver_mda" localSheetId="7" hidden="1">4</definedName>
    <definedName name="solver_mod" localSheetId="2" hidden="1">3</definedName>
    <definedName name="solver_mod" localSheetId="7" hidden="1">3</definedName>
    <definedName name="solver_neg" localSheetId="2" hidden="1">1</definedName>
    <definedName name="solver_neg" localSheetId="7" hidden="1">1</definedName>
    <definedName name="solver_ntr" localSheetId="2" hidden="1">0</definedName>
    <definedName name="solver_ntr" localSheetId="7" hidden="1">0</definedName>
    <definedName name="solver_ntri" hidden="1">1000</definedName>
    <definedName name="solver_num" localSheetId="2" hidden="1">1</definedName>
    <definedName name="solver_num" localSheetId="7" hidden="1">1</definedName>
    <definedName name="solver_obc" localSheetId="2" hidden="1">0</definedName>
    <definedName name="solver_obc" localSheetId="7" hidden="1">0</definedName>
    <definedName name="solver_obp" localSheetId="2" hidden="1">0</definedName>
    <definedName name="solver_obp" localSheetId="7" hidden="1">0</definedName>
    <definedName name="solver_opt" localSheetId="2" hidden="1">BestBallPrice!$N$21</definedName>
    <definedName name="solver_opt" localSheetId="7" hidden="1">CompetitorAnalysis!$N$22</definedName>
    <definedName name="solver_opt_ob" localSheetId="2" hidden="1">1</definedName>
    <definedName name="solver_opt_ob" localSheetId="7" hidden="1">1</definedName>
    <definedName name="solver_psi" localSheetId="2" hidden="1">0</definedName>
    <definedName name="solver_psi" localSheetId="7" hidden="1">0</definedName>
    <definedName name="solver_rdp" localSheetId="2" hidden="1">0</definedName>
    <definedName name="solver_rdp" localSheetId="7" hidden="1">0</definedName>
    <definedName name="solver_reco1" localSheetId="2" hidden="1">0</definedName>
    <definedName name="solver_reco1" localSheetId="7" hidden="1">0</definedName>
    <definedName name="solver_rel1" localSheetId="2" hidden="1">1</definedName>
    <definedName name="solver_rel1" localSheetId="7" hidden="1">1</definedName>
    <definedName name="solver_rhs1" localSheetId="2" hidden="1">BestBallPrice!$F$17</definedName>
    <definedName name="solver_rhs1" localSheetId="7" hidden="1">CompetitorAnalysis!$F$18</definedName>
    <definedName name="solver_rlx" localSheetId="2" hidden="1">0</definedName>
    <definedName name="solver_rlx" localSheetId="7" hidden="1">0</definedName>
    <definedName name="solver_rsmp" hidden="1">2</definedName>
    <definedName name="solver_rtr" localSheetId="2" hidden="1">0</definedName>
    <definedName name="solver_rtr" localSheetId="7" hidden="1">0</definedName>
    <definedName name="solver_rxc1" localSheetId="2" hidden="1">1</definedName>
    <definedName name="solver_rxc1" localSheetId="7" hidden="1">1</definedName>
    <definedName name="solver_rxv" localSheetId="2" hidden="1">1</definedName>
    <definedName name="solver_rxv" localSheetId="7" hidden="1">1</definedName>
    <definedName name="solver_seed" hidden="1">0</definedName>
    <definedName name="solver_sel" localSheetId="2" hidden="1">1</definedName>
    <definedName name="solver_sel" localSheetId="7" hidden="1">1</definedName>
    <definedName name="solver_slv" localSheetId="2" hidden="1">0</definedName>
    <definedName name="solver_slv" localSheetId="7" hidden="1">0</definedName>
    <definedName name="solver_slvu" localSheetId="2" hidden="1">0</definedName>
    <definedName name="solver_slvu" localSheetId="7" hidden="1">0</definedName>
    <definedName name="solver_spid" localSheetId="2" hidden="1">" "</definedName>
    <definedName name="solver_spid" localSheetId="7" hidden="1">" "</definedName>
    <definedName name="solver_srvr" localSheetId="2" hidden="1">" "</definedName>
    <definedName name="solver_srvr" localSheetId="7" hidden="1">" "</definedName>
    <definedName name="solver_typ" localSheetId="2" hidden="1">1</definedName>
    <definedName name="solver_typ" localSheetId="7" hidden="1">1</definedName>
    <definedName name="solver_umod" localSheetId="2" hidden="1">1</definedName>
    <definedName name="solver_umod" localSheetId="7" hidden="1">1</definedName>
    <definedName name="solver_urs" localSheetId="2" hidden="1">0</definedName>
    <definedName name="solver_urs" localSheetId="7" hidden="1">0</definedName>
    <definedName name="solver_userid" localSheetId="2" hidden="1">272522</definedName>
    <definedName name="solver_userid" localSheetId="7" hidden="1">272522</definedName>
    <definedName name="solver_val" localSheetId="2" hidden="1">0</definedName>
    <definedName name="solver_val" localSheetId="7" hidden="1">0</definedName>
    <definedName name="solver_var" localSheetId="2" hidden="1">" "</definedName>
    <definedName name="solver_var" localSheetId="7" hidden="1">" "</definedName>
    <definedName name="solver_ver" localSheetId="2" hidden="1">16</definedName>
    <definedName name="solver_ver" localSheetId="7" hidden="1">16</definedName>
    <definedName name="solver_vir" localSheetId="2" hidden="1">1</definedName>
    <definedName name="solver_vir" localSheetId="7" hidden="1">1</definedName>
    <definedName name="solver_vol" localSheetId="2" hidden="1">0</definedName>
    <definedName name="solver_vol" localSheetId="7" hidden="1">0</definedName>
    <definedName name="solver_vst" localSheetId="2" hidden="1">0</definedName>
    <definedName name="solver_vst" localSheetId="7" hidden="1">0</definedName>
    <definedName name="solveri_ISpPars_D34" localSheetId="7" hidden="1">"RiskSolver.UI.Charts.InputDlgPars:-1000001;1;1;2;24;52;60;0;90;90;0;0;0;0;1;"</definedName>
    <definedName name="solvero_CRMax" hidden="1">"System.Double:26746936.8715002"</definedName>
    <definedName name="solvero_CRMin" hidden="1">"System.Double:12678602.7717136"</definedName>
    <definedName name="solvero_ISpMarker1_N22" localSheetId="7" hidden="1">"RiskSolver.UI.Charts.Marker:100;3;18270984.029;1;1;0;0;0;Mean;Mean"</definedName>
    <definedName name="solvero_ISpMarkers_N22" localSheetId="7" hidden="1">"RiskSolver.UI.Charts.Markers:1"</definedName>
    <definedName name="solvero_OSpPars" hidden="1">"RiskSolver.UI.Charts.OutDlgPars:-1000001;17;17;66;60;0;1;90;80;0;0;0;0;1;"</definedName>
    <definedName name="Variable_cost_ball" localSheetId="2">BestBallPrice!$D$4</definedName>
    <definedName name="Variable_cost_ball" localSheetId="8">ChangingbothPrices!$D$4</definedName>
    <definedName name="Variable_cost_ball" localSheetId="3">'Changingour price'!$D$4</definedName>
    <definedName name="Variable_cost_ball" localSheetId="7">CompetitorAnalysis!$D$4</definedName>
    <definedName name="Variable_cost_ball" localSheetId="5">'Varying Investment'!$D$4</definedName>
    <definedName name="Variable_cost_ball">BaseCase!$D$4</definedName>
    <definedName name="Variable_cost_competitor" localSheetId="2">BestBallPrice!$D$5</definedName>
    <definedName name="Variable_cost_competitor" localSheetId="8">ChangingbothPrices!$D$5</definedName>
    <definedName name="Variable_cost_competitor" localSheetId="3">'Changingour price'!$D$5</definedName>
    <definedName name="Variable_cost_competitor" localSheetId="7">CompetitorAnalysis!$D$5</definedName>
    <definedName name="Variable_cost_competitor" localSheetId="5">'Varying Investment'!$D$5</definedName>
    <definedName name="Variable_cost_competitor">BaseCase!$D$5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2" l="1"/>
  <c r="F37" i="2"/>
  <c r="G17" i="2"/>
  <c r="J24" i="5"/>
  <c r="I23" i="2"/>
  <c r="D6" i="18"/>
  <c r="D17" i="6"/>
  <c r="D34" i="5"/>
  <c r="F23" i="18" l="1"/>
  <c r="G23" i="18" s="1"/>
  <c r="H23" i="18" s="1"/>
  <c r="I23" i="18" s="1"/>
  <c r="J23" i="18" s="1"/>
  <c r="K23" i="18" s="1"/>
  <c r="L23" i="18" s="1"/>
  <c r="M23" i="18" s="1"/>
  <c r="E23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D12" i="18"/>
  <c r="D11" i="18"/>
  <c r="D30" i="18" s="1"/>
  <c r="D29" i="18" s="1"/>
  <c r="M35" i="11"/>
  <c r="L35" i="11"/>
  <c r="K35" i="11"/>
  <c r="J35" i="11"/>
  <c r="I35" i="11"/>
  <c r="H35" i="11"/>
  <c r="G35" i="11"/>
  <c r="F35" i="11"/>
  <c r="E35" i="11"/>
  <c r="D35" i="11"/>
  <c r="D34" i="11"/>
  <c r="D36" i="11" s="1"/>
  <c r="D33" i="11"/>
  <c r="M27" i="11"/>
  <c r="L27" i="11"/>
  <c r="K27" i="11"/>
  <c r="J27" i="11"/>
  <c r="I27" i="11"/>
  <c r="H27" i="11"/>
  <c r="G27" i="11"/>
  <c r="F27" i="11"/>
  <c r="E27" i="11"/>
  <c r="D27" i="11"/>
  <c r="F23" i="11"/>
  <c r="G23" i="11" s="1"/>
  <c r="H23" i="11" s="1"/>
  <c r="I23" i="11" s="1"/>
  <c r="J23" i="11" s="1"/>
  <c r="K23" i="11" s="1"/>
  <c r="L23" i="11" s="1"/>
  <c r="M23" i="11" s="1"/>
  <c r="E23" i="11"/>
  <c r="E19" i="11"/>
  <c r="F19" i="11" s="1"/>
  <c r="G19" i="11" s="1"/>
  <c r="H19" i="11" s="1"/>
  <c r="I19" i="11" s="1"/>
  <c r="J19" i="11" s="1"/>
  <c r="K19" i="11" s="1"/>
  <c r="L19" i="11" s="1"/>
  <c r="M19" i="11" s="1"/>
  <c r="N19" i="11" s="1"/>
  <c r="D12" i="11"/>
  <c r="D11" i="11"/>
  <c r="D30" i="11" s="1"/>
  <c r="M35" i="6"/>
  <c r="L35" i="6"/>
  <c r="K35" i="6"/>
  <c r="J35" i="6"/>
  <c r="I35" i="6"/>
  <c r="H35" i="6"/>
  <c r="G35" i="6"/>
  <c r="F35" i="6"/>
  <c r="E35" i="6"/>
  <c r="D35" i="6"/>
  <c r="D34" i="6"/>
  <c r="D36" i="6" s="1"/>
  <c r="D33" i="6"/>
  <c r="M27" i="6"/>
  <c r="L27" i="6"/>
  <c r="K27" i="6"/>
  <c r="J27" i="6"/>
  <c r="I27" i="6"/>
  <c r="H27" i="6"/>
  <c r="G27" i="6"/>
  <c r="F27" i="6"/>
  <c r="E27" i="6"/>
  <c r="D27" i="6"/>
  <c r="G23" i="6"/>
  <c r="H23" i="6" s="1"/>
  <c r="I23" i="6" s="1"/>
  <c r="J23" i="6" s="1"/>
  <c r="K23" i="6" s="1"/>
  <c r="L23" i="6" s="1"/>
  <c r="M23" i="6" s="1"/>
  <c r="F23" i="6"/>
  <c r="E23" i="6"/>
  <c r="G19" i="6"/>
  <c r="H19" i="6" s="1"/>
  <c r="I19" i="6" s="1"/>
  <c r="J19" i="6" s="1"/>
  <c r="K19" i="6" s="1"/>
  <c r="L19" i="6" s="1"/>
  <c r="M19" i="6" s="1"/>
  <c r="N19" i="6" s="1"/>
  <c r="E19" i="6"/>
  <c r="F19" i="6" s="1"/>
  <c r="D12" i="6"/>
  <c r="D11" i="6"/>
  <c r="D30" i="6" s="1"/>
  <c r="G8" i="5"/>
  <c r="E8" i="5"/>
  <c r="F8" i="5"/>
  <c r="M37" i="5"/>
  <c r="L37" i="5"/>
  <c r="K37" i="5"/>
  <c r="J37" i="5"/>
  <c r="I37" i="5"/>
  <c r="H37" i="5"/>
  <c r="G37" i="5"/>
  <c r="F37" i="5"/>
  <c r="E37" i="5"/>
  <c r="D37" i="5"/>
  <c r="D36" i="5"/>
  <c r="D38" i="5" s="1"/>
  <c r="D35" i="5"/>
  <c r="M28" i="5"/>
  <c r="L28" i="5"/>
  <c r="K28" i="5"/>
  <c r="J28" i="5"/>
  <c r="I28" i="5"/>
  <c r="H28" i="5"/>
  <c r="G28" i="5"/>
  <c r="F28" i="5"/>
  <c r="E28" i="5"/>
  <c r="D28" i="5"/>
  <c r="E24" i="5"/>
  <c r="F24" i="5" s="1"/>
  <c r="G24" i="5" s="1"/>
  <c r="H24" i="5" s="1"/>
  <c r="I24" i="5" s="1"/>
  <c r="K24" i="5" s="1"/>
  <c r="L24" i="5" s="1"/>
  <c r="M24" i="5" s="1"/>
  <c r="F20" i="5"/>
  <c r="G20" i="5" s="1"/>
  <c r="H20" i="5" s="1"/>
  <c r="I20" i="5" s="1"/>
  <c r="J20" i="5" s="1"/>
  <c r="K20" i="5" s="1"/>
  <c r="L20" i="5" s="1"/>
  <c r="M20" i="5" s="1"/>
  <c r="N20" i="5" s="1"/>
  <c r="E20" i="5"/>
  <c r="D13" i="5"/>
  <c r="D12" i="5"/>
  <c r="D31" i="5" s="1"/>
  <c r="F17" i="4"/>
  <c r="M35" i="4"/>
  <c r="L35" i="4"/>
  <c r="K35" i="4"/>
  <c r="J35" i="4"/>
  <c r="I35" i="4"/>
  <c r="H35" i="4"/>
  <c r="G35" i="4"/>
  <c r="F35" i="4"/>
  <c r="E35" i="4"/>
  <c r="D35" i="4"/>
  <c r="D34" i="4"/>
  <c r="D36" i="4" s="1"/>
  <c r="D33" i="4"/>
  <c r="M32" i="4"/>
  <c r="L32" i="4"/>
  <c r="L31" i="4" s="1"/>
  <c r="K32" i="4"/>
  <c r="K31" i="4" s="1"/>
  <c r="J32" i="4"/>
  <c r="I32" i="4"/>
  <c r="H32" i="4"/>
  <c r="H31" i="4" s="1"/>
  <c r="G32" i="4"/>
  <c r="G31" i="4" s="1"/>
  <c r="F32" i="4"/>
  <c r="F31" i="4" s="1"/>
  <c r="E32" i="4"/>
  <c r="D32" i="4"/>
  <c r="D31" i="4" s="1"/>
  <c r="M31" i="4"/>
  <c r="J31" i="4"/>
  <c r="I31" i="4"/>
  <c r="E31" i="4"/>
  <c r="M27" i="4"/>
  <c r="L27" i="4"/>
  <c r="K27" i="4"/>
  <c r="J27" i="4"/>
  <c r="I27" i="4"/>
  <c r="H27" i="4"/>
  <c r="G27" i="4"/>
  <c r="F27" i="4"/>
  <c r="E27" i="4"/>
  <c r="D27" i="4"/>
  <c r="F23" i="4"/>
  <c r="G23" i="4" s="1"/>
  <c r="H23" i="4" s="1"/>
  <c r="I23" i="4" s="1"/>
  <c r="J23" i="4" s="1"/>
  <c r="K23" i="4" s="1"/>
  <c r="L23" i="4" s="1"/>
  <c r="M23" i="4" s="1"/>
  <c r="E23" i="4"/>
  <c r="G19" i="4"/>
  <c r="H19" i="4" s="1"/>
  <c r="I19" i="4" s="1"/>
  <c r="J19" i="4" s="1"/>
  <c r="K19" i="4" s="1"/>
  <c r="L19" i="4" s="1"/>
  <c r="M19" i="4" s="1"/>
  <c r="N19" i="4" s="1"/>
  <c r="F19" i="4"/>
  <c r="E19" i="4"/>
  <c r="D12" i="4"/>
  <c r="D11" i="4"/>
  <c r="D30" i="4" s="1"/>
  <c r="D35" i="1"/>
  <c r="M35" i="1"/>
  <c r="H31" i="1"/>
  <c r="L31" i="1"/>
  <c r="D27" i="1"/>
  <c r="D12" i="1"/>
  <c r="I39" i="2"/>
  <c r="D11" i="1"/>
  <c r="D30" i="1" s="1"/>
  <c r="D29" i="1" s="1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H39" i="2" s="1"/>
  <c r="G24" i="2"/>
  <c r="G39" i="2" s="1"/>
  <c r="L35" i="1"/>
  <c r="K35" i="1"/>
  <c r="J35" i="1"/>
  <c r="I35" i="1"/>
  <c r="H35" i="1"/>
  <c r="G35" i="1"/>
  <c r="F35" i="1"/>
  <c r="E35" i="1"/>
  <c r="D33" i="1"/>
  <c r="D34" i="1" s="1"/>
  <c r="D36" i="1" s="1"/>
  <c r="M32" i="1"/>
  <c r="M31" i="1" s="1"/>
  <c r="L32" i="1"/>
  <c r="K32" i="1"/>
  <c r="K31" i="1" s="1"/>
  <c r="J32" i="1"/>
  <c r="J31" i="1" s="1"/>
  <c r="I32" i="1"/>
  <c r="I31" i="1" s="1"/>
  <c r="H32" i="1"/>
  <c r="G32" i="1"/>
  <c r="G31" i="1" s="1"/>
  <c r="F32" i="1"/>
  <c r="F31" i="1" s="1"/>
  <c r="E32" i="1"/>
  <c r="E31" i="1" s="1"/>
  <c r="D32" i="1"/>
  <c r="D31" i="1" s="1"/>
  <c r="M27" i="1"/>
  <c r="L27" i="1"/>
  <c r="K27" i="1"/>
  <c r="J27" i="1"/>
  <c r="I27" i="1"/>
  <c r="H27" i="1"/>
  <c r="G27" i="1"/>
  <c r="F27" i="1"/>
  <c r="E27" i="1"/>
  <c r="F23" i="1"/>
  <c r="G23" i="1" s="1"/>
  <c r="H23" i="1" s="1"/>
  <c r="I23" i="1" s="1"/>
  <c r="J23" i="1" s="1"/>
  <c r="K23" i="1" s="1"/>
  <c r="L23" i="1" s="1"/>
  <c r="M23" i="1" s="1"/>
  <c r="E23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D7" i="11"/>
  <c r="K34" i="5"/>
  <c r="L34" i="5"/>
  <c r="E34" i="5"/>
  <c r="G34" i="5"/>
  <c r="H34" i="5"/>
  <c r="F34" i="5"/>
  <c r="M34" i="5"/>
  <c r="I34" i="5"/>
  <c r="D17" i="11"/>
  <c r="J34" i="5"/>
  <c r="D28" i="1" l="1"/>
  <c r="J35" i="18"/>
  <c r="F35" i="18"/>
  <c r="D33" i="18"/>
  <c r="K27" i="18"/>
  <c r="G27" i="18"/>
  <c r="M35" i="18"/>
  <c r="I35" i="18"/>
  <c r="E35" i="18"/>
  <c r="J27" i="18"/>
  <c r="F27" i="18"/>
  <c r="L35" i="18"/>
  <c r="H35" i="18"/>
  <c r="D35" i="18"/>
  <c r="M27" i="18"/>
  <c r="I27" i="18"/>
  <c r="E27" i="18"/>
  <c r="K35" i="18"/>
  <c r="G35" i="18"/>
  <c r="L27" i="18"/>
  <c r="H27" i="18"/>
  <c r="D27" i="18"/>
  <c r="K32" i="18"/>
  <c r="K31" i="18" s="1"/>
  <c r="G32" i="18"/>
  <c r="G31" i="18" s="1"/>
  <c r="H32" i="18"/>
  <c r="H31" i="18" s="1"/>
  <c r="J32" i="18"/>
  <c r="J31" i="18" s="1"/>
  <c r="F32" i="18"/>
  <c r="F31" i="18" s="1"/>
  <c r="D32" i="18"/>
  <c r="D31" i="18" s="1"/>
  <c r="D28" i="18" s="1"/>
  <c r="M32" i="18"/>
  <c r="M31" i="18" s="1"/>
  <c r="I32" i="18"/>
  <c r="I31" i="18" s="1"/>
  <c r="E32" i="18"/>
  <c r="E31" i="18" s="1"/>
  <c r="L32" i="18"/>
  <c r="L31" i="18" s="1"/>
  <c r="E30" i="18"/>
  <c r="F32" i="11"/>
  <c r="F31" i="11" s="1"/>
  <c r="M32" i="11"/>
  <c r="M31" i="11" s="1"/>
  <c r="I32" i="11"/>
  <c r="I31" i="11" s="1"/>
  <c r="E32" i="11"/>
  <c r="E31" i="11" s="1"/>
  <c r="J32" i="11"/>
  <c r="J31" i="11" s="1"/>
  <c r="L32" i="11"/>
  <c r="L31" i="11" s="1"/>
  <c r="H32" i="11"/>
  <c r="H31" i="11" s="1"/>
  <c r="D32" i="11"/>
  <c r="D31" i="11" s="1"/>
  <c r="K32" i="11"/>
  <c r="K31" i="11" s="1"/>
  <c r="G32" i="11"/>
  <c r="G31" i="11" s="1"/>
  <c r="E33" i="11"/>
  <c r="E34" i="11" s="1"/>
  <c r="E36" i="11" s="1"/>
  <c r="E30" i="11"/>
  <c r="D29" i="11"/>
  <c r="J32" i="6"/>
  <c r="J31" i="6" s="1"/>
  <c r="F32" i="6"/>
  <c r="F31" i="6" s="1"/>
  <c r="M32" i="6"/>
  <c r="M31" i="6" s="1"/>
  <c r="I32" i="6"/>
  <c r="I31" i="6" s="1"/>
  <c r="E32" i="6"/>
  <c r="E31" i="6" s="1"/>
  <c r="L32" i="6"/>
  <c r="L31" i="6" s="1"/>
  <c r="H32" i="6"/>
  <c r="H31" i="6" s="1"/>
  <c r="D32" i="6"/>
  <c r="D31" i="6" s="1"/>
  <c r="K32" i="6"/>
  <c r="K31" i="6" s="1"/>
  <c r="G32" i="6"/>
  <c r="G31" i="6" s="1"/>
  <c r="E33" i="6"/>
  <c r="E34" i="6" s="1"/>
  <c r="E36" i="6" s="1"/>
  <c r="D29" i="6"/>
  <c r="E30" i="6"/>
  <c r="H33" i="5"/>
  <c r="H32" i="5" s="1"/>
  <c r="K33" i="5"/>
  <c r="K32" i="5" s="1"/>
  <c r="G33" i="5"/>
  <c r="G32" i="5" s="1"/>
  <c r="J33" i="5"/>
  <c r="J32" i="5" s="1"/>
  <c r="F33" i="5"/>
  <c r="F32" i="5" s="1"/>
  <c r="L33" i="5"/>
  <c r="L32" i="5" s="1"/>
  <c r="M33" i="5"/>
  <c r="M32" i="5" s="1"/>
  <c r="I33" i="5"/>
  <c r="I32" i="5" s="1"/>
  <c r="E33" i="5"/>
  <c r="E32" i="5" s="1"/>
  <c r="D33" i="5"/>
  <c r="D32" i="5" s="1"/>
  <c r="D30" i="5"/>
  <c r="E31" i="5"/>
  <c r="E35" i="5"/>
  <c r="E36" i="5" s="1"/>
  <c r="E38" i="5" s="1"/>
  <c r="E33" i="4"/>
  <c r="E34" i="4" s="1"/>
  <c r="E36" i="4"/>
  <c r="D29" i="4"/>
  <c r="D28" i="4" s="1"/>
  <c r="E30" i="4"/>
  <c r="E30" i="1"/>
  <c r="D24" i="1"/>
  <c r="D26" i="1"/>
  <c r="D25" i="1" s="1"/>
  <c r="D37" i="2"/>
  <c r="E33" i="1"/>
  <c r="E34" i="1" s="1"/>
  <c r="E36" i="1" s="1"/>
  <c r="D34" i="18" l="1"/>
  <c r="D36" i="18" s="1"/>
  <c r="E33" i="18" s="1"/>
  <c r="E34" i="18" s="1"/>
  <c r="E36" i="18" s="1"/>
  <c r="F33" i="18" s="1"/>
  <c r="F34" i="18" s="1"/>
  <c r="F36" i="18" s="1"/>
  <c r="D24" i="18"/>
  <c r="D26" i="18"/>
  <c r="D25" i="18" s="1"/>
  <c r="E29" i="18"/>
  <c r="E28" i="18" s="1"/>
  <c r="F30" i="18"/>
  <c r="D28" i="11"/>
  <c r="D24" i="11" s="1"/>
  <c r="F33" i="11"/>
  <c r="F34" i="11" s="1"/>
  <c r="F36" i="11" s="1"/>
  <c r="E29" i="11"/>
  <c r="E28" i="11" s="1"/>
  <c r="F30" i="11"/>
  <c r="D28" i="6"/>
  <c r="D26" i="6" s="1"/>
  <c r="D25" i="6" s="1"/>
  <c r="F33" i="6"/>
  <c r="F34" i="6" s="1"/>
  <c r="F36" i="6" s="1"/>
  <c r="E29" i="6"/>
  <c r="E28" i="6" s="1"/>
  <c r="F30" i="6"/>
  <c r="D29" i="5"/>
  <c r="D25" i="5" s="1"/>
  <c r="F35" i="5"/>
  <c r="F36" i="5" s="1"/>
  <c r="F38" i="5" s="1"/>
  <c r="F31" i="5"/>
  <c r="E30" i="5"/>
  <c r="E29" i="5" s="1"/>
  <c r="F33" i="4"/>
  <c r="F34" i="4" s="1"/>
  <c r="F36" i="4" s="1"/>
  <c r="E29" i="4"/>
  <c r="E28" i="4" s="1"/>
  <c r="F30" i="4"/>
  <c r="D24" i="4"/>
  <c r="D26" i="4"/>
  <c r="D25" i="4" s="1"/>
  <c r="D20" i="1"/>
  <c r="D37" i="1" s="1"/>
  <c r="D38" i="2"/>
  <c r="E29" i="1"/>
  <c r="E28" i="1" s="1"/>
  <c r="E24" i="1" s="1"/>
  <c r="F30" i="1"/>
  <c r="F36" i="1"/>
  <c r="F33" i="1"/>
  <c r="F34" i="1" s="1"/>
  <c r="G33" i="18" l="1"/>
  <c r="G34" i="18" s="1"/>
  <c r="G36" i="18" s="1"/>
  <c r="D20" i="18"/>
  <c r="D37" i="18" s="1"/>
  <c r="G30" i="18"/>
  <c r="F29" i="18"/>
  <c r="F28" i="18" s="1"/>
  <c r="E26" i="18"/>
  <c r="E25" i="18" s="1"/>
  <c r="E24" i="18"/>
  <c r="D26" i="11"/>
  <c r="D25" i="11" s="1"/>
  <c r="D20" i="11" s="1"/>
  <c r="D37" i="11" s="1"/>
  <c r="G33" i="11"/>
  <c r="G34" i="11" s="1"/>
  <c r="G36" i="11" s="1"/>
  <c r="E24" i="11"/>
  <c r="E26" i="11"/>
  <c r="E25" i="11" s="1"/>
  <c r="G30" i="11"/>
  <c r="F29" i="11"/>
  <c r="F28" i="11" s="1"/>
  <c r="D24" i="6"/>
  <c r="D20" i="6" s="1"/>
  <c r="D37" i="6" s="1"/>
  <c r="G33" i="6"/>
  <c r="G34" i="6" s="1"/>
  <c r="G36" i="6" s="1"/>
  <c r="E24" i="6"/>
  <c r="E26" i="6"/>
  <c r="E25" i="6" s="1"/>
  <c r="G30" i="6"/>
  <c r="F29" i="6"/>
  <c r="F28" i="6" s="1"/>
  <c r="D27" i="5"/>
  <c r="D26" i="5" s="1"/>
  <c r="D21" i="5" s="1"/>
  <c r="D39" i="5" s="1"/>
  <c r="G35" i="5"/>
  <c r="G36" i="5" s="1"/>
  <c r="G38" i="5"/>
  <c r="F30" i="5"/>
  <c r="F29" i="5" s="1"/>
  <c r="G31" i="5"/>
  <c r="E27" i="5"/>
  <c r="E26" i="5" s="1"/>
  <c r="E25" i="5"/>
  <c r="G33" i="4"/>
  <c r="G34" i="4" s="1"/>
  <c r="G36" i="4" s="1"/>
  <c r="G30" i="4"/>
  <c r="F29" i="4"/>
  <c r="F28" i="4" s="1"/>
  <c r="E26" i="4"/>
  <c r="E25" i="4" s="1"/>
  <c r="E24" i="4"/>
  <c r="D20" i="4"/>
  <c r="D37" i="4" s="1"/>
  <c r="G18" i="2"/>
  <c r="G33" i="1"/>
  <c r="G34" i="1" s="1"/>
  <c r="G36" i="1" s="1"/>
  <c r="G30" i="1"/>
  <c r="F29" i="1"/>
  <c r="F28" i="1" s="1"/>
  <c r="E26" i="1"/>
  <c r="E25" i="1" s="1"/>
  <c r="E20" i="18" l="1"/>
  <c r="E37" i="18" s="1"/>
  <c r="H33" i="18"/>
  <c r="H34" i="18" s="1"/>
  <c r="H36" i="18" s="1"/>
  <c r="H30" i="18"/>
  <c r="G29" i="18"/>
  <c r="G28" i="18" s="1"/>
  <c r="F26" i="18"/>
  <c r="F25" i="18" s="1"/>
  <c r="F24" i="18"/>
  <c r="H33" i="11"/>
  <c r="H34" i="11" s="1"/>
  <c r="H36" i="11"/>
  <c r="E20" i="11"/>
  <c r="E37" i="11" s="1"/>
  <c r="F26" i="11"/>
  <c r="F25" i="11" s="1"/>
  <c r="F24" i="11"/>
  <c r="H30" i="11"/>
  <c r="G29" i="11"/>
  <c r="G28" i="11" s="1"/>
  <c r="H33" i="6"/>
  <c r="H34" i="6" s="1"/>
  <c r="H36" i="6"/>
  <c r="E20" i="6"/>
  <c r="E37" i="6" s="1"/>
  <c r="F26" i="6"/>
  <c r="F25" i="6" s="1"/>
  <c r="F24" i="6"/>
  <c r="G29" i="6"/>
  <c r="G28" i="6" s="1"/>
  <c r="H30" i="6"/>
  <c r="G30" i="5"/>
  <c r="G29" i="5" s="1"/>
  <c r="H31" i="5"/>
  <c r="E21" i="5"/>
  <c r="E39" i="5" s="1"/>
  <c r="F27" i="5"/>
  <c r="F26" i="5" s="1"/>
  <c r="F25" i="5"/>
  <c r="H35" i="5"/>
  <c r="H36" i="5" s="1"/>
  <c r="H38" i="5"/>
  <c r="E20" i="4"/>
  <c r="E37" i="4" s="1"/>
  <c r="H33" i="4"/>
  <c r="H34" i="4" s="1"/>
  <c r="H36" i="4" s="1"/>
  <c r="F26" i="4"/>
  <c r="F25" i="4" s="1"/>
  <c r="F24" i="4"/>
  <c r="H30" i="4"/>
  <c r="G29" i="4"/>
  <c r="G28" i="4" s="1"/>
  <c r="E20" i="1"/>
  <c r="E37" i="1" s="1"/>
  <c r="H33" i="1"/>
  <c r="H34" i="1" s="1"/>
  <c r="H36" i="1" s="1"/>
  <c r="F26" i="1"/>
  <c r="F25" i="1" s="1"/>
  <c r="F24" i="1"/>
  <c r="H30" i="1"/>
  <c r="G29" i="1"/>
  <c r="G28" i="1" s="1"/>
  <c r="F20" i="18" l="1"/>
  <c r="F37" i="18" s="1"/>
  <c r="I33" i="18"/>
  <c r="I34" i="18" s="1"/>
  <c r="I36" i="18" s="1"/>
  <c r="G26" i="18"/>
  <c r="G25" i="18" s="1"/>
  <c r="G24" i="18"/>
  <c r="H29" i="18"/>
  <c r="H28" i="18" s="1"/>
  <c r="I30" i="18"/>
  <c r="F20" i="11"/>
  <c r="F37" i="11" s="1"/>
  <c r="G26" i="11"/>
  <c r="G25" i="11" s="1"/>
  <c r="G24" i="11"/>
  <c r="I30" i="11"/>
  <c r="H29" i="11"/>
  <c r="H28" i="11" s="1"/>
  <c r="I33" i="11"/>
  <c r="I34" i="11" s="1"/>
  <c r="I36" i="11"/>
  <c r="F20" i="6"/>
  <c r="F37" i="6" s="1"/>
  <c r="H29" i="6"/>
  <c r="H28" i="6" s="1"/>
  <c r="I30" i="6"/>
  <c r="I33" i="6"/>
  <c r="I34" i="6" s="1"/>
  <c r="I36" i="6"/>
  <c r="G26" i="6"/>
  <c r="G25" i="6" s="1"/>
  <c r="G24" i="6"/>
  <c r="I35" i="5"/>
  <c r="I36" i="5" s="1"/>
  <c r="I38" i="5" s="1"/>
  <c r="H30" i="5"/>
  <c r="H29" i="5" s="1"/>
  <c r="I31" i="5"/>
  <c r="F21" i="5"/>
  <c r="F39" i="5" s="1"/>
  <c r="G27" i="5"/>
  <c r="G26" i="5" s="1"/>
  <c r="G25" i="5"/>
  <c r="I33" i="4"/>
  <c r="I34" i="4" s="1"/>
  <c r="I36" i="4" s="1"/>
  <c r="F20" i="4"/>
  <c r="F37" i="4" s="1"/>
  <c r="G26" i="4"/>
  <c r="G25" i="4" s="1"/>
  <c r="G24" i="4"/>
  <c r="H29" i="4"/>
  <c r="H28" i="4" s="1"/>
  <c r="I30" i="4"/>
  <c r="I33" i="1"/>
  <c r="I34" i="1" s="1"/>
  <c r="I36" i="1" s="1"/>
  <c r="F20" i="1"/>
  <c r="F37" i="1" s="1"/>
  <c r="G26" i="1"/>
  <c r="G25" i="1" s="1"/>
  <c r="G24" i="1"/>
  <c r="H29" i="1"/>
  <c r="H28" i="1" s="1"/>
  <c r="I30" i="1"/>
  <c r="J33" i="18" l="1"/>
  <c r="J34" i="18" s="1"/>
  <c r="J36" i="18" s="1"/>
  <c r="G20" i="18"/>
  <c r="G37" i="18" s="1"/>
  <c r="I29" i="18"/>
  <c r="I28" i="18" s="1"/>
  <c r="J30" i="18"/>
  <c r="H26" i="18"/>
  <c r="H25" i="18" s="1"/>
  <c r="H24" i="18"/>
  <c r="G20" i="11"/>
  <c r="G37" i="11" s="1"/>
  <c r="I29" i="11"/>
  <c r="I28" i="11" s="1"/>
  <c r="J30" i="11"/>
  <c r="J33" i="11"/>
  <c r="J34" i="11" s="1"/>
  <c r="J36" i="11"/>
  <c r="H24" i="11"/>
  <c r="H26" i="11"/>
  <c r="H25" i="11" s="1"/>
  <c r="J33" i="6"/>
  <c r="J34" i="6" s="1"/>
  <c r="J36" i="6" s="1"/>
  <c r="G20" i="6"/>
  <c r="G37" i="6" s="1"/>
  <c r="I29" i="6"/>
  <c r="I28" i="6" s="1"/>
  <c r="J30" i="6"/>
  <c r="H26" i="6"/>
  <c r="H25" i="6" s="1"/>
  <c r="H24" i="6"/>
  <c r="J35" i="5"/>
  <c r="J36" i="5" s="1"/>
  <c r="J38" i="5" s="1"/>
  <c r="G21" i="5"/>
  <c r="G39" i="5" s="1"/>
  <c r="H27" i="5"/>
  <c r="H26" i="5" s="1"/>
  <c r="H25" i="5"/>
  <c r="J31" i="5"/>
  <c r="I30" i="5"/>
  <c r="I29" i="5" s="1"/>
  <c r="G20" i="4"/>
  <c r="G37" i="4" s="1"/>
  <c r="J36" i="4"/>
  <c r="J33" i="4"/>
  <c r="J34" i="4" s="1"/>
  <c r="I29" i="4"/>
  <c r="I28" i="4" s="1"/>
  <c r="J30" i="4"/>
  <c r="H26" i="4"/>
  <c r="H25" i="4" s="1"/>
  <c r="H24" i="4"/>
  <c r="G20" i="1"/>
  <c r="G37" i="1" s="1"/>
  <c r="H26" i="1"/>
  <c r="H25" i="1" s="1"/>
  <c r="H24" i="1"/>
  <c r="I29" i="1"/>
  <c r="I28" i="1" s="1"/>
  <c r="J30" i="1"/>
  <c r="J33" i="1"/>
  <c r="J34" i="1" s="1"/>
  <c r="J36" i="1" s="1"/>
  <c r="H20" i="18" l="1"/>
  <c r="H37" i="18" s="1"/>
  <c r="K33" i="18"/>
  <c r="K34" i="18" s="1"/>
  <c r="K36" i="18" s="1"/>
  <c r="I26" i="18"/>
  <c r="I25" i="18" s="1"/>
  <c r="I24" i="18"/>
  <c r="K30" i="18"/>
  <c r="J29" i="18"/>
  <c r="J28" i="18" s="1"/>
  <c r="K30" i="11"/>
  <c r="J29" i="11"/>
  <c r="J28" i="11" s="1"/>
  <c r="H20" i="11"/>
  <c r="H37" i="11" s="1"/>
  <c r="I26" i="11"/>
  <c r="I25" i="11" s="1"/>
  <c r="I24" i="11"/>
  <c r="K33" i="11"/>
  <c r="K34" i="11" s="1"/>
  <c r="K36" i="11" s="1"/>
  <c r="H20" i="6"/>
  <c r="H37" i="6" s="1"/>
  <c r="K33" i="6"/>
  <c r="K34" i="6" s="1"/>
  <c r="K36" i="6" s="1"/>
  <c r="I24" i="6"/>
  <c r="I26" i="6"/>
  <c r="I25" i="6" s="1"/>
  <c r="K30" i="6"/>
  <c r="J29" i="6"/>
  <c r="J28" i="6" s="1"/>
  <c r="K35" i="5"/>
  <c r="K36" i="5" s="1"/>
  <c r="K38" i="5" s="1"/>
  <c r="J30" i="5"/>
  <c r="J29" i="5" s="1"/>
  <c r="K31" i="5"/>
  <c r="I27" i="5"/>
  <c r="I26" i="5" s="1"/>
  <c r="I25" i="5"/>
  <c r="H21" i="5"/>
  <c r="H39" i="5" s="1"/>
  <c r="H20" i="4"/>
  <c r="H37" i="4" s="1"/>
  <c r="I26" i="4"/>
  <c r="I25" i="4" s="1"/>
  <c r="I24" i="4"/>
  <c r="K30" i="4"/>
  <c r="J29" i="4"/>
  <c r="J28" i="4" s="1"/>
  <c r="K36" i="4"/>
  <c r="K33" i="4"/>
  <c r="K34" i="4" s="1"/>
  <c r="H20" i="1"/>
  <c r="H37" i="1" s="1"/>
  <c r="K30" i="1"/>
  <c r="J29" i="1"/>
  <c r="J28" i="1" s="1"/>
  <c r="K33" i="1"/>
  <c r="K34" i="1" s="1"/>
  <c r="K36" i="1" s="1"/>
  <c r="I26" i="1"/>
  <c r="I25" i="1" s="1"/>
  <c r="I24" i="1"/>
  <c r="L33" i="18" l="1"/>
  <c r="L34" i="18" s="1"/>
  <c r="L36" i="18" s="1"/>
  <c r="I20" i="18"/>
  <c r="I37" i="18" s="1"/>
  <c r="J26" i="18"/>
  <c r="J25" i="18" s="1"/>
  <c r="J24" i="18"/>
  <c r="L30" i="18"/>
  <c r="K29" i="18"/>
  <c r="K28" i="18" s="1"/>
  <c r="L33" i="11"/>
  <c r="L34" i="11" s="1"/>
  <c r="L36" i="11" s="1"/>
  <c r="J26" i="11"/>
  <c r="J25" i="11" s="1"/>
  <c r="J24" i="11"/>
  <c r="I20" i="11"/>
  <c r="I37" i="11" s="1"/>
  <c r="K29" i="11"/>
  <c r="K28" i="11" s="1"/>
  <c r="L30" i="11"/>
  <c r="I20" i="6"/>
  <c r="I37" i="6" s="1"/>
  <c r="L33" i="6"/>
  <c r="L34" i="6" s="1"/>
  <c r="L36" i="6" s="1"/>
  <c r="J26" i="6"/>
  <c r="J25" i="6" s="1"/>
  <c r="J24" i="6"/>
  <c r="K29" i="6"/>
  <c r="K28" i="6" s="1"/>
  <c r="L30" i="6"/>
  <c r="I21" i="5"/>
  <c r="I39" i="5" s="1"/>
  <c r="L35" i="5"/>
  <c r="L36" i="5" s="1"/>
  <c r="L38" i="5"/>
  <c r="J27" i="5"/>
  <c r="J26" i="5" s="1"/>
  <c r="J25" i="5"/>
  <c r="K30" i="5"/>
  <c r="K29" i="5" s="1"/>
  <c r="L31" i="5"/>
  <c r="L33" i="4"/>
  <c r="L34" i="4" s="1"/>
  <c r="L36" i="4" s="1"/>
  <c r="J26" i="4"/>
  <c r="J25" i="4" s="1"/>
  <c r="J24" i="4"/>
  <c r="L30" i="4"/>
  <c r="K29" i="4"/>
  <c r="K28" i="4" s="1"/>
  <c r="I20" i="4"/>
  <c r="I37" i="4" s="1"/>
  <c r="L33" i="1"/>
  <c r="L34" i="1" s="1"/>
  <c r="L36" i="1" s="1"/>
  <c r="M33" i="1" s="1"/>
  <c r="M34" i="1" s="1"/>
  <c r="I20" i="1"/>
  <c r="I37" i="1" s="1"/>
  <c r="J26" i="1"/>
  <c r="J25" i="1" s="1"/>
  <c r="J24" i="1"/>
  <c r="L30" i="1"/>
  <c r="K29" i="1"/>
  <c r="K28" i="1" s="1"/>
  <c r="K26" i="18" l="1"/>
  <c r="K25" i="18" s="1"/>
  <c r="K24" i="18"/>
  <c r="L29" i="18"/>
  <c r="L28" i="18" s="1"/>
  <c r="M30" i="18"/>
  <c r="M29" i="18" s="1"/>
  <c r="M28" i="18" s="1"/>
  <c r="M33" i="18"/>
  <c r="M34" i="18" s="1"/>
  <c r="M36" i="18" s="1"/>
  <c r="J20" i="18"/>
  <c r="J37" i="18" s="1"/>
  <c r="J20" i="11"/>
  <c r="J37" i="11" s="1"/>
  <c r="M33" i="11"/>
  <c r="M34" i="11" s="1"/>
  <c r="M36" i="11" s="1"/>
  <c r="L29" i="11"/>
  <c r="L28" i="11" s="1"/>
  <c r="M30" i="11"/>
  <c r="M29" i="11" s="1"/>
  <c r="M28" i="11" s="1"/>
  <c r="K26" i="11"/>
  <c r="K25" i="11" s="1"/>
  <c r="K24" i="11"/>
  <c r="M33" i="6"/>
  <c r="M34" i="6" s="1"/>
  <c r="M36" i="6" s="1"/>
  <c r="J20" i="6"/>
  <c r="J37" i="6" s="1"/>
  <c r="L29" i="6"/>
  <c r="L28" i="6" s="1"/>
  <c r="M30" i="6"/>
  <c r="M29" i="6" s="1"/>
  <c r="M28" i="6" s="1"/>
  <c r="K26" i="6"/>
  <c r="K25" i="6" s="1"/>
  <c r="K24" i="6"/>
  <c r="J21" i="5"/>
  <c r="J39" i="5" s="1"/>
  <c r="L30" i="5"/>
  <c r="L29" i="5" s="1"/>
  <c r="M31" i="5"/>
  <c r="M30" i="5" s="1"/>
  <c r="M29" i="5" s="1"/>
  <c r="M35" i="5"/>
  <c r="M36" i="5" s="1"/>
  <c r="M38" i="5" s="1"/>
  <c r="K25" i="5"/>
  <c r="K27" i="5"/>
  <c r="K26" i="5" s="1"/>
  <c r="M33" i="4"/>
  <c r="M34" i="4" s="1"/>
  <c r="M36" i="4" s="1"/>
  <c r="L29" i="4"/>
  <c r="L28" i="4" s="1"/>
  <c r="M30" i="4"/>
  <c r="M29" i="4" s="1"/>
  <c r="M28" i="4" s="1"/>
  <c r="J20" i="4"/>
  <c r="J37" i="4" s="1"/>
  <c r="K26" i="4"/>
  <c r="K25" i="4" s="1"/>
  <c r="K24" i="4"/>
  <c r="J20" i="1"/>
  <c r="J37" i="1" s="1"/>
  <c r="M36" i="1"/>
  <c r="K26" i="1"/>
  <c r="K25" i="1" s="1"/>
  <c r="K24" i="1"/>
  <c r="L29" i="1"/>
  <c r="L28" i="1" s="1"/>
  <c r="M30" i="1"/>
  <c r="M29" i="1" s="1"/>
  <c r="M28" i="1" s="1"/>
  <c r="K20" i="18" l="1"/>
  <c r="K37" i="18" s="1"/>
  <c r="L26" i="18"/>
  <c r="L25" i="18" s="1"/>
  <c r="L24" i="18"/>
  <c r="M26" i="18"/>
  <c r="M25" i="18" s="1"/>
  <c r="M24" i="18"/>
  <c r="M24" i="11"/>
  <c r="M26" i="11"/>
  <c r="M25" i="11" s="1"/>
  <c r="L26" i="11"/>
  <c r="L25" i="11" s="1"/>
  <c r="L24" i="11"/>
  <c r="K20" i="11"/>
  <c r="K37" i="11" s="1"/>
  <c r="K20" i="6"/>
  <c r="K37" i="6" s="1"/>
  <c r="L24" i="6"/>
  <c r="L26" i="6"/>
  <c r="L25" i="6" s="1"/>
  <c r="M26" i="6"/>
  <c r="M25" i="6" s="1"/>
  <c r="M24" i="6"/>
  <c r="M27" i="5"/>
  <c r="M26" i="5" s="1"/>
  <c r="M25" i="5"/>
  <c r="K21" i="5"/>
  <c r="K39" i="5" s="1"/>
  <c r="L27" i="5"/>
  <c r="L26" i="5" s="1"/>
  <c r="L25" i="5"/>
  <c r="K20" i="4"/>
  <c r="K37" i="4" s="1"/>
  <c r="M26" i="4"/>
  <c r="M25" i="4" s="1"/>
  <c r="M24" i="4"/>
  <c r="L26" i="4"/>
  <c r="L25" i="4" s="1"/>
  <c r="L24" i="4"/>
  <c r="L24" i="1"/>
  <c r="L26" i="1"/>
  <c r="L25" i="1" s="1"/>
  <c r="K20" i="1"/>
  <c r="K37" i="1" s="1"/>
  <c r="M26" i="1"/>
  <c r="M25" i="1" s="1"/>
  <c r="M24" i="1"/>
  <c r="L20" i="18" l="1"/>
  <c r="L37" i="18" s="1"/>
  <c r="M20" i="18"/>
  <c r="M37" i="18" s="1"/>
  <c r="L20" i="11"/>
  <c r="L37" i="11" s="1"/>
  <c r="M20" i="11"/>
  <c r="M37" i="11" s="1"/>
  <c r="M20" i="6"/>
  <c r="M37" i="6" s="1"/>
  <c r="L20" i="6"/>
  <c r="L37" i="6" s="1"/>
  <c r="M21" i="5"/>
  <c r="M39" i="5" s="1"/>
  <c r="L21" i="5"/>
  <c r="L39" i="5" s="1"/>
  <c r="M20" i="4"/>
  <c r="M37" i="4" s="1"/>
  <c r="L20" i="4"/>
  <c r="L37" i="4" s="1"/>
  <c r="M20" i="1"/>
  <c r="M37" i="1" s="1"/>
  <c r="N21" i="1" s="1"/>
  <c r="L20" i="1"/>
  <c r="L37" i="1" s="1"/>
  <c r="N22" i="5"/>
  <c r="N21" i="4" l="1"/>
  <c r="N21" i="18"/>
  <c r="N21" i="11"/>
  <c r="N21" i="6"/>
</calcChain>
</file>

<file path=xl/sharedStrings.xml><?xml version="1.0" encoding="utf-8"?>
<sst xmlns="http://schemas.openxmlformats.org/spreadsheetml/2006/main" count="342" uniqueCount="86">
  <si>
    <t>Team 2: Racquet ball Problem</t>
  </si>
  <si>
    <t>Parameters</t>
  </si>
  <si>
    <t>Variable cost / ball</t>
  </si>
  <si>
    <t>Variable cost for competitor’s ball</t>
  </si>
  <si>
    <t>Initial investment cost</t>
  </si>
  <si>
    <t>Selling price of competitor’s ball to retailer</t>
  </si>
  <si>
    <t>Selling price of competitor’s ball (pack of 2) to end customer</t>
  </si>
  <si>
    <t>Bank Interest rate</t>
  </si>
  <si>
    <t>Maintainance Cost rate</t>
  </si>
  <si>
    <t>Decisions</t>
  </si>
  <si>
    <t>Output</t>
  </si>
  <si>
    <t>Profit</t>
  </si>
  <si>
    <t>Revenue- Total ccost</t>
  </si>
  <si>
    <t>NPV for 2010</t>
  </si>
  <si>
    <t>NPV = (rate,Cashflows for all years)</t>
  </si>
  <si>
    <t>Calculations</t>
  </si>
  <si>
    <t>Revenue</t>
  </si>
  <si>
    <t>Number of balls sold*selling price per ball to retailer</t>
  </si>
  <si>
    <t xml:space="preserve">Total Cost </t>
  </si>
  <si>
    <t>Production cost + Maintainance Cost</t>
  </si>
  <si>
    <t>Production Cost</t>
  </si>
  <si>
    <t>No. of balls sold * variable cost per ball</t>
  </si>
  <si>
    <t xml:space="preserve">Maintainance Cost </t>
  </si>
  <si>
    <t>maintainance cost rate * Initial Investment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</si>
  <si>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Market share * Demand</t>
    </r>
  </si>
  <si>
    <t>No of players*No of balls per player</t>
  </si>
  <si>
    <t>No of players</t>
  </si>
  <si>
    <t>(previous year players*player growth factor)+previous year players</t>
  </si>
  <si>
    <t>f (price ratio, percent of people buying) based on given data.</t>
  </si>
  <si>
    <t>Price Ratio</t>
  </si>
  <si>
    <t>Competitors selling Price per ball / Selling Price per ball to retailer</t>
  </si>
  <si>
    <t>Interest</t>
  </si>
  <si>
    <t>Principal</t>
  </si>
  <si>
    <t>Annual Pay</t>
  </si>
  <si>
    <t>Unpaid loan</t>
  </si>
  <si>
    <t>cash flow</t>
  </si>
  <si>
    <t>Players in year 1999</t>
  </si>
  <si>
    <t>% who would buy</t>
  </si>
  <si>
    <t>Year</t>
  </si>
  <si>
    <t>Number Players(Thousands)</t>
  </si>
  <si>
    <t>Retail Price(per ball)</t>
  </si>
  <si>
    <t>Rate of incr (Players)</t>
  </si>
  <si>
    <t>Rate of incr (Balls sold)</t>
  </si>
  <si>
    <t>Avg balls purchased /player</t>
  </si>
  <si>
    <t>Growth in number of players</t>
  </si>
  <si>
    <t>Loan Tenure</t>
  </si>
  <si>
    <t>No.of balls per player</t>
  </si>
  <si>
    <t>Price of the Ball</t>
  </si>
  <si>
    <t>average calculated from prev data</t>
  </si>
  <si>
    <t>Considering same as competitor in 2000</t>
  </si>
  <si>
    <t>Total Demand</t>
  </si>
  <si>
    <t>Demand for Our ball</t>
  </si>
  <si>
    <t>Initial Investment - Annual Pay</t>
  </si>
  <si>
    <t>Unpaid Loan*Bank_Interest_rate</t>
  </si>
  <si>
    <t>Anuual Pay - Interest</t>
  </si>
  <si>
    <t xml:space="preserve">Profit - Anuual Pay </t>
  </si>
  <si>
    <t>Investment*Bank_Interest_rate/(1-(1+Bank_Interest_rate)^(Tenure))</t>
  </si>
  <si>
    <t>Market Share</t>
  </si>
  <si>
    <t>Formulas</t>
  </si>
  <si>
    <t>&lt;=</t>
  </si>
  <si>
    <t>constraint</t>
  </si>
  <si>
    <t>Min</t>
  </si>
  <si>
    <t>likely</t>
  </si>
  <si>
    <t>max</t>
  </si>
  <si>
    <t>ompetitor</t>
  </si>
  <si>
    <t>Competitor Bal Price</t>
  </si>
  <si>
    <t>Ball_Price</t>
  </si>
  <si>
    <t>[Fiiiiiiinal.xlsx]Changingour price'!$N$21</t>
  </si>
  <si>
    <t>NPV_for_2010 : Competitor_price by Ball_Price</t>
  </si>
  <si>
    <t>Competitor_price</t>
  </si>
  <si>
    <t>Initial_Investment</t>
  </si>
  <si>
    <t>[Fiiiiiiinal.xlsx]what-if'!$N$21</t>
  </si>
  <si>
    <t>Balls Sold(millions)</t>
  </si>
  <si>
    <t>Price Ratio = Competitor prece/Our Ball price</t>
  </si>
  <si>
    <t>Regressed Values</t>
  </si>
  <si>
    <t>Average Values</t>
  </si>
  <si>
    <t>We started our analysis with asuuming our ball price to be same as the compeitors price.Hence calculated the the profit for each year and Net present value for year 2010 .</t>
  </si>
  <si>
    <t xml:space="preserve">Table1Market Share </t>
  </si>
  <si>
    <t>Table2 Growth in Number of players from 1985 to 2000</t>
  </si>
  <si>
    <t>Table3 Given table used to fing Number of players in 2000 and balls per player</t>
  </si>
  <si>
    <t xml:space="preserve">These are the given values in the problem.Table 1 gives Price ratio which is used to find the market share. Table2 shows Growth in players  which is used to calculate demand of balls.Based on table 3 results average balls per player is calculated </t>
  </si>
  <si>
    <t>Optimized the model to get the best ball price for the ball. Constraint = &gt; ballPrice &lt;=5 (as more than this market share would be zero)                                                                                      Decision =&gt; Ball Price                                                                            Objective =&gt; Maximize NPV</t>
  </si>
  <si>
    <t>Risk Analysis : In this case we analyzed our NPV if competitor changes his price every year.                                                      Competitor price is taken as a triangular distribution with min value as variable cost,most likely and maximum value being 2.5 present values.Maximaum value is choosen as $2.5 because the change of competitor increasing his price if we enter the business is very low</t>
  </si>
  <si>
    <t>Here analysis is done to study how NPV changes if our ball price is changed for a better understanding of th epricing model</t>
  </si>
  <si>
    <t>Analysis is done to observe hoe NPV changes for varying ball price and competeitor ball price.</t>
  </si>
  <si>
    <t xml:space="preserve">If the initial investment exceeds our expectations .An analysis is done to observe how NPV changes for different initial investment.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</si>
</sst>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1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1" fillId="0" borderId="5" xfId="2" applyFont="1" applyBorder="1"/>
    <xf numFmtId="0" fontId="0" fillId="0" borderId="6" xfId="0" applyBorder="1"/>
    <xf numFmtId="8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9" fontId="6" fillId="0" borderId="0" xfId="2" applyFont="1" applyBorder="1"/>
    <xf numFmtId="0" fontId="6" fillId="0" borderId="0" xfId="0" applyFont="1"/>
    <xf numFmtId="0" fontId="3" fillId="2" borderId="14" xfId="0" applyFont="1" applyFill="1" applyBorder="1"/>
    <xf numFmtId="0" fontId="6" fillId="4" borderId="14" xfId="0" applyFont="1" applyFill="1" applyBorder="1"/>
    <xf numFmtId="0" fontId="0" fillId="2" borderId="14" xfId="0" applyFill="1" applyBorder="1"/>
    <xf numFmtId="0" fontId="3" fillId="4" borderId="14" xfId="0" applyFont="1" applyFill="1" applyBorder="1"/>
    <xf numFmtId="0" fontId="6" fillId="4" borderId="14" xfId="0" applyFont="1" applyFill="1" applyBorder="1" applyAlignment="1">
      <alignment wrapText="1"/>
    </xf>
    <xf numFmtId="9" fontId="6" fillId="4" borderId="14" xfId="2" applyFont="1" applyFill="1" applyBorder="1"/>
    <xf numFmtId="0" fontId="2" fillId="2" borderId="14" xfId="0" applyFont="1" applyFill="1" applyBorder="1"/>
    <xf numFmtId="44" fontId="5" fillId="2" borderId="14" xfId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10" fontId="5" fillId="2" borderId="14" xfId="2" applyNumberFormat="1" applyFont="1" applyFill="1" applyBorder="1" applyAlignment="1">
      <alignment horizontal="right"/>
    </xf>
    <xf numFmtId="9" fontId="5" fillId="2" borderId="14" xfId="2" applyFont="1" applyFill="1" applyBorder="1" applyAlignment="1">
      <alignment horizontal="right"/>
    </xf>
    <xf numFmtId="8" fontId="0" fillId="2" borderId="14" xfId="0" applyNumberFormat="1" applyFill="1" applyBorder="1"/>
    <xf numFmtId="44" fontId="0" fillId="2" borderId="14" xfId="0" applyNumberFormat="1" applyFill="1" applyBorder="1"/>
    <xf numFmtId="0" fontId="0" fillId="2" borderId="14" xfId="0" applyFill="1" applyBorder="1" applyAlignment="1">
      <alignment vertical="center"/>
    </xf>
    <xf numFmtId="0" fontId="3" fillId="6" borderId="14" xfId="0" applyFont="1" applyFill="1" applyBorder="1"/>
    <xf numFmtId="0" fontId="0" fillId="6" borderId="14" xfId="0" applyFill="1" applyBorder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8" fontId="0" fillId="3" borderId="0" xfId="0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6" fillId="4" borderId="15" xfId="0" applyFont="1" applyFill="1" applyBorder="1"/>
    <xf numFmtId="0" fontId="3" fillId="5" borderId="10" xfId="0" applyFont="1" applyFill="1" applyBorder="1" applyAlignment="1">
      <alignment horizontal="center"/>
    </xf>
    <xf numFmtId="8" fontId="0" fillId="5" borderId="11" xfId="0" applyNumberFormat="1" applyFill="1" applyBorder="1"/>
    <xf numFmtId="44" fontId="7" fillId="2" borderId="14" xfId="1" applyFont="1" applyFill="1" applyBorder="1" applyAlignment="1">
      <alignment horizontal="center"/>
    </xf>
    <xf numFmtId="0" fontId="0" fillId="0" borderId="17" xfId="0" applyNumberFormat="1" applyFill="1" applyBorder="1" applyAlignment="1"/>
    <xf numFmtId="8" fontId="0" fillId="0" borderId="17" xfId="0" applyNumberFormat="1" applyFill="1" applyBorder="1" applyAlignment="1"/>
    <xf numFmtId="0" fontId="0" fillId="0" borderId="18" xfId="0" applyNumberFormat="1" applyFill="1" applyBorder="1" applyAlignment="1"/>
    <xf numFmtId="8" fontId="0" fillId="0" borderId="18" xfId="0" applyNumberFormat="1" applyFill="1" applyBorder="1" applyAlignment="1"/>
    <xf numFmtId="0" fontId="8" fillId="0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left"/>
    </xf>
    <xf numFmtId="0" fontId="7" fillId="0" borderId="16" xfId="0" quotePrefix="1" applyFont="1" applyFill="1" applyBorder="1" applyAlignment="1">
      <alignment horizontal="left"/>
    </xf>
    <xf numFmtId="44" fontId="0" fillId="0" borderId="17" xfId="0" applyNumberFormat="1" applyFill="1" applyBorder="1" applyAlignment="1"/>
    <xf numFmtId="44" fontId="0" fillId="0" borderId="18" xfId="0" applyNumberFormat="1" applyFill="1" applyBorder="1" applyAlignment="1"/>
    <xf numFmtId="44" fontId="7" fillId="0" borderId="17" xfId="0" applyNumberFormat="1" applyFont="1" applyFill="1" applyBorder="1" applyAlignment="1">
      <alignment horizontal="left"/>
    </xf>
    <xf numFmtId="44" fontId="7" fillId="0" borderId="18" xfId="0" applyNumberFormat="1" applyFont="1" applyFill="1" applyBorder="1" applyAlignment="1">
      <alignment horizontal="left"/>
    </xf>
    <xf numFmtId="0" fontId="7" fillId="0" borderId="16" xfId="0" applyNumberFormat="1" applyFont="1" applyFill="1" applyBorder="1" applyAlignment="1">
      <alignment horizontal="left"/>
    </xf>
    <xf numFmtId="0" fontId="0" fillId="7" borderId="0" xfId="0" applyFill="1"/>
    <xf numFmtId="0" fontId="7" fillId="7" borderId="16" xfId="0" applyNumberFormat="1" applyFont="1" applyFill="1" applyBorder="1" applyAlignment="1">
      <alignment horizontal="left"/>
    </xf>
    <xf numFmtId="8" fontId="0" fillId="7" borderId="17" xfId="0" applyNumberFormat="1" applyFill="1" applyBorder="1" applyAlignment="1"/>
    <xf numFmtId="8" fontId="0" fillId="7" borderId="18" xfId="0" applyNumberFormat="1" applyFill="1" applyBorder="1" applyAlignment="1"/>
    <xf numFmtId="0" fontId="0" fillId="8" borderId="0" xfId="0" applyFill="1"/>
    <xf numFmtId="0" fontId="7" fillId="8" borderId="16" xfId="0" applyNumberFormat="1" applyFont="1" applyFill="1" applyBorder="1" applyAlignment="1">
      <alignment horizontal="left"/>
    </xf>
    <xf numFmtId="8" fontId="0" fillId="8" borderId="17" xfId="0" applyNumberFormat="1" applyFill="1" applyBorder="1" applyAlignment="1"/>
    <xf numFmtId="8" fontId="0" fillId="8" borderId="18" xfId="0" applyNumberFormat="1" applyFill="1" applyBorder="1" applyAlignment="1"/>
    <xf numFmtId="44" fontId="7" fillId="7" borderId="17" xfId="0" applyNumberFormat="1" applyFont="1" applyFill="1" applyBorder="1" applyAlignment="1">
      <alignment horizontal="left"/>
    </xf>
    <xf numFmtId="8" fontId="0" fillId="9" borderId="17" xfId="0" applyNumberFormat="1" applyFill="1" applyBorder="1" applyAlignment="1"/>
    <xf numFmtId="8" fontId="0" fillId="11" borderId="17" xfId="0" applyNumberFormat="1" applyFill="1" applyBorder="1" applyAlignment="1"/>
    <xf numFmtId="0" fontId="0" fillId="11" borderId="4" xfId="0" applyFont="1" applyFill="1" applyBorder="1" applyAlignment="1">
      <alignment vertical="center"/>
    </xf>
    <xf numFmtId="0" fontId="0" fillId="11" borderId="0" xfId="0" applyFont="1" applyFill="1" applyBorder="1" applyAlignment="1">
      <alignment horizontal="center" vertical="center"/>
    </xf>
    <xf numFmtId="8" fontId="0" fillId="11" borderId="0" xfId="0" applyNumberFormat="1" applyFont="1" applyFill="1" applyBorder="1" applyAlignment="1">
      <alignment horizontal="center"/>
    </xf>
    <xf numFmtId="0" fontId="0" fillId="11" borderId="0" xfId="0" applyFont="1" applyFill="1" applyBorder="1"/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/>
    <xf numFmtId="0" fontId="0" fillId="12" borderId="0" xfId="0" applyFill="1"/>
    <xf numFmtId="0" fontId="0" fillId="10" borderId="7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9" borderId="17" xfId="0" applyNumberFormat="1" applyFill="1" applyBorder="1" applyAlignment="1"/>
    <xf numFmtId="0" fontId="6" fillId="4" borderId="0" xfId="0" applyFont="1" applyFill="1" applyBorder="1"/>
    <xf numFmtId="0" fontId="6" fillId="4" borderId="0" xfId="0" applyFont="1" applyFill="1" applyBorder="1" applyAlignment="1">
      <alignment wrapText="1"/>
    </xf>
    <xf numFmtId="0" fontId="3" fillId="6" borderId="9" xfId="0" applyFont="1" applyFill="1" applyBorder="1"/>
    <xf numFmtId="0" fontId="3" fillId="4" borderId="10" xfId="0" applyFont="1" applyFill="1" applyBorder="1"/>
    <xf numFmtId="0" fontId="2" fillId="2" borderId="11" xfId="0" applyFont="1" applyFill="1" applyBorder="1"/>
    <xf numFmtId="0" fontId="0" fillId="6" borderId="21" xfId="0" applyFill="1" applyBorder="1"/>
    <xf numFmtId="44" fontId="5" fillId="2" borderId="22" xfId="1" applyFont="1" applyFill="1" applyBorder="1" applyAlignment="1">
      <alignment horizontal="right"/>
    </xf>
    <xf numFmtId="10" fontId="5" fillId="2" borderId="22" xfId="2" applyNumberFormat="1" applyFont="1" applyFill="1" applyBorder="1" applyAlignment="1">
      <alignment horizontal="right"/>
    </xf>
    <xf numFmtId="0" fontId="5" fillId="2" borderId="22" xfId="0" applyFont="1" applyFill="1" applyBorder="1" applyAlignment="1">
      <alignment horizontal="right"/>
    </xf>
    <xf numFmtId="9" fontId="5" fillId="2" borderId="22" xfId="2" applyFont="1" applyFill="1" applyBorder="1" applyAlignment="1">
      <alignment horizontal="right"/>
    </xf>
    <xf numFmtId="0" fontId="0" fillId="6" borderId="23" xfId="0" applyFill="1" applyBorder="1"/>
    <xf numFmtId="9" fontId="6" fillId="4" borderId="24" xfId="2" applyFont="1" applyFill="1" applyBorder="1"/>
    <xf numFmtId="9" fontId="5" fillId="2" borderId="25" xfId="2" applyFont="1" applyFill="1" applyBorder="1" applyAlignment="1">
      <alignment horizontal="right"/>
    </xf>
    <xf numFmtId="0" fontId="0" fillId="2" borderId="0" xfId="0" applyFill="1" applyBorder="1"/>
    <xf numFmtId="0" fontId="6" fillId="4" borderId="10" xfId="0" applyFont="1" applyFill="1" applyBorder="1"/>
    <xf numFmtId="0" fontId="0" fillId="2" borderId="11" xfId="0" applyFill="1" applyBorder="1"/>
    <xf numFmtId="0" fontId="6" fillId="4" borderId="24" xfId="0" applyFont="1" applyFill="1" applyBorder="1"/>
    <xf numFmtId="0" fontId="0" fillId="2" borderId="25" xfId="0" applyFill="1" applyBorder="1"/>
    <xf numFmtId="8" fontId="0" fillId="2" borderId="0" xfId="0" applyNumberForma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0" fillId="2" borderId="22" xfId="0" applyFill="1" applyBorder="1"/>
    <xf numFmtId="0" fontId="0" fillId="2" borderId="24" xfId="0" applyFill="1" applyBorder="1"/>
    <xf numFmtId="8" fontId="0" fillId="2" borderId="25" xfId="0" applyNumberFormat="1" applyFill="1" applyBorder="1"/>
    <xf numFmtId="44" fontId="0" fillId="2" borderId="0" xfId="0" applyNumberFormat="1" applyFill="1" applyBorder="1"/>
    <xf numFmtId="0" fontId="0" fillId="2" borderId="0" xfId="0" applyFill="1" applyBorder="1" applyAlignment="1">
      <alignment vertical="center"/>
    </xf>
    <xf numFmtId="44" fontId="0" fillId="2" borderId="22" xfId="0" applyNumberFormat="1" applyFill="1" applyBorder="1"/>
    <xf numFmtId="0" fontId="0" fillId="2" borderId="22" xfId="0" applyFill="1" applyBorder="1" applyAlignment="1">
      <alignment vertical="center"/>
    </xf>
    <xf numFmtId="8" fontId="0" fillId="2" borderId="22" xfId="0" applyNumberFormat="1" applyFill="1" applyBorder="1"/>
    <xf numFmtId="44" fontId="0" fillId="2" borderId="24" xfId="0" applyNumberFormat="1" applyFill="1" applyBorder="1"/>
    <xf numFmtId="9" fontId="1" fillId="0" borderId="0" xfId="2" applyFont="1" applyBorder="1"/>
    <xf numFmtId="0" fontId="0" fillId="5" borderId="10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2" borderId="19" xfId="0" applyFont="1" applyFill="1" applyBorder="1" applyAlignment="1">
      <alignment horizontal="center"/>
    </xf>
    <xf numFmtId="0" fontId="3" fillId="12" borderId="2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Number of players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GivenValues!$C$23:$C$36</c:f>
              <c:numCache>
                <c:formatCode>General</c:formatCode>
                <c:ptCount val="1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GivenValues!$D$23:$D$36</c:f>
              <c:numCache>
                <c:formatCode>General</c:formatCode>
                <c:ptCount val="14"/>
                <c:pt idx="0">
                  <c:v>600</c:v>
                </c:pt>
                <c:pt idx="1">
                  <c:v>635</c:v>
                </c:pt>
                <c:pt idx="2">
                  <c:v>655</c:v>
                </c:pt>
                <c:pt idx="3">
                  <c:v>700</c:v>
                </c:pt>
                <c:pt idx="4">
                  <c:v>730</c:v>
                </c:pt>
                <c:pt idx="5">
                  <c:v>762</c:v>
                </c:pt>
                <c:pt idx="6">
                  <c:v>812</c:v>
                </c:pt>
                <c:pt idx="7">
                  <c:v>831</c:v>
                </c:pt>
                <c:pt idx="8">
                  <c:v>877</c:v>
                </c:pt>
                <c:pt idx="9">
                  <c:v>931</c:v>
                </c:pt>
                <c:pt idx="10">
                  <c:v>967</c:v>
                </c:pt>
                <c:pt idx="11" formatCode="#,##0">
                  <c:v>1020</c:v>
                </c:pt>
                <c:pt idx="12" formatCode="#,##0">
                  <c:v>1077</c:v>
                </c:pt>
                <c:pt idx="13" formatCode="#,##0">
                  <c:v>1139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36112"/>
        <c:axId val="513047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GivenValues!$C$23:$C$36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GivenValues!$C$23:$C$38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130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47480"/>
        <c:crosses val="autoZero"/>
        <c:auto val="1"/>
        <c:lblAlgn val="ctr"/>
        <c:lblOffset val="100"/>
        <c:noMultiLvlLbl val="0"/>
      </c:catAx>
      <c:valAx>
        <c:axId val="5130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Retail Price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GivenValues!$C$23:$C$36</c:f>
              <c:numCache>
                <c:formatCode>General</c:formatCode>
                <c:ptCount val="1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GivenValues!$E$23:$E$36</c:f>
              <c:numCache>
                <c:formatCode>"$"#,##0.00_);[Red]\("$"#,##0.00\)</c:formatCode>
                <c:ptCount val="14"/>
                <c:pt idx="0">
                  <c:v>1.75</c:v>
                </c:pt>
                <c:pt idx="1">
                  <c:v>1.75</c:v>
                </c:pt>
                <c:pt idx="2">
                  <c:v>1.8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2</c:v>
                </c:pt>
                <c:pt idx="7">
                  <c:v>2.2000000000000002</c:v>
                </c:pt>
                <c:pt idx="8">
                  <c:v>2.4500000000000002</c:v>
                </c:pt>
                <c:pt idx="9">
                  <c:v>2.4500000000000002</c:v>
                </c:pt>
                <c:pt idx="10">
                  <c:v>2.6</c:v>
                </c:pt>
                <c:pt idx="11">
                  <c:v>2.5499999999999998</c:v>
                </c:pt>
                <c:pt idx="12">
                  <c:v>2.5</c:v>
                </c:pt>
                <c:pt idx="1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38856"/>
        <c:axId val="51304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GivenValues!$C$23:$C$36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GivenValues!$C$23:$C$36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130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47088"/>
        <c:crosses val="autoZero"/>
        <c:auto val="1"/>
        <c:lblAlgn val="ctr"/>
        <c:lblOffset val="100"/>
        <c:noMultiLvlLbl val="0"/>
      </c:catAx>
      <c:valAx>
        <c:axId val="5130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Balls Sold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GivenValues!$C$23:$C$36</c:f>
              <c:numCache>
                <c:formatCode>General</c:formatCode>
                <c:ptCount val="1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</c:numCache>
            </c:numRef>
          </c:cat>
          <c:val>
            <c:numRef>
              <c:f>GivenValues!$F$23:$F$36</c:f>
              <c:numCache>
                <c:formatCode>General</c:formatCode>
                <c:ptCount val="14"/>
                <c:pt idx="0">
                  <c:v>5.9320000000000004</c:v>
                </c:pt>
                <c:pt idx="1">
                  <c:v>6.2290000000000001</c:v>
                </c:pt>
                <c:pt idx="2">
                  <c:v>6.5060000000000002</c:v>
                </c:pt>
                <c:pt idx="3">
                  <c:v>6.82</c:v>
                </c:pt>
                <c:pt idx="4">
                  <c:v>7.1609999999999996</c:v>
                </c:pt>
                <c:pt idx="5">
                  <c:v>7.8949999999999996</c:v>
                </c:pt>
                <c:pt idx="6">
                  <c:v>7.8949999999999996</c:v>
                </c:pt>
                <c:pt idx="7">
                  <c:v>8.2240000000000002</c:v>
                </c:pt>
                <c:pt idx="8">
                  <c:v>8.5839999999999996</c:v>
                </c:pt>
                <c:pt idx="9">
                  <c:v>9.0259999999999998</c:v>
                </c:pt>
                <c:pt idx="10">
                  <c:v>9.4909999999999997</c:v>
                </c:pt>
                <c:pt idx="11">
                  <c:v>9.9960000000000004</c:v>
                </c:pt>
                <c:pt idx="12">
                  <c:v>10.465</c:v>
                </c:pt>
                <c:pt idx="13">
                  <c:v>10.981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42776"/>
        <c:axId val="513043168"/>
      </c:lineChart>
      <c:catAx>
        <c:axId val="513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43168"/>
        <c:crosses val="autoZero"/>
        <c:auto val="1"/>
        <c:lblAlgn val="ctr"/>
        <c:lblOffset val="100"/>
        <c:noMultiLvlLbl val="0"/>
      </c:catAx>
      <c:valAx>
        <c:axId val="513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4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BestBallPrice!$D$19:$M$19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BestBallPrice!$D$19:$M$19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val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BestBallPrice!$D$19:$M$19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BestBallPrice!$D$20:$M$20</c:f>
              <c:numCache>
                <c:formatCode>General</c:formatCode>
                <c:ptCount val="10"/>
                <c:pt idx="0">
                  <c:v>6905048.0170320552</c:v>
                </c:pt>
                <c:pt idx="1">
                  <c:v>7635552.8187352624</c:v>
                </c:pt>
                <c:pt idx="2">
                  <c:v>8439108.1006087884</c:v>
                </c:pt>
                <c:pt idx="3">
                  <c:v>9323018.9106696658</c:v>
                </c:pt>
                <c:pt idx="4">
                  <c:v>10295320.801736634</c:v>
                </c:pt>
                <c:pt idx="5">
                  <c:v>11364852.881910298</c:v>
                </c:pt>
                <c:pt idx="6">
                  <c:v>12541338.170101326</c:v>
                </c:pt>
                <c:pt idx="7">
                  <c:v>13835471.987111459</c:v>
                </c:pt>
                <c:pt idx="8">
                  <c:v>15259019.185822602</c:v>
                </c:pt>
                <c:pt idx="9">
                  <c:v>16824921.104404863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36504"/>
        <c:axId val="513039248"/>
      </c:barChart>
      <c:catAx>
        <c:axId val="51303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39248"/>
        <c:crosses val="autoZero"/>
        <c:auto val="1"/>
        <c:lblAlgn val="ctr"/>
        <c:lblOffset val="100"/>
        <c:noMultiLvlLbl val="0"/>
      </c:catAx>
      <c:valAx>
        <c:axId val="5130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3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Competitor</a:t>
            </a:r>
            <a:r>
              <a:rPr lang="en-US" baseline="0"/>
              <a:t> Ball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CompetitorAnalysis!$D$24:$M$24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CompetitorAnalysis!$D$34:$M$34</c:f>
              <c:numCache>
                <c:formatCode>_("$"* #,##0.00_);_("$"* \(#,##0.00\);_("$"* "-"??_);_(@_)</c:formatCode>
                <c:ptCount val="10"/>
                <c:pt idx="0">
                  <c:v>2.1101758110376467</c:v>
                </c:pt>
                <c:pt idx="1">
                  <c:v>1.3075862624850676</c:v>
                </c:pt>
                <c:pt idx="2">
                  <c:v>2.3265582166242584</c:v>
                </c:pt>
                <c:pt idx="3">
                  <c:v>2.1106148101361324</c:v>
                </c:pt>
                <c:pt idx="4">
                  <c:v>2.3757530608945627</c:v>
                </c:pt>
                <c:pt idx="5">
                  <c:v>1.8121858082868183</c:v>
                </c:pt>
                <c:pt idx="6">
                  <c:v>2.4715577007415872</c:v>
                </c:pt>
                <c:pt idx="7">
                  <c:v>2.1469013131952011</c:v>
                </c:pt>
                <c:pt idx="8">
                  <c:v>1.3116751925234074</c:v>
                </c:pt>
                <c:pt idx="9">
                  <c:v>2.0189182015428062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44344"/>
        <c:axId val="513039640"/>
      </c:lineChart>
      <c:catAx>
        <c:axId val="51304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39640"/>
        <c:crosses val="autoZero"/>
        <c:auto val="1"/>
        <c:lblAlgn val="ctr"/>
        <c:lblOffset val="100"/>
        <c:noMultiLvlLbl val="0"/>
      </c:catAx>
      <c:valAx>
        <c:axId val="5130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44344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41</xdr:row>
      <xdr:rowOff>14287</xdr:rowOff>
    </xdr:from>
    <xdr:to>
      <xdr:col>5</xdr:col>
      <xdr:colOff>1176337</xdr:colOff>
      <xdr:row>55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56</xdr:row>
      <xdr:rowOff>4762</xdr:rowOff>
    </xdr:from>
    <xdr:to>
      <xdr:col>5</xdr:col>
      <xdr:colOff>1176337</xdr:colOff>
      <xdr:row>70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</xdr:colOff>
      <xdr:row>70</xdr:row>
      <xdr:rowOff>185737</xdr:rowOff>
    </xdr:from>
    <xdr:to>
      <xdr:col>5</xdr:col>
      <xdr:colOff>1185862</xdr:colOff>
      <xdr:row>85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39</xdr:row>
      <xdr:rowOff>142875</xdr:rowOff>
    </xdr:from>
    <xdr:to>
      <xdr:col>13</xdr:col>
      <xdr:colOff>1038225</xdr:colOff>
      <xdr:row>54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12</xdr:col>
      <xdr:colOff>275505</xdr:colOff>
      <xdr:row>28</xdr:row>
      <xdr:rowOff>56595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62025"/>
          <a:ext cx="5761905" cy="4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171450</xdr:rowOff>
    </xdr:from>
    <xdr:to>
      <xdr:col>12</xdr:col>
      <xdr:colOff>275505</xdr:colOff>
      <xdr:row>25</xdr:row>
      <xdr:rowOff>37545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71475"/>
          <a:ext cx="5761905" cy="44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44</xdr:row>
      <xdr:rowOff>0</xdr:rowOff>
    </xdr:from>
    <xdr:to>
      <xdr:col>14</xdr:col>
      <xdr:colOff>2581275</xdr:colOff>
      <xdr:row>58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238125</xdr:colOff>
      <xdr:row>39</xdr:row>
      <xdr:rowOff>133350</xdr:rowOff>
    </xdr:from>
    <xdr:to>
      <xdr:col>4</xdr:col>
      <xdr:colOff>361252</xdr:colOff>
      <xdr:row>57</xdr:row>
      <xdr:rowOff>171017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7600950"/>
          <a:ext cx="5580952" cy="34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838200</xdr:colOff>
      <xdr:row>40</xdr:row>
      <xdr:rowOff>0</xdr:rowOff>
    </xdr:from>
    <xdr:to>
      <xdr:col>10</xdr:col>
      <xdr:colOff>570802</xdr:colOff>
      <xdr:row>58</xdr:row>
      <xdr:rowOff>37667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43875" y="7658100"/>
          <a:ext cx="5580952" cy="34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8</xdr:col>
      <xdr:colOff>80523</xdr:colOff>
      <xdr:row>73</xdr:row>
      <xdr:rowOff>56595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8294" y="9558618"/>
          <a:ext cx="5761905" cy="4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13" sqref="A13"/>
    </sheetView>
  </sheetViews>
  <sheetFormatPr defaultRowHeight="15" x14ac:dyDescent="0.25"/>
  <cols>
    <col min="1" max="1" width="11.42578125" customWidth="1"/>
    <col min="2" max="2" width="27.7109375" bestFit="1" customWidth="1"/>
    <col min="3" max="3" width="55.5703125" bestFit="1" customWidth="1"/>
    <col min="4" max="4" width="14.28515625" bestFit="1" customWidth="1"/>
    <col min="5" max="5" width="14.5703125" customWidth="1"/>
    <col min="6" max="13" width="14.28515625" bestFit="1" customWidth="1"/>
    <col min="14" max="14" width="19" customWidth="1"/>
    <col min="15" max="15" width="65.28515625" bestFit="1" customWidth="1"/>
  </cols>
  <sheetData>
    <row r="1" spans="1:14" x14ac:dyDescent="0.25">
      <c r="A1" s="20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.75" thickBot="1" x14ac:dyDescent="0.3">
      <c r="A2" s="1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B3" s="89" t="s">
        <v>1</v>
      </c>
      <c r="C3" s="90"/>
      <c r="D3" s="91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thickBot="1" x14ac:dyDescent="0.3">
      <c r="B4" s="92"/>
      <c r="C4" s="87" t="s">
        <v>2</v>
      </c>
      <c r="D4" s="93">
        <v>0.52</v>
      </c>
      <c r="E4" s="3"/>
      <c r="F4" s="130"/>
      <c r="G4" s="130"/>
      <c r="H4" s="130"/>
      <c r="I4" s="130"/>
      <c r="J4" s="3"/>
      <c r="K4" s="3"/>
      <c r="L4" s="3"/>
      <c r="M4" s="3"/>
      <c r="N4" s="3"/>
    </row>
    <row r="5" spans="1:14" x14ac:dyDescent="0.25">
      <c r="B5" s="92"/>
      <c r="C5" s="87" t="s">
        <v>3</v>
      </c>
      <c r="D5" s="93">
        <v>0.95</v>
      </c>
      <c r="E5" s="3"/>
      <c r="F5" s="121" t="s">
        <v>76</v>
      </c>
      <c r="G5" s="122"/>
      <c r="H5" s="122"/>
      <c r="I5" s="123"/>
      <c r="J5" s="3"/>
      <c r="K5" s="3"/>
      <c r="L5" s="3"/>
      <c r="M5" s="3"/>
      <c r="N5" s="3"/>
    </row>
    <row r="6" spans="1:14" x14ac:dyDescent="0.25">
      <c r="B6" s="92"/>
      <c r="C6" s="87" t="s">
        <v>4</v>
      </c>
      <c r="D6" s="93">
        <v>4000000</v>
      </c>
      <c r="E6" s="3"/>
      <c r="F6" s="124"/>
      <c r="G6" s="125"/>
      <c r="H6" s="125"/>
      <c r="I6" s="126"/>
      <c r="J6" s="3"/>
      <c r="K6" s="3"/>
      <c r="L6" s="3"/>
      <c r="M6" s="3"/>
      <c r="N6" s="3"/>
    </row>
    <row r="7" spans="1:14" x14ac:dyDescent="0.25">
      <c r="B7" s="92"/>
      <c r="C7" s="87" t="s">
        <v>5</v>
      </c>
      <c r="D7" s="93">
        <v>2.5</v>
      </c>
      <c r="E7" s="3"/>
      <c r="F7" s="124"/>
      <c r="G7" s="125"/>
      <c r="H7" s="125"/>
      <c r="I7" s="126"/>
      <c r="J7" s="3"/>
      <c r="K7" s="3"/>
      <c r="L7" s="3"/>
      <c r="M7" s="3"/>
      <c r="N7" s="3"/>
    </row>
    <row r="8" spans="1:14" ht="17.25" customHeight="1" x14ac:dyDescent="0.25">
      <c r="B8" s="92"/>
      <c r="C8" s="88" t="s">
        <v>6</v>
      </c>
      <c r="D8" s="93">
        <v>5</v>
      </c>
      <c r="E8" s="3"/>
      <c r="F8" s="124"/>
      <c r="G8" s="125"/>
      <c r="H8" s="125"/>
      <c r="I8" s="126"/>
      <c r="J8" s="3"/>
      <c r="K8" s="3"/>
      <c r="L8" s="3"/>
      <c r="M8" s="3"/>
      <c r="N8" s="3"/>
    </row>
    <row r="9" spans="1:14" ht="15.75" thickBot="1" x14ac:dyDescent="0.3">
      <c r="B9" s="92"/>
      <c r="C9" s="87" t="s">
        <v>44</v>
      </c>
      <c r="D9" s="94">
        <v>0.1</v>
      </c>
      <c r="E9" s="3"/>
      <c r="F9" s="127"/>
      <c r="G9" s="128"/>
      <c r="H9" s="128"/>
      <c r="I9" s="129"/>
      <c r="J9" s="3"/>
      <c r="K9" s="3"/>
      <c r="L9" s="3"/>
      <c r="M9" s="3"/>
      <c r="N9" s="3"/>
    </row>
    <row r="10" spans="1:14" x14ac:dyDescent="0.25">
      <c r="B10" s="92"/>
      <c r="C10" s="87" t="s">
        <v>45</v>
      </c>
      <c r="D10" s="95">
        <v>10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s="92"/>
      <c r="C11" s="87" t="s">
        <v>36</v>
      </c>
      <c r="D11" s="95">
        <f>VLOOKUP(D23-1,GivenValues!F2:G18,2)*1000</f>
        <v>1197000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B12" s="92"/>
      <c r="C12" s="87" t="s">
        <v>46</v>
      </c>
      <c r="D12" s="95">
        <f>GivenValues!I39</f>
        <v>10</v>
      </c>
      <c r="E12" s="3" t="s">
        <v>48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B13" s="92"/>
      <c r="C13" s="87" t="s">
        <v>7</v>
      </c>
      <c r="D13" s="96">
        <v>0.1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.75" thickBot="1" x14ac:dyDescent="0.3">
      <c r="B14" s="97"/>
      <c r="C14" s="98" t="s">
        <v>8</v>
      </c>
      <c r="D14" s="99">
        <v>0.1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thickBot="1" x14ac:dyDescent="0.3">
      <c r="B15" s="2"/>
      <c r="C15" s="26"/>
      <c r="D15" s="117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B16" s="89" t="s">
        <v>9</v>
      </c>
      <c r="C16" s="101"/>
      <c r="D16" s="102"/>
      <c r="F16" s="7"/>
      <c r="G16" s="7"/>
    </row>
    <row r="17" spans="2:15" ht="15.75" thickBot="1" x14ac:dyDescent="0.3">
      <c r="B17" s="97"/>
      <c r="C17" s="103" t="s">
        <v>47</v>
      </c>
      <c r="D17" s="104">
        <v>2.5</v>
      </c>
      <c r="E17" t="s">
        <v>49</v>
      </c>
    </row>
    <row r="18" spans="2:15" ht="15.75" thickBot="1" x14ac:dyDescent="0.3">
      <c r="C18" s="27"/>
    </row>
    <row r="19" spans="2:15" x14ac:dyDescent="0.25">
      <c r="B19" s="89" t="s">
        <v>10</v>
      </c>
      <c r="C19" s="101"/>
      <c r="D19" s="106">
        <v>2000</v>
      </c>
      <c r="E19" s="106">
        <f>D19+1</f>
        <v>2001</v>
      </c>
      <c r="F19" s="106">
        <f t="shared" ref="F19:N19" si="0">E19+1</f>
        <v>2002</v>
      </c>
      <c r="G19" s="106">
        <f t="shared" si="0"/>
        <v>2003</v>
      </c>
      <c r="H19" s="106">
        <f t="shared" si="0"/>
        <v>2004</v>
      </c>
      <c r="I19" s="106">
        <f>H19+1</f>
        <v>2005</v>
      </c>
      <c r="J19" s="106">
        <f t="shared" si="0"/>
        <v>2006</v>
      </c>
      <c r="K19" s="106">
        <f t="shared" si="0"/>
        <v>2007</v>
      </c>
      <c r="L19" s="106">
        <f>K19+1</f>
        <v>2008</v>
      </c>
      <c r="M19" s="106">
        <f t="shared" si="0"/>
        <v>2009</v>
      </c>
      <c r="N19" s="107">
        <f t="shared" si="0"/>
        <v>2010</v>
      </c>
      <c r="O19" s="44" t="s">
        <v>58</v>
      </c>
    </row>
    <row r="20" spans="2:15" x14ac:dyDescent="0.25">
      <c r="B20" s="92"/>
      <c r="C20" s="87" t="s">
        <v>11</v>
      </c>
      <c r="D20" s="100">
        <f>D24-D25</f>
        <v>2467772.6</v>
      </c>
      <c r="E20" s="100">
        <f t="shared" ref="E20:M20" si="1">E24-E25</f>
        <v>2754549.86</v>
      </c>
      <c r="F20" s="100">
        <f t="shared" si="1"/>
        <v>3070004.8459999999</v>
      </c>
      <c r="G20" s="100">
        <f t="shared" si="1"/>
        <v>3417005.3306</v>
      </c>
      <c r="H20" s="100">
        <f t="shared" si="1"/>
        <v>3798705.8636600003</v>
      </c>
      <c r="I20" s="100">
        <f t="shared" si="1"/>
        <v>4218576.4500259999</v>
      </c>
      <c r="J20" s="100">
        <f t="shared" si="1"/>
        <v>4680434.0950285997</v>
      </c>
      <c r="K20" s="100">
        <f t="shared" si="1"/>
        <v>5188477.504531459</v>
      </c>
      <c r="L20" s="100">
        <f t="shared" si="1"/>
        <v>5747325.2549846042</v>
      </c>
      <c r="M20" s="100">
        <f t="shared" si="1"/>
        <v>6362057.780483068</v>
      </c>
      <c r="N20" s="108"/>
      <c r="O20" s="45" t="s">
        <v>12</v>
      </c>
    </row>
    <row r="21" spans="2:15" ht="15.75" thickBot="1" x14ac:dyDescent="0.3">
      <c r="B21" s="97"/>
      <c r="C21" s="103" t="s">
        <v>13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>
        <f>NPV(D13,D37:M37)</f>
        <v>19612833.157718115</v>
      </c>
      <c r="O21" s="45" t="s">
        <v>14</v>
      </c>
    </row>
    <row r="22" spans="2:15" ht="15.75" thickBot="1" x14ac:dyDescent="0.3">
      <c r="C22" s="27"/>
      <c r="O22" s="45"/>
    </row>
    <row r="23" spans="2:15" x14ac:dyDescent="0.25">
      <c r="B23" s="89" t="s">
        <v>15</v>
      </c>
      <c r="C23" s="101"/>
      <c r="D23" s="106">
        <v>2000</v>
      </c>
      <c r="E23" s="106">
        <f>D23+1</f>
        <v>2001</v>
      </c>
      <c r="F23" s="106">
        <f t="shared" ref="F23:M23" si="2">E23+1</f>
        <v>2002</v>
      </c>
      <c r="G23" s="106">
        <f t="shared" si="2"/>
        <v>2003</v>
      </c>
      <c r="H23" s="106">
        <f t="shared" si="2"/>
        <v>2004</v>
      </c>
      <c r="I23" s="106">
        <f>H23+1</f>
        <v>2005</v>
      </c>
      <c r="J23" s="106">
        <f t="shared" si="2"/>
        <v>2006</v>
      </c>
      <c r="K23" s="106">
        <f t="shared" si="2"/>
        <v>2007</v>
      </c>
      <c r="L23" s="106">
        <f>K23+1</f>
        <v>2008</v>
      </c>
      <c r="M23" s="106">
        <f t="shared" si="2"/>
        <v>2009</v>
      </c>
      <c r="N23" s="107"/>
      <c r="O23" s="45"/>
    </row>
    <row r="24" spans="2:15" x14ac:dyDescent="0.25">
      <c r="B24" s="92"/>
      <c r="C24" s="87" t="s">
        <v>16</v>
      </c>
      <c r="D24" s="100">
        <f>D28*$D$17</f>
        <v>3620925</v>
      </c>
      <c r="E24" s="100">
        <f>E28*$D$17</f>
        <v>3983017.5</v>
      </c>
      <c r="F24" s="100">
        <f t="shared" ref="F24:M24" si="3">F28*$D$17</f>
        <v>4381319.25</v>
      </c>
      <c r="G24" s="100">
        <f t="shared" si="3"/>
        <v>4819451.1749999998</v>
      </c>
      <c r="H24" s="100">
        <f t="shared" si="3"/>
        <v>5301396.2925000004</v>
      </c>
      <c r="I24" s="100">
        <f t="shared" si="3"/>
        <v>5831535.9217499997</v>
      </c>
      <c r="J24" s="100">
        <f t="shared" si="3"/>
        <v>6414689.5139249992</v>
      </c>
      <c r="K24" s="100">
        <f t="shared" si="3"/>
        <v>7056158.4653174989</v>
      </c>
      <c r="L24" s="100">
        <f t="shared" si="3"/>
        <v>7761774.3118492477</v>
      </c>
      <c r="M24" s="100">
        <f t="shared" si="3"/>
        <v>8537951.7430341765</v>
      </c>
      <c r="N24" s="108"/>
      <c r="O24" s="45" t="s">
        <v>17</v>
      </c>
    </row>
    <row r="25" spans="2:15" x14ac:dyDescent="0.25">
      <c r="B25" s="92"/>
      <c r="C25" s="87" t="s">
        <v>18</v>
      </c>
      <c r="D25" s="111">
        <f>D26+D27</f>
        <v>1153152.3999999999</v>
      </c>
      <c r="E25" s="111">
        <f>E26+E27</f>
        <v>1228467.6400000001</v>
      </c>
      <c r="F25" s="111">
        <f t="shared" ref="F25:M25" si="4">F26+F27</f>
        <v>1311314.4040000001</v>
      </c>
      <c r="G25" s="111">
        <f t="shared" si="4"/>
        <v>1402445.8444000001</v>
      </c>
      <c r="H25" s="111">
        <f t="shared" si="4"/>
        <v>1502690.4288399999</v>
      </c>
      <c r="I25" s="111">
        <f t="shared" si="4"/>
        <v>1612959.4717240001</v>
      </c>
      <c r="J25" s="111">
        <f t="shared" si="4"/>
        <v>1734255.4188963999</v>
      </c>
      <c r="K25" s="111">
        <f t="shared" si="4"/>
        <v>1867680.9607860399</v>
      </c>
      <c r="L25" s="111">
        <f t="shared" si="4"/>
        <v>2014449.0568646437</v>
      </c>
      <c r="M25" s="111">
        <f t="shared" si="4"/>
        <v>2175893.9625511086</v>
      </c>
      <c r="N25" s="113"/>
      <c r="O25" s="45" t="s">
        <v>19</v>
      </c>
    </row>
    <row r="26" spans="2:15" x14ac:dyDescent="0.25">
      <c r="B26" s="92"/>
      <c r="C26" s="87" t="s">
        <v>20</v>
      </c>
      <c r="D26" s="111">
        <f>D28*$D$4</f>
        <v>753152.4</v>
      </c>
      <c r="E26" s="111">
        <f t="shared" ref="E26:M26" si="5">E28*$D$4</f>
        <v>828467.64</v>
      </c>
      <c r="F26" s="111">
        <f t="shared" si="5"/>
        <v>911314.40399999998</v>
      </c>
      <c r="G26" s="111">
        <f t="shared" si="5"/>
        <v>1002445.8444000001</v>
      </c>
      <c r="H26" s="111">
        <f t="shared" si="5"/>
        <v>1102690.4288399999</v>
      </c>
      <c r="I26" s="111">
        <f t="shared" si="5"/>
        <v>1212959.4717240001</v>
      </c>
      <c r="J26" s="111">
        <f t="shared" si="5"/>
        <v>1334255.4188963999</v>
      </c>
      <c r="K26" s="111">
        <f t="shared" si="5"/>
        <v>1467680.9607860399</v>
      </c>
      <c r="L26" s="111">
        <f t="shared" si="5"/>
        <v>1614449.0568646437</v>
      </c>
      <c r="M26" s="111">
        <f t="shared" si="5"/>
        <v>1775893.9625511086</v>
      </c>
      <c r="N26" s="113"/>
      <c r="O26" s="45" t="s">
        <v>21</v>
      </c>
    </row>
    <row r="27" spans="2:15" x14ac:dyDescent="0.25">
      <c r="B27" s="92"/>
      <c r="C27" s="87" t="s">
        <v>22</v>
      </c>
      <c r="D27" s="111">
        <f t="shared" ref="D27:M27" si="6">$D$14*$D$6</f>
        <v>400000</v>
      </c>
      <c r="E27" s="111">
        <f t="shared" si="6"/>
        <v>400000</v>
      </c>
      <c r="F27" s="111">
        <f t="shared" si="6"/>
        <v>400000</v>
      </c>
      <c r="G27" s="111">
        <f t="shared" si="6"/>
        <v>400000</v>
      </c>
      <c r="H27" s="111">
        <f t="shared" si="6"/>
        <v>400000</v>
      </c>
      <c r="I27" s="111">
        <f t="shared" si="6"/>
        <v>400000</v>
      </c>
      <c r="J27" s="111">
        <f t="shared" si="6"/>
        <v>400000</v>
      </c>
      <c r="K27" s="111">
        <f t="shared" si="6"/>
        <v>400000</v>
      </c>
      <c r="L27" s="111">
        <f t="shared" si="6"/>
        <v>400000</v>
      </c>
      <c r="M27" s="111">
        <f t="shared" si="6"/>
        <v>400000</v>
      </c>
      <c r="N27" s="113"/>
      <c r="O27" s="45" t="s">
        <v>23</v>
      </c>
    </row>
    <row r="28" spans="2:15" x14ac:dyDescent="0.25">
      <c r="B28" s="92"/>
      <c r="C28" s="87" t="s">
        <v>51</v>
      </c>
      <c r="D28" s="100">
        <f>D29*D31/100</f>
        <v>1448370</v>
      </c>
      <c r="E28" s="100">
        <f>E29*E31/100</f>
        <v>1593207</v>
      </c>
      <c r="F28" s="100">
        <f t="shared" ref="F28:M28" si="7">F29*F31/100</f>
        <v>1752527.7</v>
      </c>
      <c r="G28" s="100">
        <f t="shared" si="7"/>
        <v>1927780.47</v>
      </c>
      <c r="H28" s="100">
        <f t="shared" si="7"/>
        <v>2120558.517</v>
      </c>
      <c r="I28" s="100">
        <f t="shared" si="7"/>
        <v>2332614.3687</v>
      </c>
      <c r="J28" s="100">
        <f t="shared" si="7"/>
        <v>2565875.8055699999</v>
      </c>
      <c r="K28" s="100">
        <f t="shared" si="7"/>
        <v>2822463.3861269997</v>
      </c>
      <c r="L28" s="100">
        <f t="shared" si="7"/>
        <v>3104709.7247396992</v>
      </c>
      <c r="M28" s="100">
        <f t="shared" si="7"/>
        <v>3415180.6972136702</v>
      </c>
      <c r="N28" s="108"/>
      <c r="O28" s="46" t="s">
        <v>24</v>
      </c>
    </row>
    <row r="29" spans="2:15" x14ac:dyDescent="0.25">
      <c r="B29" s="92"/>
      <c r="C29" s="87" t="s">
        <v>50</v>
      </c>
      <c r="D29" s="100">
        <f>D30*$D$12</f>
        <v>13167000</v>
      </c>
      <c r="E29" s="100">
        <f t="shared" ref="E29:M29" si="8">E30*$D$12</f>
        <v>14483700</v>
      </c>
      <c r="F29" s="100">
        <f t="shared" si="8"/>
        <v>15932070</v>
      </c>
      <c r="G29" s="100">
        <f t="shared" si="8"/>
        <v>17525277</v>
      </c>
      <c r="H29" s="100">
        <f t="shared" si="8"/>
        <v>19277804.699999999</v>
      </c>
      <c r="I29" s="100">
        <f t="shared" si="8"/>
        <v>21205585.170000002</v>
      </c>
      <c r="J29" s="100">
        <f t="shared" si="8"/>
        <v>23326143.686999999</v>
      </c>
      <c r="K29" s="100">
        <f t="shared" si="8"/>
        <v>25658758.055699997</v>
      </c>
      <c r="L29" s="100">
        <f t="shared" si="8"/>
        <v>28224633.861269996</v>
      </c>
      <c r="M29" s="100">
        <f t="shared" si="8"/>
        <v>31047097.247396998</v>
      </c>
      <c r="N29" s="108"/>
      <c r="O29" s="45" t="s">
        <v>25</v>
      </c>
    </row>
    <row r="30" spans="2:15" x14ac:dyDescent="0.25">
      <c r="B30" s="92"/>
      <c r="C30" s="87" t="s">
        <v>26</v>
      </c>
      <c r="D30" s="100">
        <f>(D9*D11)+D11</f>
        <v>1316700</v>
      </c>
      <c r="E30" s="112">
        <f>D30+(D30*$D$9)</f>
        <v>1448370</v>
      </c>
      <c r="F30" s="112">
        <f t="shared" ref="F30:M30" si="9">E30+(E30*$D$9)</f>
        <v>1593207</v>
      </c>
      <c r="G30" s="112">
        <f t="shared" si="9"/>
        <v>1752527.7</v>
      </c>
      <c r="H30" s="112">
        <f t="shared" si="9"/>
        <v>1927780.47</v>
      </c>
      <c r="I30" s="112">
        <f t="shared" si="9"/>
        <v>2120558.517</v>
      </c>
      <c r="J30" s="112">
        <f t="shared" si="9"/>
        <v>2332614.3687</v>
      </c>
      <c r="K30" s="112">
        <f t="shared" si="9"/>
        <v>2565875.8055699999</v>
      </c>
      <c r="L30" s="112">
        <f t="shared" si="9"/>
        <v>2822463.3861269997</v>
      </c>
      <c r="M30" s="112">
        <f t="shared" si="9"/>
        <v>3104709.7247396996</v>
      </c>
      <c r="N30" s="114"/>
      <c r="O30" s="45" t="s">
        <v>27</v>
      </c>
    </row>
    <row r="31" spans="2:15" x14ac:dyDescent="0.25">
      <c r="B31" s="92"/>
      <c r="C31" s="87" t="s">
        <v>57</v>
      </c>
      <c r="D31" s="100">
        <f>VLOOKUP(D32,GivenValues!$A$3:$B$8,2)</f>
        <v>11</v>
      </c>
      <c r="E31" s="100">
        <f>VLOOKUP(E32,GivenValues!$A$3:$B$8,2)</f>
        <v>11</v>
      </c>
      <c r="F31" s="100">
        <f>VLOOKUP(F32,GivenValues!$A$3:$B$8,2)</f>
        <v>11</v>
      </c>
      <c r="G31" s="100">
        <f>VLOOKUP(G32,GivenValues!$A$3:$B$8,2)</f>
        <v>11</v>
      </c>
      <c r="H31" s="100">
        <f>VLOOKUP(H32,GivenValues!$A$3:$B$8,2)</f>
        <v>11</v>
      </c>
      <c r="I31" s="100">
        <f>VLOOKUP(I32,GivenValues!$A$3:$B$8,2)</f>
        <v>11</v>
      </c>
      <c r="J31" s="100">
        <f>VLOOKUP(J32,GivenValues!$A$3:$B$8,2)</f>
        <v>11</v>
      </c>
      <c r="K31" s="100">
        <f>VLOOKUP(K32,GivenValues!$A$3:$B$8,2)</f>
        <v>11</v>
      </c>
      <c r="L31" s="100">
        <f>VLOOKUP(L32,GivenValues!$A$3:$B$8,2)</f>
        <v>11</v>
      </c>
      <c r="M31" s="100">
        <f>VLOOKUP(M32,GivenValues!$A$3:$B$8,2)</f>
        <v>11</v>
      </c>
      <c r="N31" s="108"/>
      <c r="O31" s="45" t="s">
        <v>28</v>
      </c>
    </row>
    <row r="32" spans="2:15" x14ac:dyDescent="0.25">
      <c r="B32" s="92"/>
      <c r="C32" s="87" t="s">
        <v>29</v>
      </c>
      <c r="D32" s="100">
        <f t="shared" ref="D32:M32" si="10">$D$7/$D$17</f>
        <v>1</v>
      </c>
      <c r="E32" s="100">
        <f t="shared" si="10"/>
        <v>1</v>
      </c>
      <c r="F32" s="100">
        <f t="shared" si="10"/>
        <v>1</v>
      </c>
      <c r="G32" s="100">
        <f t="shared" si="10"/>
        <v>1</v>
      </c>
      <c r="H32" s="100">
        <f t="shared" si="10"/>
        <v>1</v>
      </c>
      <c r="I32" s="100">
        <f t="shared" si="10"/>
        <v>1</v>
      </c>
      <c r="J32" s="100">
        <f t="shared" si="10"/>
        <v>1</v>
      </c>
      <c r="K32" s="100">
        <f t="shared" si="10"/>
        <v>1</v>
      </c>
      <c r="L32" s="100">
        <f t="shared" si="10"/>
        <v>1</v>
      </c>
      <c r="M32" s="100">
        <f t="shared" si="10"/>
        <v>1</v>
      </c>
      <c r="N32" s="108"/>
      <c r="O32" s="45" t="s">
        <v>30</v>
      </c>
    </row>
    <row r="33" spans="2:15" x14ac:dyDescent="0.25">
      <c r="B33" s="92"/>
      <c r="C33" s="87" t="s">
        <v>31</v>
      </c>
      <c r="D33" s="105">
        <f>D13*D6</f>
        <v>400000</v>
      </c>
      <c r="E33" s="105">
        <f>D36*$D$13</f>
        <v>374901.84204699541</v>
      </c>
      <c r="F33" s="105">
        <f t="shared" ref="F33:L33" si="11">E36*$D$13</f>
        <v>347293.8682986903</v>
      </c>
      <c r="G33" s="105">
        <f t="shared" si="11"/>
        <v>316925.09717555478</v>
      </c>
      <c r="H33" s="105">
        <f t="shared" si="11"/>
        <v>283519.44894010562</v>
      </c>
      <c r="I33" s="105">
        <f t="shared" si="11"/>
        <v>246773.23588111156</v>
      </c>
      <c r="J33" s="105">
        <f t="shared" si="11"/>
        <v>206352.40151621809</v>
      </c>
      <c r="K33" s="105">
        <f t="shared" si="11"/>
        <v>161889.48371483531</v>
      </c>
      <c r="L33" s="105">
        <f t="shared" si="11"/>
        <v>112980.27413331422</v>
      </c>
      <c r="M33" s="105">
        <f>L36*$D$13</f>
        <v>59180.143593641034</v>
      </c>
      <c r="N33" s="115"/>
      <c r="O33" s="47" t="s">
        <v>53</v>
      </c>
    </row>
    <row r="34" spans="2:15" x14ac:dyDescent="0.25">
      <c r="B34" s="92"/>
      <c r="C34" s="87" t="s">
        <v>32</v>
      </c>
      <c r="D34" s="111">
        <f>D35-D33</f>
        <v>250981.57953004609</v>
      </c>
      <c r="E34" s="111">
        <f t="shared" ref="E34:L34" si="12">E35-E33</f>
        <v>276079.73748305067</v>
      </c>
      <c r="F34" s="111">
        <f t="shared" si="12"/>
        <v>303687.71123135579</v>
      </c>
      <c r="G34" s="111">
        <f t="shared" si="12"/>
        <v>334056.48235449131</v>
      </c>
      <c r="H34" s="111">
        <f t="shared" si="12"/>
        <v>367462.13058994047</v>
      </c>
      <c r="I34" s="111">
        <f t="shared" si="12"/>
        <v>404208.3436489345</v>
      </c>
      <c r="J34" s="111">
        <f t="shared" si="12"/>
        <v>444629.178013828</v>
      </c>
      <c r="K34" s="111">
        <f t="shared" si="12"/>
        <v>489092.09581521078</v>
      </c>
      <c r="L34" s="111">
        <f t="shared" si="12"/>
        <v>538001.30539673183</v>
      </c>
      <c r="M34" s="111">
        <f>M35-M33</f>
        <v>591801.43593640509</v>
      </c>
      <c r="N34" s="115"/>
      <c r="O34" s="47" t="s">
        <v>54</v>
      </c>
    </row>
    <row r="35" spans="2:15" x14ac:dyDescent="0.25">
      <c r="B35" s="92"/>
      <c r="C35" s="87" t="s">
        <v>33</v>
      </c>
      <c r="D35" s="111">
        <f t="shared" ref="D35:M35" si="13">($D$6*$D$13)/(1-(1+$D$13)^-$D$10)</f>
        <v>650981.57953004609</v>
      </c>
      <c r="E35" s="111">
        <f t="shared" si="13"/>
        <v>650981.57953004609</v>
      </c>
      <c r="F35" s="111">
        <f t="shared" si="13"/>
        <v>650981.57953004609</v>
      </c>
      <c r="G35" s="111">
        <f t="shared" si="13"/>
        <v>650981.57953004609</v>
      </c>
      <c r="H35" s="111">
        <f t="shared" si="13"/>
        <v>650981.57953004609</v>
      </c>
      <c r="I35" s="111">
        <f t="shared" si="13"/>
        <v>650981.57953004609</v>
      </c>
      <c r="J35" s="111">
        <f t="shared" si="13"/>
        <v>650981.57953004609</v>
      </c>
      <c r="K35" s="111">
        <f t="shared" si="13"/>
        <v>650981.57953004609</v>
      </c>
      <c r="L35" s="111">
        <f t="shared" si="13"/>
        <v>650981.57953004609</v>
      </c>
      <c r="M35" s="111">
        <f t="shared" si="13"/>
        <v>650981.57953004609</v>
      </c>
      <c r="N35" s="113"/>
      <c r="O35" s="48" t="s">
        <v>56</v>
      </c>
    </row>
    <row r="36" spans="2:15" x14ac:dyDescent="0.25">
      <c r="B36" s="92"/>
      <c r="C36" s="87" t="s">
        <v>34</v>
      </c>
      <c r="D36" s="111">
        <f>D6-D34</f>
        <v>3749018.4204699537</v>
      </c>
      <c r="E36" s="111">
        <f>D36-E34</f>
        <v>3472938.682986903</v>
      </c>
      <c r="F36" s="111">
        <f t="shared" ref="F36:M36" si="14">E36-F34</f>
        <v>3169250.9717555474</v>
      </c>
      <c r="G36" s="111">
        <f t="shared" si="14"/>
        <v>2835194.489401056</v>
      </c>
      <c r="H36" s="111">
        <f t="shared" si="14"/>
        <v>2467732.3588111154</v>
      </c>
      <c r="I36" s="111">
        <f t="shared" si="14"/>
        <v>2063524.0151621809</v>
      </c>
      <c r="J36" s="111">
        <f t="shared" si="14"/>
        <v>1618894.837148353</v>
      </c>
      <c r="K36" s="111">
        <f t="shared" si="14"/>
        <v>1129802.7413331422</v>
      </c>
      <c r="L36" s="111">
        <f t="shared" si="14"/>
        <v>591801.43593641033</v>
      </c>
      <c r="M36" s="111">
        <f t="shared" si="14"/>
        <v>5.2386894822120667E-9</v>
      </c>
      <c r="N36" s="115"/>
      <c r="O36" s="47" t="s">
        <v>52</v>
      </c>
    </row>
    <row r="37" spans="2:15" ht="15.75" thickBot="1" x14ac:dyDescent="0.3">
      <c r="B37" s="97"/>
      <c r="C37" s="103" t="s">
        <v>35</v>
      </c>
      <c r="D37" s="116">
        <f>D20-D35</f>
        <v>1816791.020469954</v>
      </c>
      <c r="E37" s="116">
        <f t="shared" ref="E37:L37" si="15">E20-E35</f>
        <v>2103568.280469954</v>
      </c>
      <c r="F37" s="116">
        <f t="shared" si="15"/>
        <v>2419023.2664699536</v>
      </c>
      <c r="G37" s="116">
        <f t="shared" si="15"/>
        <v>2766023.7510699537</v>
      </c>
      <c r="H37" s="116">
        <f t="shared" si="15"/>
        <v>3147724.2841299539</v>
      </c>
      <c r="I37" s="116">
        <f t="shared" si="15"/>
        <v>3567594.8704959536</v>
      </c>
      <c r="J37" s="116">
        <f t="shared" si="15"/>
        <v>4029452.5154985534</v>
      </c>
      <c r="K37" s="116">
        <f t="shared" si="15"/>
        <v>4537495.9250014126</v>
      </c>
      <c r="L37" s="116">
        <f t="shared" si="15"/>
        <v>5096343.6754545579</v>
      </c>
      <c r="M37" s="116">
        <f>M20-M35</f>
        <v>5711076.2009530216</v>
      </c>
      <c r="N37" s="104"/>
      <c r="O37" s="47" t="s">
        <v>55</v>
      </c>
    </row>
    <row r="38" spans="2:15" x14ac:dyDescent="0.25">
      <c r="D38" s="7"/>
    </row>
  </sheetData>
  <mergeCells count="2">
    <mergeCell ref="F5:I9"/>
    <mergeCell ref="F4:I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abSelected="1" topLeftCell="B8" zoomScale="85" zoomScaleNormal="85" workbookViewId="0">
      <selection activeCell="B32" sqref="B32"/>
    </sheetView>
  </sheetViews>
  <sheetFormatPr defaultRowHeight="15" x14ac:dyDescent="0.25"/>
  <cols>
    <col min="1" max="1" width="21.5703125" bestFit="1" customWidth="1"/>
    <col min="2" max="2" width="16.85546875" bestFit="1" customWidth="1"/>
    <col min="3" max="3" width="15.7109375" bestFit="1" customWidth="1"/>
    <col min="4" max="4" width="17.140625" bestFit="1" customWidth="1"/>
    <col min="5" max="5" width="16.7109375" bestFit="1" customWidth="1"/>
    <col min="6" max="7" width="17.140625" bestFit="1" customWidth="1"/>
    <col min="8" max="8" width="17.140625" style="65" bestFit="1" customWidth="1"/>
    <col min="9" max="9" width="17.140625" style="69" bestFit="1" customWidth="1"/>
    <col min="10" max="10" width="17.85546875" bestFit="1" customWidth="1"/>
    <col min="11" max="11" width="17.42578125" bestFit="1" customWidth="1"/>
    <col min="12" max="13" width="17.85546875" bestFit="1" customWidth="1"/>
    <col min="14" max="14" width="17.42578125" bestFit="1" customWidth="1"/>
    <col min="15" max="15" width="17.85546875" bestFit="1" customWidth="1"/>
    <col min="16" max="17" width="17.42578125" bestFit="1" customWidth="1"/>
    <col min="18" max="18" width="17.85546875" bestFit="1" customWidth="1"/>
    <col min="19" max="19" width="17.42578125" style="69" bestFit="1" customWidth="1"/>
    <col min="20" max="20" width="17.140625" style="69" bestFit="1" customWidth="1"/>
    <col min="21" max="21" width="17.140625" bestFit="1" customWidth="1"/>
    <col min="22" max="22" width="17.85546875" bestFit="1" customWidth="1"/>
    <col min="23" max="23" width="17.42578125" bestFit="1" customWidth="1"/>
    <col min="24" max="24" width="17.140625" bestFit="1" customWidth="1"/>
    <col min="25" max="25" width="17.42578125" bestFit="1" customWidth="1"/>
    <col min="26" max="26" width="17.140625" bestFit="1" customWidth="1"/>
    <col min="27" max="27" width="17.85546875" bestFit="1" customWidth="1"/>
    <col min="28" max="29" width="16.85546875" bestFit="1" customWidth="1"/>
    <col min="30" max="33" width="17.140625" bestFit="1" customWidth="1"/>
    <col min="34" max="34" width="16.85546875" bestFit="1" customWidth="1"/>
    <col min="35" max="35" width="17.140625" bestFit="1" customWidth="1"/>
    <col min="36" max="39" width="16.85546875" bestFit="1" customWidth="1"/>
    <col min="40" max="40" width="17.140625" bestFit="1" customWidth="1"/>
    <col min="41" max="41" width="16.85546875" bestFit="1" customWidth="1"/>
    <col min="42" max="42" width="17.140625" bestFit="1" customWidth="1"/>
  </cols>
  <sheetData>
    <row r="1" spans="1:42" x14ac:dyDescent="0.25">
      <c r="A1" s="20" t="s">
        <v>68</v>
      </c>
      <c r="B1" s="20"/>
      <c r="H1"/>
      <c r="I1"/>
      <c r="S1"/>
      <c r="T1"/>
    </row>
    <row r="2" spans="1:42" x14ac:dyDescent="0.25">
      <c r="A2" s="20"/>
      <c r="B2" s="20"/>
      <c r="H2"/>
      <c r="I2"/>
      <c r="S2"/>
      <c r="T2"/>
    </row>
    <row r="3" spans="1:42" x14ac:dyDescent="0.25">
      <c r="A3" s="20"/>
      <c r="B3" s="20"/>
      <c r="H3"/>
      <c r="I3"/>
      <c r="S3"/>
      <c r="T3"/>
    </row>
    <row r="4" spans="1:42" ht="15.75" thickBot="1" x14ac:dyDescent="0.3">
      <c r="A4" s="20" t="s">
        <v>69</v>
      </c>
      <c r="B4" s="20" t="s">
        <v>66</v>
      </c>
      <c r="H4"/>
      <c r="I4"/>
      <c r="S4"/>
      <c r="T4"/>
    </row>
    <row r="5" spans="1:42" ht="15.75" thickBot="1" x14ac:dyDescent="0.3">
      <c r="A5" s="57"/>
      <c r="B5" s="64">
        <v>0.52</v>
      </c>
      <c r="C5" s="64">
        <v>0.63200000000000001</v>
      </c>
      <c r="D5" s="64">
        <v>0.74399999999999999</v>
      </c>
      <c r="E5" s="64">
        <v>0.85599999999999998</v>
      </c>
      <c r="F5" s="64">
        <v>0.96799999999999997</v>
      </c>
      <c r="G5" s="64">
        <v>1.08</v>
      </c>
      <c r="H5" s="66">
        <v>1.1920000000000002</v>
      </c>
      <c r="I5" s="70">
        <v>1.3040000000000003</v>
      </c>
      <c r="J5" s="64">
        <v>1.4160000000000004</v>
      </c>
      <c r="K5" s="64">
        <v>1.5280000000000005</v>
      </c>
      <c r="L5" s="64">
        <v>1.6400000000000006</v>
      </c>
      <c r="M5" s="64">
        <v>1.7520000000000007</v>
      </c>
      <c r="N5" s="64">
        <v>1.8640000000000008</v>
      </c>
      <c r="O5" s="64">
        <v>1.9760000000000009</v>
      </c>
      <c r="P5" s="64">
        <v>2.088000000000001</v>
      </c>
      <c r="Q5" s="64">
        <v>2.2000000000000011</v>
      </c>
      <c r="R5" s="64">
        <v>2.3120000000000012</v>
      </c>
      <c r="S5" s="70">
        <v>2.4240000000000013</v>
      </c>
      <c r="T5" s="70">
        <v>2.5360000000000014</v>
      </c>
      <c r="U5" s="64">
        <v>2.6480000000000015</v>
      </c>
      <c r="V5" s="64">
        <v>2.7600000000000016</v>
      </c>
      <c r="W5" s="64">
        <v>2.8720000000000017</v>
      </c>
      <c r="X5" s="64">
        <v>2.9840000000000018</v>
      </c>
      <c r="Y5" s="64">
        <v>3.0960000000000019</v>
      </c>
      <c r="Z5" s="64">
        <v>3.208000000000002</v>
      </c>
      <c r="AA5" s="64">
        <v>3.3200000000000021</v>
      </c>
      <c r="AB5" s="64">
        <v>3.4320000000000022</v>
      </c>
      <c r="AC5" s="64">
        <v>3.5440000000000023</v>
      </c>
      <c r="AD5" s="64">
        <v>3.6560000000000024</v>
      </c>
      <c r="AE5" s="64">
        <v>3.7680000000000025</v>
      </c>
      <c r="AF5" s="64">
        <v>3.8800000000000026</v>
      </c>
      <c r="AG5" s="64">
        <v>3.9920000000000027</v>
      </c>
      <c r="AH5" s="64">
        <v>4.1040000000000028</v>
      </c>
      <c r="AI5" s="64">
        <v>4.2160000000000029</v>
      </c>
      <c r="AJ5" s="64">
        <v>4.328000000000003</v>
      </c>
      <c r="AK5" s="64">
        <v>4.4400000000000031</v>
      </c>
      <c r="AL5" s="64">
        <v>4.5520000000000032</v>
      </c>
      <c r="AM5" s="64">
        <v>4.6640000000000033</v>
      </c>
      <c r="AN5" s="64">
        <v>4.7760000000000034</v>
      </c>
      <c r="AO5" s="64">
        <v>4.8880000000000035</v>
      </c>
      <c r="AP5" s="64">
        <v>5.0000000000000036</v>
      </c>
    </row>
    <row r="6" spans="1:42" x14ac:dyDescent="0.25">
      <c r="A6" s="62">
        <v>0.95</v>
      </c>
      <c r="B6" s="54">
        <v>-6457826.8422818696</v>
      </c>
      <c r="C6" s="54">
        <v>-961202.84228187078</v>
      </c>
      <c r="D6" s="54">
        <v>-3508418.8422818705</v>
      </c>
      <c r="E6" s="54">
        <v>-2033714.8422818703</v>
      </c>
      <c r="F6" s="54">
        <v>-6457826.8422818696</v>
      </c>
      <c r="G6" s="54">
        <v>-6457826.8422818696</v>
      </c>
      <c r="H6" s="67">
        <v>-6457826.8422818696</v>
      </c>
      <c r="I6" s="71">
        <v>-6457826.8422818696</v>
      </c>
      <c r="J6" s="54">
        <v>-6457826.8422818696</v>
      </c>
      <c r="K6" s="54">
        <v>-6457826.8422818696</v>
      </c>
      <c r="L6" s="54">
        <v>-6457826.8422818696</v>
      </c>
      <c r="M6" s="54">
        <v>-6457826.8422818696</v>
      </c>
      <c r="N6" s="54">
        <v>-6457826.8422818696</v>
      </c>
      <c r="O6" s="54">
        <v>-6457826.8422818696</v>
      </c>
      <c r="P6" s="54">
        <v>-6457826.8422818696</v>
      </c>
      <c r="Q6" s="54">
        <v>-6457826.8422818696</v>
      </c>
      <c r="R6" s="54">
        <v>-6457826.8422818696</v>
      </c>
      <c r="S6" s="71">
        <v>-6457826.8422818696</v>
      </c>
      <c r="T6" s="71">
        <v>-6457826.8422818696</v>
      </c>
      <c r="U6" s="54">
        <v>-6457826.8422818696</v>
      </c>
      <c r="V6" s="54">
        <v>-6457826.8422818696</v>
      </c>
      <c r="W6" s="54">
        <v>-6457826.8422818696</v>
      </c>
      <c r="X6" s="54">
        <v>-6457826.8422818696</v>
      </c>
      <c r="Y6" s="54">
        <v>-6457826.8422818696</v>
      </c>
      <c r="Z6" s="54">
        <v>-6457826.8422818696</v>
      </c>
      <c r="AA6" s="54">
        <v>-6457826.8422818696</v>
      </c>
      <c r="AB6" s="54">
        <v>-6457826.8422818696</v>
      </c>
      <c r="AC6" s="54">
        <v>-6457826.8422818696</v>
      </c>
      <c r="AD6" s="54">
        <v>-6457826.8422818696</v>
      </c>
      <c r="AE6" s="54">
        <v>-6457826.8422818696</v>
      </c>
      <c r="AF6" s="54">
        <v>-6457826.8422818696</v>
      </c>
      <c r="AG6" s="54">
        <v>-6457826.8422818696</v>
      </c>
      <c r="AH6" s="54">
        <v>-6457826.8422818696</v>
      </c>
      <c r="AI6" s="54">
        <v>-6457826.8422818696</v>
      </c>
      <c r="AJ6" s="54">
        <v>-6457826.8422818696</v>
      </c>
      <c r="AK6" s="54">
        <v>-6457826.8422818696</v>
      </c>
      <c r="AL6" s="54">
        <v>-6457826.8422818696</v>
      </c>
      <c r="AM6" s="54">
        <v>-6457826.8422818696</v>
      </c>
      <c r="AN6" s="54">
        <v>-6457826.8422818696</v>
      </c>
      <c r="AO6" s="54">
        <v>-6457826.8422818696</v>
      </c>
      <c r="AP6" s="54">
        <v>-6457826.8422818696</v>
      </c>
    </row>
    <row r="7" spans="1:42" x14ac:dyDescent="0.25">
      <c r="A7" s="62">
        <v>1.05125</v>
      </c>
      <c r="B7" s="54">
        <v>-6457826.8422818687</v>
      </c>
      <c r="C7" s="54">
        <v>-961202.84228187078</v>
      </c>
      <c r="D7" s="54">
        <v>-3508418.8422818705</v>
      </c>
      <c r="E7" s="54">
        <v>-2033714.8422818703</v>
      </c>
      <c r="F7" s="54">
        <v>-559010.84228187043</v>
      </c>
      <c r="G7" s="54">
        <v>-6457826.8422818696</v>
      </c>
      <c r="H7" s="67">
        <v>-6457826.8422818696</v>
      </c>
      <c r="I7" s="71">
        <v>-6457826.8422818696</v>
      </c>
      <c r="J7" s="54">
        <v>-6457826.8422818696</v>
      </c>
      <c r="K7" s="54">
        <v>-6457826.8422818696</v>
      </c>
      <c r="L7" s="54">
        <v>-6457826.8422818696</v>
      </c>
      <c r="M7" s="54">
        <v>-6457826.8422818696</v>
      </c>
      <c r="N7" s="54">
        <v>-6457826.8422818696</v>
      </c>
      <c r="O7" s="54">
        <v>-6457826.8422818696</v>
      </c>
      <c r="P7" s="54">
        <v>-6457826.8422818696</v>
      </c>
      <c r="Q7" s="54">
        <v>-6457826.8422818696</v>
      </c>
      <c r="R7" s="54">
        <v>-6457826.8422818696</v>
      </c>
      <c r="S7" s="71">
        <v>-6457826.8422818696</v>
      </c>
      <c r="T7" s="71">
        <v>-6457826.8422818696</v>
      </c>
      <c r="U7" s="54">
        <v>-6457826.8422818696</v>
      </c>
      <c r="V7" s="54">
        <v>-6457826.8422818696</v>
      </c>
      <c r="W7" s="54">
        <v>-6457826.8422818696</v>
      </c>
      <c r="X7" s="54">
        <v>-6457826.8422818696</v>
      </c>
      <c r="Y7" s="54">
        <v>-6457826.8422818696</v>
      </c>
      <c r="Z7" s="54">
        <v>-6457826.8422818696</v>
      </c>
      <c r="AA7" s="54">
        <v>-6457826.8422818696</v>
      </c>
      <c r="AB7" s="54">
        <v>-6457826.8422818696</v>
      </c>
      <c r="AC7" s="54">
        <v>-6457826.8422818696</v>
      </c>
      <c r="AD7" s="54">
        <v>-6457826.8422818696</v>
      </c>
      <c r="AE7" s="54">
        <v>-6457826.8422818696</v>
      </c>
      <c r="AF7" s="54">
        <v>-6457826.8422818696</v>
      </c>
      <c r="AG7" s="54">
        <v>-6457826.8422818696</v>
      </c>
      <c r="AH7" s="54">
        <v>-6457826.8422818696</v>
      </c>
      <c r="AI7" s="54">
        <v>-6457826.8422818696</v>
      </c>
      <c r="AJ7" s="54">
        <v>-6457826.8422818696</v>
      </c>
      <c r="AK7" s="54">
        <v>-6457826.8422818696</v>
      </c>
      <c r="AL7" s="54">
        <v>-6457826.8422818696</v>
      </c>
      <c r="AM7" s="54">
        <v>-6457826.8422818696</v>
      </c>
      <c r="AN7" s="54">
        <v>-6457826.8422818696</v>
      </c>
      <c r="AO7" s="54">
        <v>-6457826.8422818696</v>
      </c>
      <c r="AP7" s="54">
        <v>-6457826.8422818696</v>
      </c>
    </row>
    <row r="8" spans="1:42" x14ac:dyDescent="0.25">
      <c r="A8" s="62">
        <v>1.1525000000000001</v>
      </c>
      <c r="B8" s="54">
        <v>-6457826.8422818687</v>
      </c>
      <c r="C8" s="54">
        <v>-961202.84228187078</v>
      </c>
      <c r="D8" s="54">
        <v>4535421.1577181276</v>
      </c>
      <c r="E8" s="54">
        <v>-2033714.8422818703</v>
      </c>
      <c r="F8" s="54">
        <v>-559010.84228187043</v>
      </c>
      <c r="G8" s="54">
        <v>915693.15771812922</v>
      </c>
      <c r="H8" s="67">
        <v>-6457826.8422818696</v>
      </c>
      <c r="I8" s="71">
        <v>-6457826.8422818696</v>
      </c>
      <c r="J8" s="54">
        <v>-6457826.8422818696</v>
      </c>
      <c r="K8" s="54">
        <v>-6457826.8422818696</v>
      </c>
      <c r="L8" s="54">
        <v>-6457826.8422818696</v>
      </c>
      <c r="M8" s="54">
        <v>-6457826.8422818696</v>
      </c>
      <c r="N8" s="54">
        <v>-6457826.8422818696</v>
      </c>
      <c r="O8" s="54">
        <v>-6457826.8422818696</v>
      </c>
      <c r="P8" s="54">
        <v>-6457826.8422818696</v>
      </c>
      <c r="Q8" s="54">
        <v>-6457826.8422818696</v>
      </c>
      <c r="R8" s="54">
        <v>-6457826.8422818696</v>
      </c>
      <c r="S8" s="71">
        <v>-6457826.8422818696</v>
      </c>
      <c r="T8" s="71">
        <v>-6457826.8422818696</v>
      </c>
      <c r="U8" s="54">
        <v>-6457826.8422818696</v>
      </c>
      <c r="V8" s="54">
        <v>-6457826.8422818696</v>
      </c>
      <c r="W8" s="54">
        <v>-6457826.8422818696</v>
      </c>
      <c r="X8" s="54">
        <v>-6457826.8422818696</v>
      </c>
      <c r="Y8" s="54">
        <v>-6457826.8422818696</v>
      </c>
      <c r="Z8" s="54">
        <v>-6457826.8422818696</v>
      </c>
      <c r="AA8" s="54">
        <v>-6457826.8422818696</v>
      </c>
      <c r="AB8" s="54">
        <v>-6457826.8422818696</v>
      </c>
      <c r="AC8" s="54">
        <v>-6457826.8422818696</v>
      </c>
      <c r="AD8" s="54">
        <v>-6457826.8422818696</v>
      </c>
      <c r="AE8" s="54">
        <v>-6457826.8422818696</v>
      </c>
      <c r="AF8" s="54">
        <v>-6457826.8422818696</v>
      </c>
      <c r="AG8" s="54">
        <v>-6457826.8422818696</v>
      </c>
      <c r="AH8" s="54">
        <v>-6457826.8422818696</v>
      </c>
      <c r="AI8" s="54">
        <v>-6457826.8422818696</v>
      </c>
      <c r="AJ8" s="54">
        <v>-6457826.8422818696</v>
      </c>
      <c r="AK8" s="54">
        <v>-6457826.8422818696</v>
      </c>
      <c r="AL8" s="54">
        <v>-6457826.8422818696</v>
      </c>
      <c r="AM8" s="54">
        <v>-6457826.8422818696</v>
      </c>
      <c r="AN8" s="54">
        <v>-6457826.8422818696</v>
      </c>
      <c r="AO8" s="54">
        <v>-6457826.8422818696</v>
      </c>
      <c r="AP8" s="54">
        <v>-6457826.8422818696</v>
      </c>
    </row>
    <row r="9" spans="1:42" x14ac:dyDescent="0.25">
      <c r="A9" s="62">
        <v>1.2537500000000001</v>
      </c>
      <c r="B9" s="54">
        <v>-6457826.8422818687</v>
      </c>
      <c r="C9" s="54">
        <v>-961202.84228187078</v>
      </c>
      <c r="D9" s="54">
        <v>4535421.1577181276</v>
      </c>
      <c r="E9" s="54">
        <v>-2033714.8422818703</v>
      </c>
      <c r="F9" s="54">
        <v>-559010.84228187043</v>
      </c>
      <c r="G9" s="54">
        <v>915693.15771812922</v>
      </c>
      <c r="H9" s="67">
        <v>2390397.1577181304</v>
      </c>
      <c r="I9" s="71">
        <v>-6457826.8422818696</v>
      </c>
      <c r="J9" s="54">
        <v>-6457826.8422818696</v>
      </c>
      <c r="K9" s="54">
        <v>-6457826.8422818696</v>
      </c>
      <c r="L9" s="54">
        <v>-6457826.8422818696</v>
      </c>
      <c r="M9" s="54">
        <v>-6457826.8422818696</v>
      </c>
      <c r="N9" s="54">
        <v>-6457826.8422818696</v>
      </c>
      <c r="O9" s="54">
        <v>-6457826.8422818696</v>
      </c>
      <c r="P9" s="54">
        <v>-6457826.8422818696</v>
      </c>
      <c r="Q9" s="54">
        <v>-6457826.8422818696</v>
      </c>
      <c r="R9" s="54">
        <v>-6457826.8422818696</v>
      </c>
      <c r="S9" s="71">
        <v>-6457826.8422818696</v>
      </c>
      <c r="T9" s="71">
        <v>-6457826.8422818696</v>
      </c>
      <c r="U9" s="54">
        <v>-6457826.8422818696</v>
      </c>
      <c r="V9" s="54">
        <v>-6457826.8422818696</v>
      </c>
      <c r="W9" s="54">
        <v>-6457826.8422818696</v>
      </c>
      <c r="X9" s="54">
        <v>-6457826.8422818696</v>
      </c>
      <c r="Y9" s="54">
        <v>-6457826.8422818696</v>
      </c>
      <c r="Z9" s="54">
        <v>-6457826.8422818696</v>
      </c>
      <c r="AA9" s="54">
        <v>-6457826.8422818696</v>
      </c>
      <c r="AB9" s="54">
        <v>-6457826.8422818696</v>
      </c>
      <c r="AC9" s="54">
        <v>-6457826.8422818696</v>
      </c>
      <c r="AD9" s="54">
        <v>-6457826.8422818696</v>
      </c>
      <c r="AE9" s="54">
        <v>-6457826.8422818696</v>
      </c>
      <c r="AF9" s="54">
        <v>-6457826.8422818696</v>
      </c>
      <c r="AG9" s="54">
        <v>-6457826.8422818696</v>
      </c>
      <c r="AH9" s="54">
        <v>-6457826.8422818696</v>
      </c>
      <c r="AI9" s="54">
        <v>-6457826.8422818696</v>
      </c>
      <c r="AJ9" s="54">
        <v>-6457826.8422818696</v>
      </c>
      <c r="AK9" s="54">
        <v>-6457826.8422818696</v>
      </c>
      <c r="AL9" s="54">
        <v>-6457826.8422818696</v>
      </c>
      <c r="AM9" s="54">
        <v>-6457826.8422818696</v>
      </c>
      <c r="AN9" s="54">
        <v>-6457826.8422818696</v>
      </c>
      <c r="AO9" s="54">
        <v>-6457826.8422818696</v>
      </c>
      <c r="AP9" s="54">
        <v>-6457826.8422818696</v>
      </c>
    </row>
    <row r="10" spans="1:42" x14ac:dyDescent="0.25">
      <c r="A10" s="62">
        <v>1.3550000000000002</v>
      </c>
      <c r="B10" s="54">
        <v>-6457826.8422818696</v>
      </c>
      <c r="C10" s="54">
        <v>3731037.1577181276</v>
      </c>
      <c r="D10" s="54">
        <v>4535421.1577181276</v>
      </c>
      <c r="E10" s="54">
        <v>10032045.157718131</v>
      </c>
      <c r="F10" s="54">
        <v>-559010.84228187043</v>
      </c>
      <c r="G10" s="54">
        <v>915693.15771812922</v>
      </c>
      <c r="H10" s="67">
        <v>2390397.1577181304</v>
      </c>
      <c r="I10" s="71">
        <v>3865101.1577181285</v>
      </c>
      <c r="J10" s="54">
        <v>-6457826.8422818696</v>
      </c>
      <c r="K10" s="54">
        <v>-6457826.8422818696</v>
      </c>
      <c r="L10" s="54">
        <v>-6457826.8422818696</v>
      </c>
      <c r="M10" s="54">
        <v>-6457826.8422818696</v>
      </c>
      <c r="N10" s="54">
        <v>-6457826.8422818696</v>
      </c>
      <c r="O10" s="54">
        <v>-6457826.8422818696</v>
      </c>
      <c r="P10" s="54">
        <v>-6457826.8422818696</v>
      </c>
      <c r="Q10" s="54">
        <v>-6457826.8422818696</v>
      </c>
      <c r="R10" s="54">
        <v>-6457826.8422818696</v>
      </c>
      <c r="S10" s="71">
        <v>-6457826.8422818696</v>
      </c>
      <c r="T10" s="71">
        <v>-6457826.8422818696</v>
      </c>
      <c r="U10" s="54">
        <v>-6457826.8422818696</v>
      </c>
      <c r="V10" s="54">
        <v>-6457826.8422818696</v>
      </c>
      <c r="W10" s="54">
        <v>-6457826.8422818696</v>
      </c>
      <c r="X10" s="54">
        <v>-6457826.8422818696</v>
      </c>
      <c r="Y10" s="54">
        <v>-6457826.8422818696</v>
      </c>
      <c r="Z10" s="54">
        <v>-6457826.8422818696</v>
      </c>
      <c r="AA10" s="54">
        <v>-6457826.8422818696</v>
      </c>
      <c r="AB10" s="54">
        <v>-6457826.8422818696</v>
      </c>
      <c r="AC10" s="54">
        <v>-6457826.8422818696</v>
      </c>
      <c r="AD10" s="54">
        <v>-6457826.8422818696</v>
      </c>
      <c r="AE10" s="54">
        <v>-6457826.8422818696</v>
      </c>
      <c r="AF10" s="54">
        <v>-6457826.8422818696</v>
      </c>
      <c r="AG10" s="54">
        <v>-6457826.8422818696</v>
      </c>
      <c r="AH10" s="54">
        <v>-6457826.8422818696</v>
      </c>
      <c r="AI10" s="54">
        <v>-6457826.8422818696</v>
      </c>
      <c r="AJ10" s="54">
        <v>-6457826.8422818696</v>
      </c>
      <c r="AK10" s="54">
        <v>-6457826.8422818696</v>
      </c>
      <c r="AL10" s="54">
        <v>-6457826.8422818696</v>
      </c>
      <c r="AM10" s="54">
        <v>-6457826.8422818696</v>
      </c>
      <c r="AN10" s="54">
        <v>-6457826.8422818696</v>
      </c>
      <c r="AO10" s="54">
        <v>-6457826.8422818696</v>
      </c>
      <c r="AP10" s="54">
        <v>-6457826.8422818696</v>
      </c>
    </row>
    <row r="11" spans="1:42" x14ac:dyDescent="0.25">
      <c r="A11" s="62">
        <v>1.4562500000000003</v>
      </c>
      <c r="B11" s="54">
        <v>-6457826.8422818696</v>
      </c>
      <c r="C11" s="54">
        <v>3731037.1577181276</v>
      </c>
      <c r="D11" s="54">
        <v>4535421.1577181276</v>
      </c>
      <c r="E11" s="54">
        <v>10032045.157718131</v>
      </c>
      <c r="F11" s="54">
        <v>15528669.157718129</v>
      </c>
      <c r="G11" s="54">
        <v>915693.15771812922</v>
      </c>
      <c r="H11" s="67">
        <v>2390397.1577181304</v>
      </c>
      <c r="I11" s="71">
        <v>3865101.1577181285</v>
      </c>
      <c r="J11" s="54">
        <v>5339805.1577181295</v>
      </c>
      <c r="K11" s="54">
        <v>-6457826.8422818696</v>
      </c>
      <c r="L11" s="54">
        <v>-6457826.8422818696</v>
      </c>
      <c r="M11" s="54">
        <v>-6457826.8422818696</v>
      </c>
      <c r="N11" s="54">
        <v>-6457826.8422818696</v>
      </c>
      <c r="O11" s="54">
        <v>-6457826.8422818696</v>
      </c>
      <c r="P11" s="54">
        <v>-6457826.8422818696</v>
      </c>
      <c r="Q11" s="54">
        <v>-6457826.8422818696</v>
      </c>
      <c r="R11" s="54">
        <v>-6457826.8422818696</v>
      </c>
      <c r="S11" s="71">
        <v>-6457826.8422818696</v>
      </c>
      <c r="T11" s="71">
        <v>-6457826.8422818696</v>
      </c>
      <c r="U11" s="54">
        <v>-6457826.8422818696</v>
      </c>
      <c r="V11" s="54">
        <v>-6457826.8422818696</v>
      </c>
      <c r="W11" s="54">
        <v>-6457826.8422818696</v>
      </c>
      <c r="X11" s="54">
        <v>-6457826.8422818696</v>
      </c>
      <c r="Y11" s="54">
        <v>-6457826.8422818696</v>
      </c>
      <c r="Z11" s="54">
        <v>-6457826.8422818696</v>
      </c>
      <c r="AA11" s="54">
        <v>-6457826.8422818696</v>
      </c>
      <c r="AB11" s="54">
        <v>-6457826.8422818696</v>
      </c>
      <c r="AC11" s="54">
        <v>-6457826.8422818696</v>
      </c>
      <c r="AD11" s="54">
        <v>-6457826.8422818696</v>
      </c>
      <c r="AE11" s="54">
        <v>-6457826.8422818696</v>
      </c>
      <c r="AF11" s="54">
        <v>-6457826.8422818696</v>
      </c>
      <c r="AG11" s="54">
        <v>-6457826.8422818696</v>
      </c>
      <c r="AH11" s="54">
        <v>-6457826.8422818696</v>
      </c>
      <c r="AI11" s="54">
        <v>-6457826.8422818696</v>
      </c>
      <c r="AJ11" s="54">
        <v>-6457826.8422818696</v>
      </c>
      <c r="AK11" s="54">
        <v>-6457826.8422818696</v>
      </c>
      <c r="AL11" s="54">
        <v>-6457826.8422818696</v>
      </c>
      <c r="AM11" s="54">
        <v>-6457826.8422818696</v>
      </c>
      <c r="AN11" s="54">
        <v>-6457826.8422818696</v>
      </c>
      <c r="AO11" s="54">
        <v>-6457826.8422818696</v>
      </c>
      <c r="AP11" s="54">
        <v>-6457826.8422818696</v>
      </c>
    </row>
    <row r="12" spans="1:42" x14ac:dyDescent="0.25">
      <c r="A12" s="62">
        <v>1.5575000000000003</v>
      </c>
      <c r="B12" s="54">
        <v>-6457826.8422818696</v>
      </c>
      <c r="C12" s="54">
        <v>3731037.1577181276</v>
      </c>
      <c r="D12" s="75">
        <v>13919901.15771812</v>
      </c>
      <c r="E12" s="54">
        <v>10032045.157718131</v>
      </c>
      <c r="F12" s="54">
        <v>15528669.157718129</v>
      </c>
      <c r="G12" s="54">
        <v>915693.15771812922</v>
      </c>
      <c r="H12" s="67">
        <v>2390397.1577181304</v>
      </c>
      <c r="I12" s="71">
        <v>3865101.1577181285</v>
      </c>
      <c r="J12" s="54">
        <v>5339805.1577181295</v>
      </c>
      <c r="K12" s="54">
        <v>6814509.1577181295</v>
      </c>
      <c r="L12" s="54">
        <v>-6457826.8422818696</v>
      </c>
      <c r="M12" s="54">
        <v>-6457826.8422818696</v>
      </c>
      <c r="N12" s="54">
        <v>-6457826.8422818696</v>
      </c>
      <c r="O12" s="54">
        <v>-6457826.8422818696</v>
      </c>
      <c r="P12" s="54">
        <v>-6457826.8422818696</v>
      </c>
      <c r="Q12" s="54">
        <v>-6457826.8422818696</v>
      </c>
      <c r="R12" s="54">
        <v>-6457826.8422818696</v>
      </c>
      <c r="S12" s="71">
        <v>-6457826.8422818696</v>
      </c>
      <c r="T12" s="71">
        <v>-6457826.8422818696</v>
      </c>
      <c r="U12" s="54">
        <v>-6457826.8422818696</v>
      </c>
      <c r="V12" s="54">
        <v>-6457826.8422818696</v>
      </c>
      <c r="W12" s="54">
        <v>-6457826.8422818696</v>
      </c>
      <c r="X12" s="54">
        <v>-6457826.8422818696</v>
      </c>
      <c r="Y12" s="54">
        <v>-6457826.8422818696</v>
      </c>
      <c r="Z12" s="54">
        <v>-6457826.8422818696</v>
      </c>
      <c r="AA12" s="54">
        <v>-6457826.8422818696</v>
      </c>
      <c r="AB12" s="54">
        <v>-6457826.8422818696</v>
      </c>
      <c r="AC12" s="54">
        <v>-6457826.8422818696</v>
      </c>
      <c r="AD12" s="54">
        <v>-6457826.8422818696</v>
      </c>
      <c r="AE12" s="54">
        <v>-6457826.8422818696</v>
      </c>
      <c r="AF12" s="54">
        <v>-6457826.8422818696</v>
      </c>
      <c r="AG12" s="54">
        <v>-6457826.8422818696</v>
      </c>
      <c r="AH12" s="54">
        <v>-6457826.8422818696</v>
      </c>
      <c r="AI12" s="54">
        <v>-6457826.8422818696</v>
      </c>
      <c r="AJ12" s="54">
        <v>-6457826.8422818696</v>
      </c>
      <c r="AK12" s="54">
        <v>-6457826.8422818696</v>
      </c>
      <c r="AL12" s="54">
        <v>-6457826.8422818696</v>
      </c>
      <c r="AM12" s="54">
        <v>-6457826.8422818696</v>
      </c>
      <c r="AN12" s="54">
        <v>-6457826.8422818696</v>
      </c>
      <c r="AO12" s="54">
        <v>-6457826.8422818696</v>
      </c>
      <c r="AP12" s="54">
        <v>-6457826.8422818696</v>
      </c>
    </row>
    <row r="13" spans="1:42" x14ac:dyDescent="0.25">
      <c r="A13" s="62">
        <v>1.6587500000000004</v>
      </c>
      <c r="B13" s="54">
        <v>-6457826.8422818696</v>
      </c>
      <c r="C13" s="54">
        <v>6278253.1577181285</v>
      </c>
      <c r="D13" s="75">
        <v>13919901.15771812</v>
      </c>
      <c r="E13" s="54">
        <v>10032045.157718131</v>
      </c>
      <c r="F13" s="54">
        <v>15528669.157718129</v>
      </c>
      <c r="G13" s="54">
        <v>21025293.157718126</v>
      </c>
      <c r="H13" s="67">
        <v>2390397.1577181304</v>
      </c>
      <c r="I13" s="71">
        <v>3865101.1577181285</v>
      </c>
      <c r="J13" s="54">
        <v>5339805.1577181295</v>
      </c>
      <c r="K13" s="54">
        <v>6814509.1577181295</v>
      </c>
      <c r="L13" s="54">
        <v>8289213.1577181285</v>
      </c>
      <c r="M13" s="54">
        <v>-6457826.8422818696</v>
      </c>
      <c r="N13" s="54">
        <v>-6457826.8422818696</v>
      </c>
      <c r="O13" s="54">
        <v>-6457826.8422818696</v>
      </c>
      <c r="P13" s="54">
        <v>-6457826.8422818696</v>
      </c>
      <c r="Q13" s="54">
        <v>-6457826.8422818696</v>
      </c>
      <c r="R13" s="54">
        <v>-6457826.8422818696</v>
      </c>
      <c r="S13" s="71">
        <v>-6457826.8422818696</v>
      </c>
      <c r="T13" s="71">
        <v>-6457826.8422818696</v>
      </c>
      <c r="U13" s="54">
        <v>-6457826.8422818696</v>
      </c>
      <c r="V13" s="54">
        <v>-6457826.8422818696</v>
      </c>
      <c r="W13" s="54">
        <v>-6457826.8422818696</v>
      </c>
      <c r="X13" s="54">
        <v>-6457826.8422818696</v>
      </c>
      <c r="Y13" s="54">
        <v>-6457826.8422818696</v>
      </c>
      <c r="Z13" s="54">
        <v>-6457826.8422818696</v>
      </c>
      <c r="AA13" s="54">
        <v>-6457826.8422818696</v>
      </c>
      <c r="AB13" s="54">
        <v>-6457826.8422818696</v>
      </c>
      <c r="AC13" s="54">
        <v>-6457826.8422818696</v>
      </c>
      <c r="AD13" s="54">
        <v>-6457826.8422818696</v>
      </c>
      <c r="AE13" s="54">
        <v>-6457826.8422818696</v>
      </c>
      <c r="AF13" s="54">
        <v>-6457826.8422818696</v>
      </c>
      <c r="AG13" s="54">
        <v>-6457826.8422818696</v>
      </c>
      <c r="AH13" s="54">
        <v>-6457826.8422818696</v>
      </c>
      <c r="AI13" s="54">
        <v>-6457826.8422818696</v>
      </c>
      <c r="AJ13" s="54">
        <v>-6457826.8422818696</v>
      </c>
      <c r="AK13" s="54">
        <v>-6457826.8422818696</v>
      </c>
      <c r="AL13" s="54">
        <v>-6457826.8422818696</v>
      </c>
      <c r="AM13" s="54">
        <v>-6457826.8422818696</v>
      </c>
      <c r="AN13" s="54">
        <v>-6457826.8422818696</v>
      </c>
      <c r="AO13" s="54">
        <v>-6457826.8422818696</v>
      </c>
      <c r="AP13" s="54">
        <v>-6457826.8422818696</v>
      </c>
    </row>
    <row r="14" spans="1:42" x14ac:dyDescent="0.25">
      <c r="A14" s="62">
        <v>1.7600000000000005</v>
      </c>
      <c r="B14" s="54">
        <v>-6457826.8422818696</v>
      </c>
      <c r="C14" s="54">
        <v>6278253.1577181285</v>
      </c>
      <c r="D14" s="54">
        <v>13919901.15771812</v>
      </c>
      <c r="E14" s="75">
        <v>24108765.157718126</v>
      </c>
      <c r="F14" s="54">
        <v>15528669.157718129</v>
      </c>
      <c r="G14" s="54">
        <v>21025293.157718126</v>
      </c>
      <c r="H14" s="67">
        <v>2390397.1577181304</v>
      </c>
      <c r="I14" s="71">
        <v>3865101.1577181285</v>
      </c>
      <c r="J14" s="54">
        <v>5339805.1577181295</v>
      </c>
      <c r="K14" s="54">
        <v>6814509.1577181295</v>
      </c>
      <c r="L14" s="54">
        <v>8289213.1577181285</v>
      </c>
      <c r="M14" s="54">
        <v>9763917.1577181257</v>
      </c>
      <c r="N14" s="54">
        <v>-6457826.8422818696</v>
      </c>
      <c r="O14" s="54">
        <v>-6457826.8422818696</v>
      </c>
      <c r="P14" s="54">
        <v>-6457826.8422818696</v>
      </c>
      <c r="Q14" s="54">
        <v>-6457826.8422818696</v>
      </c>
      <c r="R14" s="54">
        <v>-6457826.8422818696</v>
      </c>
      <c r="S14" s="71">
        <v>-6457826.8422818696</v>
      </c>
      <c r="T14" s="71">
        <v>-6457826.8422818696</v>
      </c>
      <c r="U14" s="54">
        <v>-6457826.8422818696</v>
      </c>
      <c r="V14" s="54">
        <v>-6457826.8422818696</v>
      </c>
      <c r="W14" s="54">
        <v>-6457826.8422818696</v>
      </c>
      <c r="X14" s="54">
        <v>-6457826.8422818696</v>
      </c>
      <c r="Y14" s="54">
        <v>-6457826.8422818696</v>
      </c>
      <c r="Z14" s="54">
        <v>-6457826.8422818696</v>
      </c>
      <c r="AA14" s="54">
        <v>-6457826.8422818696</v>
      </c>
      <c r="AB14" s="54">
        <v>-6457826.8422818696</v>
      </c>
      <c r="AC14" s="54">
        <v>-6457826.8422818696</v>
      </c>
      <c r="AD14" s="54">
        <v>-6457826.8422818696</v>
      </c>
      <c r="AE14" s="54">
        <v>-6457826.8422818696</v>
      </c>
      <c r="AF14" s="54">
        <v>-6457826.8422818696</v>
      </c>
      <c r="AG14" s="54">
        <v>-6457826.8422818696</v>
      </c>
      <c r="AH14" s="54">
        <v>-6457826.8422818696</v>
      </c>
      <c r="AI14" s="54">
        <v>-6457826.8422818696</v>
      </c>
      <c r="AJ14" s="54">
        <v>-6457826.8422818696</v>
      </c>
      <c r="AK14" s="54">
        <v>-6457826.8422818696</v>
      </c>
      <c r="AL14" s="54">
        <v>-6457826.8422818696</v>
      </c>
      <c r="AM14" s="54">
        <v>-6457826.8422818696</v>
      </c>
      <c r="AN14" s="54">
        <v>-6457826.8422818696</v>
      </c>
      <c r="AO14" s="54">
        <v>-6457826.8422818696</v>
      </c>
      <c r="AP14" s="54">
        <v>-6457826.8422818696</v>
      </c>
    </row>
    <row r="15" spans="1:42" x14ac:dyDescent="0.25">
      <c r="A15" s="62">
        <v>1.8612500000000005</v>
      </c>
      <c r="B15" s="54">
        <v>-6457826.8422818696</v>
      </c>
      <c r="C15" s="54">
        <v>6278253.1577181285</v>
      </c>
      <c r="D15" s="54">
        <v>19014333.157718122</v>
      </c>
      <c r="E15" s="75">
        <v>24108765.157718126</v>
      </c>
      <c r="F15" s="54">
        <v>15528669.157718129</v>
      </c>
      <c r="G15" s="54">
        <v>21025293.157718126</v>
      </c>
      <c r="H15" s="67">
        <v>26521917.157718137</v>
      </c>
      <c r="I15" s="71">
        <v>3865101.1577181285</v>
      </c>
      <c r="J15" s="54">
        <v>5339805.1577181295</v>
      </c>
      <c r="K15" s="54">
        <v>6814509.1577181295</v>
      </c>
      <c r="L15" s="54">
        <v>8289213.1577181285</v>
      </c>
      <c r="M15" s="54">
        <v>9763917.1577181257</v>
      </c>
      <c r="N15" s="54">
        <v>-6457826.8422818696</v>
      </c>
      <c r="O15" s="54">
        <v>-6457826.8422818696</v>
      </c>
      <c r="P15" s="54">
        <v>-6457826.8422818696</v>
      </c>
      <c r="Q15" s="54">
        <v>-6457826.8422818696</v>
      </c>
      <c r="R15" s="54">
        <v>-6457826.8422818696</v>
      </c>
      <c r="S15" s="71">
        <v>-6457826.8422818696</v>
      </c>
      <c r="T15" s="71">
        <v>-6457826.8422818696</v>
      </c>
      <c r="U15" s="54">
        <v>-6457826.8422818696</v>
      </c>
      <c r="V15" s="54">
        <v>-6457826.8422818696</v>
      </c>
      <c r="W15" s="54">
        <v>-6457826.8422818696</v>
      </c>
      <c r="X15" s="54">
        <v>-6457826.8422818696</v>
      </c>
      <c r="Y15" s="54">
        <v>-6457826.8422818696</v>
      </c>
      <c r="Z15" s="54">
        <v>-6457826.8422818696</v>
      </c>
      <c r="AA15" s="54">
        <v>-6457826.8422818696</v>
      </c>
      <c r="AB15" s="54">
        <v>-6457826.8422818696</v>
      </c>
      <c r="AC15" s="54">
        <v>-6457826.8422818696</v>
      </c>
      <c r="AD15" s="54">
        <v>-6457826.8422818696</v>
      </c>
      <c r="AE15" s="54">
        <v>-6457826.8422818696</v>
      </c>
      <c r="AF15" s="54">
        <v>-6457826.8422818696</v>
      </c>
      <c r="AG15" s="54">
        <v>-6457826.8422818696</v>
      </c>
      <c r="AH15" s="54">
        <v>-6457826.8422818696</v>
      </c>
      <c r="AI15" s="54">
        <v>-6457826.8422818696</v>
      </c>
      <c r="AJ15" s="54">
        <v>-6457826.8422818696</v>
      </c>
      <c r="AK15" s="54">
        <v>-6457826.8422818696</v>
      </c>
      <c r="AL15" s="54">
        <v>-6457826.8422818696</v>
      </c>
      <c r="AM15" s="54">
        <v>-6457826.8422818696</v>
      </c>
      <c r="AN15" s="54">
        <v>-6457826.8422818696</v>
      </c>
      <c r="AO15" s="54">
        <v>-6457826.8422818696</v>
      </c>
      <c r="AP15" s="54">
        <v>-6457826.8422818696</v>
      </c>
    </row>
    <row r="16" spans="1:42" x14ac:dyDescent="0.25">
      <c r="A16" s="62">
        <v>1.9625000000000006</v>
      </c>
      <c r="B16" s="54">
        <v>-6457826.8422818696</v>
      </c>
      <c r="C16" s="54">
        <v>6948573.1577181239</v>
      </c>
      <c r="D16" s="54">
        <v>19014333.157718122</v>
      </c>
      <c r="E16" s="54">
        <v>24108765.157718126</v>
      </c>
      <c r="F16" s="75">
        <v>34297629.157718129</v>
      </c>
      <c r="G16" s="54">
        <v>21025293.157718126</v>
      </c>
      <c r="H16" s="67">
        <v>26521917.157718137</v>
      </c>
      <c r="I16" s="71">
        <v>32018541.157718126</v>
      </c>
      <c r="J16" s="54">
        <v>5339805.1577181295</v>
      </c>
      <c r="K16" s="54">
        <v>6814509.1577181295</v>
      </c>
      <c r="L16" s="54">
        <v>8289213.1577181285</v>
      </c>
      <c r="M16" s="54">
        <v>9763917.1577181257</v>
      </c>
      <c r="N16" s="54">
        <v>11238621.157718129</v>
      </c>
      <c r="O16" s="54">
        <v>-6457826.8422818696</v>
      </c>
      <c r="P16" s="54">
        <v>-6457826.8422818696</v>
      </c>
      <c r="Q16" s="54">
        <v>-6457826.8422818696</v>
      </c>
      <c r="R16" s="54">
        <v>-6457826.8422818696</v>
      </c>
      <c r="S16" s="71">
        <v>-6457826.8422818696</v>
      </c>
      <c r="T16" s="71">
        <v>-6457826.8422818696</v>
      </c>
      <c r="U16" s="54">
        <v>-6457826.8422818696</v>
      </c>
      <c r="V16" s="54">
        <v>-6457826.8422818696</v>
      </c>
      <c r="W16" s="54">
        <v>-6457826.8422818696</v>
      </c>
      <c r="X16" s="54">
        <v>-6457826.8422818696</v>
      </c>
      <c r="Y16" s="54">
        <v>-6457826.8422818696</v>
      </c>
      <c r="Z16" s="54">
        <v>-6457826.8422818696</v>
      </c>
      <c r="AA16" s="54">
        <v>-6457826.8422818696</v>
      </c>
      <c r="AB16" s="54">
        <v>-6457826.8422818696</v>
      </c>
      <c r="AC16" s="54">
        <v>-6457826.8422818696</v>
      </c>
      <c r="AD16" s="54">
        <v>-6457826.8422818696</v>
      </c>
      <c r="AE16" s="54">
        <v>-6457826.8422818696</v>
      </c>
      <c r="AF16" s="54">
        <v>-6457826.8422818696</v>
      </c>
      <c r="AG16" s="54">
        <v>-6457826.8422818696</v>
      </c>
      <c r="AH16" s="54">
        <v>-6457826.8422818696</v>
      </c>
      <c r="AI16" s="54">
        <v>-6457826.8422818696</v>
      </c>
      <c r="AJ16" s="54">
        <v>-6457826.8422818696</v>
      </c>
      <c r="AK16" s="54">
        <v>-6457826.8422818696</v>
      </c>
      <c r="AL16" s="54">
        <v>-6457826.8422818696</v>
      </c>
      <c r="AM16" s="54">
        <v>-6457826.8422818696</v>
      </c>
      <c r="AN16" s="54">
        <v>-6457826.8422818696</v>
      </c>
      <c r="AO16" s="54">
        <v>-6457826.8422818696</v>
      </c>
      <c r="AP16" s="54">
        <v>-6457826.8422818696</v>
      </c>
    </row>
    <row r="17" spans="1:42" x14ac:dyDescent="0.25">
      <c r="A17" s="62">
        <v>2.0637500000000006</v>
      </c>
      <c r="B17" s="54">
        <v>-6457826.8422818696</v>
      </c>
      <c r="C17" s="54">
        <v>6948573.1577181239</v>
      </c>
      <c r="D17" s="54">
        <v>19014333.157718122</v>
      </c>
      <c r="E17" s="54">
        <v>24108765.157718126</v>
      </c>
      <c r="F17" s="75">
        <v>34297629.157718129</v>
      </c>
      <c r="G17" s="54">
        <v>21025293.157718126</v>
      </c>
      <c r="H17" s="67">
        <v>26521917.157718137</v>
      </c>
      <c r="I17" s="71">
        <v>32018541.157718126</v>
      </c>
      <c r="J17" s="54">
        <v>5339805.1577181295</v>
      </c>
      <c r="K17" s="54">
        <v>6814509.1577181295</v>
      </c>
      <c r="L17" s="54">
        <v>8289213.1577181285</v>
      </c>
      <c r="M17" s="54">
        <v>9763917.1577181257</v>
      </c>
      <c r="N17" s="54">
        <v>11238621.157718129</v>
      </c>
      <c r="O17" s="54">
        <v>12713325.157718128</v>
      </c>
      <c r="P17" s="54">
        <v>-6457826.8422818696</v>
      </c>
      <c r="Q17" s="54">
        <v>-6457826.8422818696</v>
      </c>
      <c r="R17" s="54">
        <v>-6457826.8422818696</v>
      </c>
      <c r="S17" s="71">
        <v>-6457826.8422818696</v>
      </c>
      <c r="T17" s="71">
        <v>-6457826.8422818696</v>
      </c>
      <c r="U17" s="54">
        <v>-6457826.8422818696</v>
      </c>
      <c r="V17" s="54">
        <v>-6457826.8422818696</v>
      </c>
      <c r="W17" s="54">
        <v>-6457826.8422818696</v>
      </c>
      <c r="X17" s="54">
        <v>-6457826.8422818696</v>
      </c>
      <c r="Y17" s="54">
        <v>-6457826.8422818696</v>
      </c>
      <c r="Z17" s="54">
        <v>-6457826.8422818696</v>
      </c>
      <c r="AA17" s="54">
        <v>-6457826.8422818696</v>
      </c>
      <c r="AB17" s="54">
        <v>-6457826.8422818696</v>
      </c>
      <c r="AC17" s="54">
        <v>-6457826.8422818696</v>
      </c>
      <c r="AD17" s="54">
        <v>-6457826.8422818696</v>
      </c>
      <c r="AE17" s="54">
        <v>-6457826.8422818696</v>
      </c>
      <c r="AF17" s="54">
        <v>-6457826.8422818696</v>
      </c>
      <c r="AG17" s="54">
        <v>-6457826.8422818696</v>
      </c>
      <c r="AH17" s="54">
        <v>-6457826.8422818696</v>
      </c>
      <c r="AI17" s="54">
        <v>-6457826.8422818696</v>
      </c>
      <c r="AJ17" s="54">
        <v>-6457826.8422818696</v>
      </c>
      <c r="AK17" s="54">
        <v>-6457826.8422818696</v>
      </c>
      <c r="AL17" s="54">
        <v>-6457826.8422818696</v>
      </c>
      <c r="AM17" s="54">
        <v>-6457826.8422818696</v>
      </c>
      <c r="AN17" s="54">
        <v>-6457826.8422818696</v>
      </c>
      <c r="AO17" s="54">
        <v>-6457826.8422818696</v>
      </c>
      <c r="AP17" s="54">
        <v>-6457826.8422818696</v>
      </c>
    </row>
    <row r="18" spans="1:42" x14ac:dyDescent="0.25">
      <c r="A18" s="62">
        <v>2.1650000000000005</v>
      </c>
      <c r="B18" s="54">
        <v>-6457826.8422818696</v>
      </c>
      <c r="C18" s="54">
        <v>6948573.1577181239</v>
      </c>
      <c r="D18" s="54">
        <v>19014333.157718122</v>
      </c>
      <c r="E18" s="54">
        <v>31750413.157718133</v>
      </c>
      <c r="F18" s="54">
        <v>34297629.157718129</v>
      </c>
      <c r="G18" s="75">
        <v>44486493.157718122</v>
      </c>
      <c r="H18" s="67">
        <v>26521917.157718137</v>
      </c>
      <c r="I18" s="71">
        <v>32018541.157718126</v>
      </c>
      <c r="J18" s="54">
        <v>37515165.157718129</v>
      </c>
      <c r="K18" s="54">
        <v>6814509.1577181295</v>
      </c>
      <c r="L18" s="54">
        <v>8289213.1577181285</v>
      </c>
      <c r="M18" s="54">
        <v>9763917.1577181257</v>
      </c>
      <c r="N18" s="54">
        <v>11238621.157718129</v>
      </c>
      <c r="O18" s="54">
        <v>12713325.157718128</v>
      </c>
      <c r="P18" s="54">
        <v>14188029.157718128</v>
      </c>
      <c r="Q18" s="54">
        <v>-6457826.8422818696</v>
      </c>
      <c r="R18" s="54">
        <v>-6457826.8422818696</v>
      </c>
      <c r="S18" s="71">
        <v>-6457826.8422818696</v>
      </c>
      <c r="T18" s="71">
        <v>-6457826.8422818696</v>
      </c>
      <c r="U18" s="54">
        <v>-6457826.8422818696</v>
      </c>
      <c r="V18" s="54">
        <v>-6457826.8422818696</v>
      </c>
      <c r="W18" s="54">
        <v>-6457826.8422818696</v>
      </c>
      <c r="X18" s="54">
        <v>-6457826.8422818696</v>
      </c>
      <c r="Y18" s="54">
        <v>-6457826.8422818696</v>
      </c>
      <c r="Z18" s="54">
        <v>-6457826.8422818696</v>
      </c>
      <c r="AA18" s="54">
        <v>-6457826.8422818696</v>
      </c>
      <c r="AB18" s="54">
        <v>-6457826.8422818696</v>
      </c>
      <c r="AC18" s="54">
        <v>-6457826.8422818696</v>
      </c>
      <c r="AD18" s="54">
        <v>-6457826.8422818696</v>
      </c>
      <c r="AE18" s="54">
        <v>-6457826.8422818696</v>
      </c>
      <c r="AF18" s="54">
        <v>-6457826.8422818696</v>
      </c>
      <c r="AG18" s="54">
        <v>-6457826.8422818696</v>
      </c>
      <c r="AH18" s="54">
        <v>-6457826.8422818696</v>
      </c>
      <c r="AI18" s="54">
        <v>-6457826.8422818696</v>
      </c>
      <c r="AJ18" s="54">
        <v>-6457826.8422818696</v>
      </c>
      <c r="AK18" s="54">
        <v>-6457826.8422818696</v>
      </c>
      <c r="AL18" s="54">
        <v>-6457826.8422818696</v>
      </c>
      <c r="AM18" s="54">
        <v>-6457826.8422818696</v>
      </c>
      <c r="AN18" s="54">
        <v>-6457826.8422818696</v>
      </c>
      <c r="AO18" s="54">
        <v>-6457826.8422818696</v>
      </c>
      <c r="AP18" s="54">
        <v>-6457826.8422818696</v>
      </c>
    </row>
    <row r="19" spans="1:42" x14ac:dyDescent="0.25">
      <c r="A19" s="62">
        <v>2.2662500000000003</v>
      </c>
      <c r="B19" s="54">
        <v>-6457826.8422818696</v>
      </c>
      <c r="C19" s="54">
        <v>6948573.1577181239</v>
      </c>
      <c r="D19" s="54">
        <v>20354973.157718118</v>
      </c>
      <c r="E19" s="54">
        <v>31750413.157718133</v>
      </c>
      <c r="F19" s="54">
        <v>34297629.157718129</v>
      </c>
      <c r="G19" s="75">
        <v>44486493.157718122</v>
      </c>
      <c r="H19" s="67">
        <v>26521917.157718137</v>
      </c>
      <c r="I19" s="71">
        <v>32018541.157718126</v>
      </c>
      <c r="J19" s="54">
        <v>37515165.157718129</v>
      </c>
      <c r="K19" s="54">
        <v>6814509.1577181295</v>
      </c>
      <c r="L19" s="54">
        <v>8289213.1577181285</v>
      </c>
      <c r="M19" s="54">
        <v>9763917.1577181257</v>
      </c>
      <c r="N19" s="54">
        <v>11238621.157718129</v>
      </c>
      <c r="O19" s="54">
        <v>12713325.157718128</v>
      </c>
      <c r="P19" s="54">
        <v>14188029.157718128</v>
      </c>
      <c r="Q19" s="54">
        <v>15662733.157718128</v>
      </c>
      <c r="R19" s="54">
        <v>-6457826.8422818696</v>
      </c>
      <c r="S19" s="71">
        <v>-6457826.8422818696</v>
      </c>
      <c r="T19" s="71">
        <v>-6457826.8422818696</v>
      </c>
      <c r="U19" s="54">
        <v>-6457826.8422818696</v>
      </c>
      <c r="V19" s="54">
        <v>-6457826.8422818696</v>
      </c>
      <c r="W19" s="54">
        <v>-6457826.8422818696</v>
      </c>
      <c r="X19" s="54">
        <v>-6457826.8422818696</v>
      </c>
      <c r="Y19" s="54">
        <v>-6457826.8422818696</v>
      </c>
      <c r="Z19" s="54">
        <v>-6457826.8422818696</v>
      </c>
      <c r="AA19" s="54">
        <v>-6457826.8422818696</v>
      </c>
      <c r="AB19" s="54">
        <v>-6457826.8422818696</v>
      </c>
      <c r="AC19" s="54">
        <v>-6457826.8422818696</v>
      </c>
      <c r="AD19" s="54">
        <v>-6457826.8422818696</v>
      </c>
      <c r="AE19" s="54">
        <v>-6457826.8422818696</v>
      </c>
      <c r="AF19" s="54">
        <v>-6457826.8422818696</v>
      </c>
      <c r="AG19" s="54">
        <v>-6457826.8422818696</v>
      </c>
      <c r="AH19" s="54">
        <v>-6457826.8422818696</v>
      </c>
      <c r="AI19" s="54">
        <v>-6457826.8422818696</v>
      </c>
      <c r="AJ19" s="54">
        <v>-6457826.8422818696</v>
      </c>
      <c r="AK19" s="54">
        <v>-6457826.8422818696</v>
      </c>
      <c r="AL19" s="54">
        <v>-6457826.8422818696</v>
      </c>
      <c r="AM19" s="54">
        <v>-6457826.8422818696</v>
      </c>
      <c r="AN19" s="54">
        <v>-6457826.8422818696</v>
      </c>
      <c r="AO19" s="54">
        <v>-6457826.8422818696</v>
      </c>
      <c r="AP19" s="54">
        <v>-6457826.8422818696</v>
      </c>
    </row>
    <row r="20" spans="1:42" x14ac:dyDescent="0.25">
      <c r="A20" s="62">
        <v>2.3675000000000002</v>
      </c>
      <c r="B20" s="54">
        <v>-6457826.8422818696</v>
      </c>
      <c r="C20" s="54">
        <v>6948573.1577181239</v>
      </c>
      <c r="D20" s="54">
        <v>20354973.157718118</v>
      </c>
      <c r="E20" s="54">
        <v>31750413.157718133</v>
      </c>
      <c r="F20" s="54">
        <v>34297629.157718129</v>
      </c>
      <c r="G20" s="75">
        <v>44486493.157718122</v>
      </c>
      <c r="H20" s="67">
        <v>26521917.157718137</v>
      </c>
      <c r="I20" s="71">
        <v>32018541.157718126</v>
      </c>
      <c r="J20" s="54">
        <v>37515165.157718129</v>
      </c>
      <c r="K20" s="54">
        <v>43011789.157718129</v>
      </c>
      <c r="L20" s="54">
        <v>8289213.1577181285</v>
      </c>
      <c r="M20" s="54">
        <v>9763917.1577181257</v>
      </c>
      <c r="N20" s="54">
        <v>11238621.157718129</v>
      </c>
      <c r="O20" s="54">
        <v>12713325.157718128</v>
      </c>
      <c r="P20" s="54">
        <v>14188029.157718128</v>
      </c>
      <c r="Q20" s="54">
        <v>15662733.157718128</v>
      </c>
      <c r="R20" s="54">
        <v>17137437.157718129</v>
      </c>
      <c r="S20" s="71">
        <v>-6457826.8422818696</v>
      </c>
      <c r="T20" s="71">
        <v>-6457826.8422818696</v>
      </c>
      <c r="U20" s="54">
        <v>-6457826.8422818696</v>
      </c>
      <c r="V20" s="54">
        <v>-6457826.8422818696</v>
      </c>
      <c r="W20" s="54">
        <v>-6457826.8422818696</v>
      </c>
      <c r="X20" s="54">
        <v>-6457826.8422818696</v>
      </c>
      <c r="Y20" s="54">
        <v>-6457826.8422818696</v>
      </c>
      <c r="Z20" s="54">
        <v>-6457826.8422818696</v>
      </c>
      <c r="AA20" s="54">
        <v>-6457826.8422818696</v>
      </c>
      <c r="AB20" s="54">
        <v>-6457826.8422818696</v>
      </c>
      <c r="AC20" s="54">
        <v>-6457826.8422818696</v>
      </c>
      <c r="AD20" s="54">
        <v>-6457826.8422818696</v>
      </c>
      <c r="AE20" s="54">
        <v>-6457826.8422818696</v>
      </c>
      <c r="AF20" s="54">
        <v>-6457826.8422818696</v>
      </c>
      <c r="AG20" s="54">
        <v>-6457826.8422818696</v>
      </c>
      <c r="AH20" s="54">
        <v>-6457826.8422818696</v>
      </c>
      <c r="AI20" s="54">
        <v>-6457826.8422818696</v>
      </c>
      <c r="AJ20" s="54">
        <v>-6457826.8422818696</v>
      </c>
      <c r="AK20" s="54">
        <v>-6457826.8422818696</v>
      </c>
      <c r="AL20" s="54">
        <v>-6457826.8422818696</v>
      </c>
      <c r="AM20" s="54">
        <v>-6457826.8422818696</v>
      </c>
      <c r="AN20" s="54">
        <v>-6457826.8422818696</v>
      </c>
      <c r="AO20" s="54">
        <v>-6457826.8422818696</v>
      </c>
      <c r="AP20" s="54">
        <v>-6457826.8422818696</v>
      </c>
    </row>
    <row r="21" spans="1:42" x14ac:dyDescent="0.25">
      <c r="A21" s="62">
        <v>2.46875</v>
      </c>
      <c r="B21" s="54">
        <v>-6457826.8422818696</v>
      </c>
      <c r="C21" s="54">
        <v>6948573.1577181239</v>
      </c>
      <c r="D21" s="54">
        <v>20354973.157718118</v>
      </c>
      <c r="E21" s="54">
        <v>31750413.157718133</v>
      </c>
      <c r="F21" s="54">
        <v>44486493.157718122</v>
      </c>
      <c r="G21" s="54">
        <v>44486493.157718122</v>
      </c>
      <c r="H21" s="67">
        <v>54675357.157718129</v>
      </c>
      <c r="I21" s="71">
        <v>32018541.157718126</v>
      </c>
      <c r="J21" s="54">
        <v>37515165.157718129</v>
      </c>
      <c r="K21" s="54">
        <v>43011789.157718129</v>
      </c>
      <c r="L21" s="54">
        <v>48508413.157718122</v>
      </c>
      <c r="M21" s="54">
        <v>9763917.1577181257</v>
      </c>
      <c r="N21" s="54">
        <v>11238621.157718129</v>
      </c>
      <c r="O21" s="54">
        <v>12713325.157718128</v>
      </c>
      <c r="P21" s="54">
        <v>14188029.157718128</v>
      </c>
      <c r="Q21" s="54">
        <v>15662733.157718128</v>
      </c>
      <c r="R21" s="54">
        <v>17137437.157718129</v>
      </c>
      <c r="S21" s="71">
        <v>18612141.157718129</v>
      </c>
      <c r="T21" s="71">
        <v>-6457826.8422818696</v>
      </c>
      <c r="U21" s="54">
        <v>-6457826.8422818696</v>
      </c>
      <c r="V21" s="54">
        <v>-6457826.8422818696</v>
      </c>
      <c r="W21" s="54">
        <v>-6457826.8422818696</v>
      </c>
      <c r="X21" s="54">
        <v>-6457826.8422818696</v>
      </c>
      <c r="Y21" s="54">
        <v>-6457826.8422818696</v>
      </c>
      <c r="Z21" s="54">
        <v>-6457826.8422818696</v>
      </c>
      <c r="AA21" s="54">
        <v>-6457826.8422818696</v>
      </c>
      <c r="AB21" s="54">
        <v>-6457826.8422818696</v>
      </c>
      <c r="AC21" s="54">
        <v>-6457826.8422818696</v>
      </c>
      <c r="AD21" s="54">
        <v>-6457826.8422818696</v>
      </c>
      <c r="AE21" s="54">
        <v>-6457826.8422818696</v>
      </c>
      <c r="AF21" s="54">
        <v>-6457826.8422818696</v>
      </c>
      <c r="AG21" s="54">
        <v>-6457826.8422818696</v>
      </c>
      <c r="AH21" s="54">
        <v>-6457826.8422818696</v>
      </c>
      <c r="AI21" s="54">
        <v>-6457826.8422818696</v>
      </c>
      <c r="AJ21" s="54">
        <v>-6457826.8422818696</v>
      </c>
      <c r="AK21" s="54">
        <v>-6457826.8422818696</v>
      </c>
      <c r="AL21" s="54">
        <v>-6457826.8422818696</v>
      </c>
      <c r="AM21" s="54">
        <v>-6457826.8422818696</v>
      </c>
      <c r="AN21" s="54">
        <v>-6457826.8422818696</v>
      </c>
      <c r="AO21" s="54">
        <v>-6457826.8422818696</v>
      </c>
      <c r="AP21" s="54">
        <v>-6457826.8422818696</v>
      </c>
    </row>
    <row r="22" spans="1:42" s="65" customFormat="1" x14ac:dyDescent="0.25">
      <c r="A22" s="73">
        <v>2.57</v>
      </c>
      <c r="B22" s="67">
        <v>-6457826.8422818696</v>
      </c>
      <c r="C22" s="67">
        <v>6948573.1577181239</v>
      </c>
      <c r="D22" s="67">
        <v>20354973.157718118</v>
      </c>
      <c r="E22" s="67">
        <v>33761373.157718122</v>
      </c>
      <c r="F22" s="67">
        <v>44486493.157718122</v>
      </c>
      <c r="G22" s="67">
        <v>44486493.157718122</v>
      </c>
      <c r="H22" s="74">
        <v>54675357.157718129</v>
      </c>
      <c r="I22" s="67">
        <v>32018541.157718126</v>
      </c>
      <c r="J22" s="67">
        <v>37515165.157718129</v>
      </c>
      <c r="K22" s="67">
        <v>43011789.157718129</v>
      </c>
      <c r="L22" s="67">
        <v>48508413.157718122</v>
      </c>
      <c r="M22" s="67">
        <v>9763917.1577181257</v>
      </c>
      <c r="N22" s="67">
        <v>11238621.157718129</v>
      </c>
      <c r="O22" s="67">
        <v>12713325.157718128</v>
      </c>
      <c r="P22" s="67">
        <v>14188029.157718128</v>
      </c>
      <c r="Q22" s="67">
        <v>15662733.157718128</v>
      </c>
      <c r="R22" s="67">
        <v>17137437.157718129</v>
      </c>
      <c r="S22" s="67">
        <v>18612141.157718129</v>
      </c>
      <c r="T22" s="67">
        <v>20086845.157718129</v>
      </c>
      <c r="U22" s="67">
        <v>-6457826.8422818696</v>
      </c>
      <c r="V22" s="67">
        <v>-6457826.8422818696</v>
      </c>
      <c r="W22" s="67">
        <v>-6457826.8422818696</v>
      </c>
      <c r="X22" s="67">
        <v>-6457826.8422818696</v>
      </c>
      <c r="Y22" s="67">
        <v>-6457826.8422818696</v>
      </c>
      <c r="Z22" s="67">
        <v>-6457826.8422818696</v>
      </c>
      <c r="AA22" s="67">
        <v>-6457826.8422818696</v>
      </c>
      <c r="AB22" s="67">
        <v>-6457826.8422818696</v>
      </c>
      <c r="AC22" s="67">
        <v>-6457826.8422818696</v>
      </c>
      <c r="AD22" s="67">
        <v>-6457826.8422818696</v>
      </c>
      <c r="AE22" s="67">
        <v>-6457826.8422818696</v>
      </c>
      <c r="AF22" s="67">
        <v>-6457826.8422818696</v>
      </c>
      <c r="AG22" s="67">
        <v>-6457826.8422818696</v>
      </c>
      <c r="AH22" s="67">
        <v>-6457826.8422818696</v>
      </c>
      <c r="AI22" s="67">
        <v>-6457826.8422818696</v>
      </c>
      <c r="AJ22" s="67">
        <v>-6457826.8422818696</v>
      </c>
      <c r="AK22" s="67">
        <v>-6457826.8422818696</v>
      </c>
      <c r="AL22" s="67">
        <v>-6457826.8422818696</v>
      </c>
      <c r="AM22" s="67">
        <v>-6457826.8422818696</v>
      </c>
      <c r="AN22" s="67">
        <v>-6457826.8422818696</v>
      </c>
      <c r="AO22" s="67">
        <v>-6457826.8422818696</v>
      </c>
      <c r="AP22" s="67">
        <v>-6457826.8422818696</v>
      </c>
    </row>
    <row r="23" spans="1:42" x14ac:dyDescent="0.25">
      <c r="A23" s="62">
        <v>2.6712499999999997</v>
      </c>
      <c r="B23" s="54">
        <v>-6457826.8422818696</v>
      </c>
      <c r="C23" s="54">
        <v>6948573.1577181239</v>
      </c>
      <c r="D23" s="54">
        <v>20354973.157718118</v>
      </c>
      <c r="E23" s="54">
        <v>33761373.157718122</v>
      </c>
      <c r="F23" s="54">
        <v>44486493.157718122</v>
      </c>
      <c r="G23" s="54">
        <v>44486493.157718122</v>
      </c>
      <c r="H23" s="67">
        <v>54675357.157718129</v>
      </c>
      <c r="I23" s="75">
        <v>64864221.157718115</v>
      </c>
      <c r="J23" s="54">
        <v>37515165.157718129</v>
      </c>
      <c r="K23" s="54">
        <v>43011789.157718129</v>
      </c>
      <c r="L23" s="54">
        <v>48508413.157718122</v>
      </c>
      <c r="M23" s="54">
        <v>54005037.157718107</v>
      </c>
      <c r="N23" s="54">
        <v>11238621.157718129</v>
      </c>
      <c r="O23" s="54">
        <v>12713325.157718128</v>
      </c>
      <c r="P23" s="54">
        <v>14188029.157718128</v>
      </c>
      <c r="Q23" s="54">
        <v>15662733.157718128</v>
      </c>
      <c r="R23" s="54">
        <v>17137437.157718129</v>
      </c>
      <c r="S23" s="71">
        <v>18612141.157718129</v>
      </c>
      <c r="T23" s="71">
        <v>20086845.157718129</v>
      </c>
      <c r="U23" s="54">
        <v>21561549.157718126</v>
      </c>
      <c r="V23" s="54">
        <v>-6457826.8422818696</v>
      </c>
      <c r="W23" s="54">
        <v>-6457826.8422818696</v>
      </c>
      <c r="X23" s="54">
        <v>-6457826.8422818696</v>
      </c>
      <c r="Y23" s="54">
        <v>-6457826.8422818696</v>
      </c>
      <c r="Z23" s="54">
        <v>-6457826.8422818696</v>
      </c>
      <c r="AA23" s="54">
        <v>-6457826.8422818696</v>
      </c>
      <c r="AB23" s="54">
        <v>-6457826.8422818696</v>
      </c>
      <c r="AC23" s="54">
        <v>-6457826.8422818696</v>
      </c>
      <c r="AD23" s="54">
        <v>-6457826.8422818696</v>
      </c>
      <c r="AE23" s="54">
        <v>-6457826.8422818696</v>
      </c>
      <c r="AF23" s="54">
        <v>-6457826.8422818696</v>
      </c>
      <c r="AG23" s="54">
        <v>-6457826.8422818696</v>
      </c>
      <c r="AH23" s="54">
        <v>-6457826.8422818696</v>
      </c>
      <c r="AI23" s="54">
        <v>-6457826.8422818696</v>
      </c>
      <c r="AJ23" s="54">
        <v>-6457826.8422818696</v>
      </c>
      <c r="AK23" s="54">
        <v>-6457826.8422818696</v>
      </c>
      <c r="AL23" s="54">
        <v>-6457826.8422818696</v>
      </c>
      <c r="AM23" s="54">
        <v>-6457826.8422818696</v>
      </c>
      <c r="AN23" s="54">
        <v>-6457826.8422818696</v>
      </c>
      <c r="AO23" s="54">
        <v>-6457826.8422818696</v>
      </c>
      <c r="AP23" s="54">
        <v>-6457826.8422818696</v>
      </c>
    </row>
    <row r="24" spans="1:42" x14ac:dyDescent="0.25">
      <c r="A24" s="62">
        <v>2.7724999999999995</v>
      </c>
      <c r="B24" s="54">
        <v>-6457826.8422818696</v>
      </c>
      <c r="C24" s="54">
        <v>6948573.1577181239</v>
      </c>
      <c r="D24" s="54">
        <v>20354973.157718118</v>
      </c>
      <c r="E24" s="54">
        <v>33761373.157718122</v>
      </c>
      <c r="F24" s="54">
        <v>44486493.157718122</v>
      </c>
      <c r="G24" s="54">
        <v>57222573.157718122</v>
      </c>
      <c r="H24" s="67">
        <v>54675357.157718129</v>
      </c>
      <c r="I24" s="75">
        <v>64864221.157718115</v>
      </c>
      <c r="J24" s="54">
        <v>37515165.157718129</v>
      </c>
      <c r="K24" s="54">
        <v>43011789.157718129</v>
      </c>
      <c r="L24" s="54">
        <v>48508413.157718122</v>
      </c>
      <c r="M24" s="54">
        <v>54005037.157718107</v>
      </c>
      <c r="N24" s="54">
        <v>11238621.157718129</v>
      </c>
      <c r="O24" s="54">
        <v>12713325.157718128</v>
      </c>
      <c r="P24" s="54">
        <v>14188029.157718128</v>
      </c>
      <c r="Q24" s="54">
        <v>15662733.157718128</v>
      </c>
      <c r="R24" s="54">
        <v>17137437.157718129</v>
      </c>
      <c r="S24" s="71">
        <v>18612141.157718129</v>
      </c>
      <c r="T24" s="71">
        <v>20086845.157718129</v>
      </c>
      <c r="U24" s="54">
        <v>21561549.157718126</v>
      </c>
      <c r="V24" s="54">
        <v>23036253.157718126</v>
      </c>
      <c r="W24" s="54">
        <v>-6457826.8422818696</v>
      </c>
      <c r="X24" s="54">
        <v>-6457826.8422818696</v>
      </c>
      <c r="Y24" s="54">
        <v>-6457826.8422818696</v>
      </c>
      <c r="Z24" s="54">
        <v>-6457826.8422818696</v>
      </c>
      <c r="AA24" s="54">
        <v>-6457826.8422818696</v>
      </c>
      <c r="AB24" s="54">
        <v>-6457826.8422818696</v>
      </c>
      <c r="AC24" s="54">
        <v>-6457826.8422818696</v>
      </c>
      <c r="AD24" s="54">
        <v>-6457826.8422818696</v>
      </c>
      <c r="AE24" s="54">
        <v>-6457826.8422818696</v>
      </c>
      <c r="AF24" s="54">
        <v>-6457826.8422818696</v>
      </c>
      <c r="AG24" s="54">
        <v>-6457826.8422818696</v>
      </c>
      <c r="AH24" s="54">
        <v>-6457826.8422818696</v>
      </c>
      <c r="AI24" s="54">
        <v>-6457826.8422818696</v>
      </c>
      <c r="AJ24" s="54">
        <v>-6457826.8422818696</v>
      </c>
      <c r="AK24" s="54">
        <v>-6457826.8422818696</v>
      </c>
      <c r="AL24" s="54">
        <v>-6457826.8422818696</v>
      </c>
      <c r="AM24" s="54">
        <v>-6457826.8422818696</v>
      </c>
      <c r="AN24" s="54">
        <v>-6457826.8422818696</v>
      </c>
      <c r="AO24" s="54">
        <v>-6457826.8422818696</v>
      </c>
      <c r="AP24" s="54">
        <v>-6457826.8422818696</v>
      </c>
    </row>
    <row r="25" spans="1:42" x14ac:dyDescent="0.25">
      <c r="A25" s="62">
        <v>2.8737499999999994</v>
      </c>
      <c r="B25" s="54">
        <v>-6457826.8422818696</v>
      </c>
      <c r="C25" s="54">
        <v>6948573.1577181239</v>
      </c>
      <c r="D25" s="54">
        <v>20354973.157718118</v>
      </c>
      <c r="E25" s="54">
        <v>33761373.157718122</v>
      </c>
      <c r="F25" s="54">
        <v>44486493.157718122</v>
      </c>
      <c r="G25" s="54">
        <v>57222573.157718122</v>
      </c>
      <c r="H25" s="67">
        <v>54675357.157718129</v>
      </c>
      <c r="I25" s="71">
        <v>64864221.157718115</v>
      </c>
      <c r="J25" s="75">
        <v>75053085.157718122</v>
      </c>
      <c r="K25" s="54">
        <v>43011789.157718129</v>
      </c>
      <c r="L25" s="54">
        <v>48508413.157718122</v>
      </c>
      <c r="M25" s="54">
        <v>54005037.157718107</v>
      </c>
      <c r="N25" s="54">
        <v>59501661.157718115</v>
      </c>
      <c r="O25" s="54">
        <v>12713325.157718128</v>
      </c>
      <c r="P25" s="54">
        <v>14188029.157718128</v>
      </c>
      <c r="Q25" s="54">
        <v>15662733.157718128</v>
      </c>
      <c r="R25" s="54">
        <v>17137437.157718129</v>
      </c>
      <c r="S25" s="71">
        <v>18612141.157718129</v>
      </c>
      <c r="T25" s="71">
        <v>20086845.157718129</v>
      </c>
      <c r="U25" s="54">
        <v>21561549.157718126</v>
      </c>
      <c r="V25" s="54">
        <v>23036253.157718126</v>
      </c>
      <c r="W25" s="54">
        <v>24510957.157718129</v>
      </c>
      <c r="X25" s="54">
        <v>-6457826.8422818696</v>
      </c>
      <c r="Y25" s="54">
        <v>-6457826.8422818696</v>
      </c>
      <c r="Z25" s="54">
        <v>-6457826.8422818696</v>
      </c>
      <c r="AA25" s="54">
        <v>-6457826.8422818696</v>
      </c>
      <c r="AB25" s="54">
        <v>-6457826.8422818696</v>
      </c>
      <c r="AC25" s="54">
        <v>-6457826.8422818696</v>
      </c>
      <c r="AD25" s="54">
        <v>-6457826.8422818696</v>
      </c>
      <c r="AE25" s="54">
        <v>-6457826.8422818696</v>
      </c>
      <c r="AF25" s="54">
        <v>-6457826.8422818696</v>
      </c>
      <c r="AG25" s="54">
        <v>-6457826.8422818696</v>
      </c>
      <c r="AH25" s="54">
        <v>-6457826.8422818696</v>
      </c>
      <c r="AI25" s="54">
        <v>-6457826.8422818696</v>
      </c>
      <c r="AJ25" s="54">
        <v>-6457826.8422818696</v>
      </c>
      <c r="AK25" s="54">
        <v>-6457826.8422818696</v>
      </c>
      <c r="AL25" s="54">
        <v>-6457826.8422818696</v>
      </c>
      <c r="AM25" s="54">
        <v>-6457826.8422818696</v>
      </c>
      <c r="AN25" s="54">
        <v>-6457826.8422818696</v>
      </c>
      <c r="AO25" s="54">
        <v>-6457826.8422818696</v>
      </c>
      <c r="AP25" s="54">
        <v>-6457826.8422818696</v>
      </c>
    </row>
    <row r="26" spans="1:42" x14ac:dyDescent="0.25">
      <c r="A26" s="62">
        <v>2.9749999999999992</v>
      </c>
      <c r="B26" s="54">
        <v>-6457826.8422818696</v>
      </c>
      <c r="C26" s="54">
        <v>6948573.1577181239</v>
      </c>
      <c r="D26" s="54">
        <v>20354973.157718118</v>
      </c>
      <c r="E26" s="54">
        <v>33761373.157718122</v>
      </c>
      <c r="F26" s="54">
        <v>47167773.157718122</v>
      </c>
      <c r="G26" s="54">
        <v>57222573.157718122</v>
      </c>
      <c r="H26" s="67">
        <v>54675357.157718129</v>
      </c>
      <c r="I26" s="71">
        <v>64864221.157718115</v>
      </c>
      <c r="J26" s="75">
        <v>75053085.157718122</v>
      </c>
      <c r="K26" s="54">
        <v>43011789.157718129</v>
      </c>
      <c r="L26" s="54">
        <v>48508413.157718122</v>
      </c>
      <c r="M26" s="54">
        <v>54005037.157718107</v>
      </c>
      <c r="N26" s="54">
        <v>59501661.157718115</v>
      </c>
      <c r="O26" s="54">
        <v>64998285.157718122</v>
      </c>
      <c r="P26" s="54">
        <v>14188029.157718128</v>
      </c>
      <c r="Q26" s="54">
        <v>15662733.157718128</v>
      </c>
      <c r="R26" s="54">
        <v>17137437.157718129</v>
      </c>
      <c r="S26" s="71">
        <v>18612141.157718129</v>
      </c>
      <c r="T26" s="71">
        <v>20086845.157718129</v>
      </c>
      <c r="U26" s="54">
        <v>21561549.157718126</v>
      </c>
      <c r="V26" s="54">
        <v>23036253.157718126</v>
      </c>
      <c r="W26" s="54">
        <v>24510957.157718129</v>
      </c>
      <c r="X26" s="54">
        <v>-6457826.8422818696</v>
      </c>
      <c r="Y26" s="54">
        <v>-6457826.8422818696</v>
      </c>
      <c r="Z26" s="54">
        <v>-6457826.8422818696</v>
      </c>
      <c r="AA26" s="54">
        <v>-6457826.8422818696</v>
      </c>
      <c r="AB26" s="54">
        <v>-6457826.8422818696</v>
      </c>
      <c r="AC26" s="54">
        <v>-6457826.8422818696</v>
      </c>
      <c r="AD26" s="54">
        <v>-6457826.8422818696</v>
      </c>
      <c r="AE26" s="54">
        <v>-6457826.8422818696</v>
      </c>
      <c r="AF26" s="54">
        <v>-6457826.8422818696</v>
      </c>
      <c r="AG26" s="54">
        <v>-6457826.8422818696</v>
      </c>
      <c r="AH26" s="54">
        <v>-6457826.8422818696</v>
      </c>
      <c r="AI26" s="54">
        <v>-6457826.8422818696</v>
      </c>
      <c r="AJ26" s="54">
        <v>-6457826.8422818696</v>
      </c>
      <c r="AK26" s="54">
        <v>-6457826.8422818696</v>
      </c>
      <c r="AL26" s="54">
        <v>-6457826.8422818696</v>
      </c>
      <c r="AM26" s="54">
        <v>-6457826.8422818696</v>
      </c>
      <c r="AN26" s="54">
        <v>-6457826.8422818696</v>
      </c>
      <c r="AO26" s="54">
        <v>-6457826.8422818696</v>
      </c>
      <c r="AP26" s="54">
        <v>-6457826.8422818696</v>
      </c>
    </row>
    <row r="27" spans="1:42" x14ac:dyDescent="0.25">
      <c r="A27" s="62">
        <v>3.076249999999999</v>
      </c>
      <c r="B27" s="54">
        <v>-6457826.8422818696</v>
      </c>
      <c r="C27" s="54">
        <v>6948573.1577181239</v>
      </c>
      <c r="D27" s="54">
        <v>20354973.157718118</v>
      </c>
      <c r="E27" s="54">
        <v>33761373.157718122</v>
      </c>
      <c r="F27" s="54">
        <v>47167773.157718122</v>
      </c>
      <c r="G27" s="54">
        <v>57222573.157718122</v>
      </c>
      <c r="H27" s="67">
        <v>69958653.157718137</v>
      </c>
      <c r="I27" s="71">
        <v>64864221.157718115</v>
      </c>
      <c r="J27" s="54">
        <v>75053085.157718122</v>
      </c>
      <c r="K27" s="75">
        <v>85241949.157718122</v>
      </c>
      <c r="L27" s="54">
        <v>48508413.157718122</v>
      </c>
      <c r="M27" s="54">
        <v>54005037.157718107</v>
      </c>
      <c r="N27" s="54">
        <v>59501661.157718115</v>
      </c>
      <c r="O27" s="54">
        <v>64998285.157718122</v>
      </c>
      <c r="P27" s="54">
        <v>14188029.157718128</v>
      </c>
      <c r="Q27" s="54">
        <v>15662733.157718128</v>
      </c>
      <c r="R27" s="54">
        <v>17137437.157718129</v>
      </c>
      <c r="S27" s="71">
        <v>18612141.157718129</v>
      </c>
      <c r="T27" s="71">
        <v>20086845.157718129</v>
      </c>
      <c r="U27" s="54">
        <v>21561549.157718126</v>
      </c>
      <c r="V27" s="54">
        <v>23036253.157718126</v>
      </c>
      <c r="W27" s="54">
        <v>24510957.157718129</v>
      </c>
      <c r="X27" s="54">
        <v>25985661.157718122</v>
      </c>
      <c r="Y27" s="54">
        <v>-6457826.8422818696</v>
      </c>
      <c r="Z27" s="54">
        <v>-6457826.8422818696</v>
      </c>
      <c r="AA27" s="54">
        <v>-6457826.8422818696</v>
      </c>
      <c r="AB27" s="54">
        <v>-6457826.8422818696</v>
      </c>
      <c r="AC27" s="54">
        <v>-6457826.8422818696</v>
      </c>
      <c r="AD27" s="54">
        <v>-6457826.8422818696</v>
      </c>
      <c r="AE27" s="54">
        <v>-6457826.8422818696</v>
      </c>
      <c r="AF27" s="54">
        <v>-6457826.8422818696</v>
      </c>
      <c r="AG27" s="54">
        <v>-6457826.8422818696</v>
      </c>
      <c r="AH27" s="54">
        <v>-6457826.8422818696</v>
      </c>
      <c r="AI27" s="54">
        <v>-6457826.8422818696</v>
      </c>
      <c r="AJ27" s="54">
        <v>-6457826.8422818696</v>
      </c>
      <c r="AK27" s="54">
        <v>-6457826.8422818696</v>
      </c>
      <c r="AL27" s="54">
        <v>-6457826.8422818696</v>
      </c>
      <c r="AM27" s="54">
        <v>-6457826.8422818696</v>
      </c>
      <c r="AN27" s="54">
        <v>-6457826.8422818696</v>
      </c>
      <c r="AO27" s="54">
        <v>-6457826.8422818696</v>
      </c>
      <c r="AP27" s="54">
        <v>-6457826.8422818696</v>
      </c>
    </row>
    <row r="28" spans="1:42" x14ac:dyDescent="0.25">
      <c r="A28" s="62">
        <v>3.1774999999999989</v>
      </c>
      <c r="B28" s="54">
        <v>-6457826.8422818696</v>
      </c>
      <c r="C28" s="54">
        <v>6948573.1577181239</v>
      </c>
      <c r="D28" s="54">
        <v>20354973.157718118</v>
      </c>
      <c r="E28" s="54">
        <v>33761373.157718122</v>
      </c>
      <c r="F28" s="54">
        <v>47167773.157718122</v>
      </c>
      <c r="G28" s="54">
        <v>57222573.157718122</v>
      </c>
      <c r="H28" s="67">
        <v>69958653.157718137</v>
      </c>
      <c r="I28" s="71">
        <v>64864221.157718115</v>
      </c>
      <c r="J28" s="54">
        <v>75053085.157718122</v>
      </c>
      <c r="K28" s="75">
        <v>85241949.157718122</v>
      </c>
      <c r="L28" s="54">
        <v>48508413.157718122</v>
      </c>
      <c r="M28" s="54">
        <v>54005037.157718107</v>
      </c>
      <c r="N28" s="54">
        <v>59501661.157718115</v>
      </c>
      <c r="O28" s="54">
        <v>64998285.157718122</v>
      </c>
      <c r="P28" s="54">
        <v>70494909.157718137</v>
      </c>
      <c r="Q28" s="54">
        <v>15662733.157718128</v>
      </c>
      <c r="R28" s="54">
        <v>17137437.157718129</v>
      </c>
      <c r="S28" s="71">
        <v>18612141.157718129</v>
      </c>
      <c r="T28" s="71">
        <v>20086845.157718129</v>
      </c>
      <c r="U28" s="54">
        <v>21561549.157718126</v>
      </c>
      <c r="V28" s="54">
        <v>23036253.157718126</v>
      </c>
      <c r="W28" s="54">
        <v>24510957.157718129</v>
      </c>
      <c r="X28" s="54">
        <v>25985661.157718122</v>
      </c>
      <c r="Y28" s="54">
        <v>27460365.157718126</v>
      </c>
      <c r="Z28" s="54">
        <v>-6457826.8422818696</v>
      </c>
      <c r="AA28" s="54">
        <v>-6457826.8422818696</v>
      </c>
      <c r="AB28" s="54">
        <v>-6457826.8422818696</v>
      </c>
      <c r="AC28" s="54">
        <v>-6457826.8422818696</v>
      </c>
      <c r="AD28" s="54">
        <v>-6457826.8422818696</v>
      </c>
      <c r="AE28" s="54">
        <v>-6457826.8422818696</v>
      </c>
      <c r="AF28" s="54">
        <v>-6457826.8422818696</v>
      </c>
      <c r="AG28" s="54">
        <v>-6457826.8422818696</v>
      </c>
      <c r="AH28" s="54">
        <v>-6457826.8422818696</v>
      </c>
      <c r="AI28" s="54">
        <v>-6457826.8422818696</v>
      </c>
      <c r="AJ28" s="54">
        <v>-6457826.8422818696</v>
      </c>
      <c r="AK28" s="54">
        <v>-6457826.8422818696</v>
      </c>
      <c r="AL28" s="54">
        <v>-6457826.8422818696</v>
      </c>
      <c r="AM28" s="54">
        <v>-6457826.8422818696</v>
      </c>
      <c r="AN28" s="54">
        <v>-6457826.8422818696</v>
      </c>
      <c r="AO28" s="54">
        <v>-6457826.8422818696</v>
      </c>
      <c r="AP28" s="54">
        <v>-6457826.8422818696</v>
      </c>
    </row>
    <row r="29" spans="1:42" x14ac:dyDescent="0.25">
      <c r="A29" s="62">
        <v>3.2787499999999987</v>
      </c>
      <c r="B29" s="54">
        <v>-6457826.8422818696</v>
      </c>
      <c r="C29" s="54">
        <v>6948573.1577181239</v>
      </c>
      <c r="D29" s="54">
        <v>20354973.157718118</v>
      </c>
      <c r="E29" s="54">
        <v>33761373.157718122</v>
      </c>
      <c r="F29" s="54">
        <v>47167773.157718122</v>
      </c>
      <c r="G29" s="54">
        <v>60574173.157718122</v>
      </c>
      <c r="H29" s="67">
        <v>69958653.157718137</v>
      </c>
      <c r="I29" s="71">
        <v>82694733.157718122</v>
      </c>
      <c r="J29" s="54">
        <v>75053085.157718122</v>
      </c>
      <c r="K29" s="75">
        <v>85241949.157718122</v>
      </c>
      <c r="L29" s="54">
        <v>48508413.157718122</v>
      </c>
      <c r="M29" s="54">
        <v>54005037.157718107</v>
      </c>
      <c r="N29" s="54">
        <v>59501661.157718115</v>
      </c>
      <c r="O29" s="54">
        <v>64998285.157718122</v>
      </c>
      <c r="P29" s="54">
        <v>70494909.157718137</v>
      </c>
      <c r="Q29" s="54">
        <v>15662733.157718128</v>
      </c>
      <c r="R29" s="54">
        <v>17137437.157718129</v>
      </c>
      <c r="S29" s="71">
        <v>18612141.157718129</v>
      </c>
      <c r="T29" s="71">
        <v>20086845.157718129</v>
      </c>
      <c r="U29" s="54">
        <v>21561549.157718126</v>
      </c>
      <c r="V29" s="54">
        <v>23036253.157718126</v>
      </c>
      <c r="W29" s="54">
        <v>24510957.157718129</v>
      </c>
      <c r="X29" s="54">
        <v>25985661.157718122</v>
      </c>
      <c r="Y29" s="54">
        <v>27460365.157718126</v>
      </c>
      <c r="Z29" s="54">
        <v>28935069.157718122</v>
      </c>
      <c r="AA29" s="54">
        <v>-6457826.8422818696</v>
      </c>
      <c r="AB29" s="54">
        <v>-6457826.8422818696</v>
      </c>
      <c r="AC29" s="54">
        <v>-6457826.8422818696</v>
      </c>
      <c r="AD29" s="54">
        <v>-6457826.8422818696</v>
      </c>
      <c r="AE29" s="54">
        <v>-6457826.8422818696</v>
      </c>
      <c r="AF29" s="54">
        <v>-6457826.8422818696</v>
      </c>
      <c r="AG29" s="54">
        <v>-6457826.8422818696</v>
      </c>
      <c r="AH29" s="54">
        <v>-6457826.8422818696</v>
      </c>
      <c r="AI29" s="54">
        <v>-6457826.8422818696</v>
      </c>
      <c r="AJ29" s="54">
        <v>-6457826.8422818696</v>
      </c>
      <c r="AK29" s="54">
        <v>-6457826.8422818696</v>
      </c>
      <c r="AL29" s="54">
        <v>-6457826.8422818696</v>
      </c>
      <c r="AM29" s="54">
        <v>-6457826.8422818696</v>
      </c>
      <c r="AN29" s="54">
        <v>-6457826.8422818696</v>
      </c>
      <c r="AO29" s="54">
        <v>-6457826.8422818696</v>
      </c>
      <c r="AP29" s="54">
        <v>-6457826.8422818696</v>
      </c>
    </row>
    <row r="30" spans="1:42" x14ac:dyDescent="0.25">
      <c r="A30" s="62">
        <v>3.3799999999999986</v>
      </c>
      <c r="B30" s="54">
        <v>-6457826.8422818696</v>
      </c>
      <c r="C30" s="54">
        <v>6948573.1577181239</v>
      </c>
      <c r="D30" s="54">
        <v>20354973.157718118</v>
      </c>
      <c r="E30" s="54">
        <v>33761373.157718122</v>
      </c>
      <c r="F30" s="54">
        <v>47167773.157718122</v>
      </c>
      <c r="G30" s="54">
        <v>60574173.157718122</v>
      </c>
      <c r="H30" s="67">
        <v>69958653.157718137</v>
      </c>
      <c r="I30" s="71">
        <v>82694733.157718122</v>
      </c>
      <c r="J30" s="54">
        <v>75053085.157718122</v>
      </c>
      <c r="K30" s="54">
        <v>85241949.157718122</v>
      </c>
      <c r="L30" s="75">
        <v>95430813.157718122</v>
      </c>
      <c r="M30" s="54">
        <v>54005037.157718107</v>
      </c>
      <c r="N30" s="54">
        <v>59501661.157718115</v>
      </c>
      <c r="O30" s="54">
        <v>64998285.157718122</v>
      </c>
      <c r="P30" s="54">
        <v>70494909.157718137</v>
      </c>
      <c r="Q30" s="54">
        <v>75991533.157718122</v>
      </c>
      <c r="R30" s="54">
        <v>17137437.157718129</v>
      </c>
      <c r="S30" s="71">
        <v>18612141.157718129</v>
      </c>
      <c r="T30" s="71">
        <v>20086845.157718129</v>
      </c>
      <c r="U30" s="54">
        <v>21561549.157718126</v>
      </c>
      <c r="V30" s="54">
        <v>23036253.157718126</v>
      </c>
      <c r="W30" s="54">
        <v>24510957.157718129</v>
      </c>
      <c r="X30" s="54">
        <v>25985661.157718122</v>
      </c>
      <c r="Y30" s="54">
        <v>27460365.157718126</v>
      </c>
      <c r="Z30" s="54">
        <v>28935069.157718122</v>
      </c>
      <c r="AA30" s="54">
        <v>30409773.157718122</v>
      </c>
      <c r="AB30" s="54">
        <v>-6457826.8422818696</v>
      </c>
      <c r="AC30" s="54">
        <v>-6457826.8422818696</v>
      </c>
      <c r="AD30" s="54">
        <v>-6457826.8422818696</v>
      </c>
      <c r="AE30" s="54">
        <v>-6457826.8422818696</v>
      </c>
      <c r="AF30" s="54">
        <v>-6457826.8422818696</v>
      </c>
      <c r="AG30" s="54">
        <v>-6457826.8422818696</v>
      </c>
      <c r="AH30" s="54">
        <v>-6457826.8422818696</v>
      </c>
      <c r="AI30" s="54">
        <v>-6457826.8422818696</v>
      </c>
      <c r="AJ30" s="54">
        <v>-6457826.8422818696</v>
      </c>
      <c r="AK30" s="54">
        <v>-6457826.8422818696</v>
      </c>
      <c r="AL30" s="54">
        <v>-6457826.8422818696</v>
      </c>
      <c r="AM30" s="54">
        <v>-6457826.8422818696</v>
      </c>
      <c r="AN30" s="54">
        <v>-6457826.8422818696</v>
      </c>
      <c r="AO30" s="54">
        <v>-6457826.8422818696</v>
      </c>
      <c r="AP30" s="54">
        <v>-6457826.8422818696</v>
      </c>
    </row>
    <row r="31" spans="1:42" x14ac:dyDescent="0.25">
      <c r="A31" s="62">
        <v>3.4812499999999984</v>
      </c>
      <c r="B31" s="54">
        <v>-6457826.8422818696</v>
      </c>
      <c r="C31" s="54">
        <v>6948573.1577181239</v>
      </c>
      <c r="D31" s="54">
        <v>20354973.157718118</v>
      </c>
      <c r="E31" s="54">
        <v>33761373.157718122</v>
      </c>
      <c r="F31" s="54">
        <v>47167773.157718122</v>
      </c>
      <c r="G31" s="54">
        <v>60574173.157718122</v>
      </c>
      <c r="H31" s="67">
        <v>69958653.157718137</v>
      </c>
      <c r="I31" s="71">
        <v>82694733.157718122</v>
      </c>
      <c r="J31" s="54">
        <v>75053085.157718122</v>
      </c>
      <c r="K31" s="54">
        <v>85241949.157718122</v>
      </c>
      <c r="L31" s="75">
        <v>95430813.157718122</v>
      </c>
      <c r="M31" s="54">
        <v>54005037.157718107</v>
      </c>
      <c r="N31" s="54">
        <v>59501661.157718115</v>
      </c>
      <c r="O31" s="54">
        <v>64998285.157718122</v>
      </c>
      <c r="P31" s="54">
        <v>70494909.157718137</v>
      </c>
      <c r="Q31" s="54">
        <v>75991533.157718122</v>
      </c>
      <c r="R31" s="54">
        <v>81488157.157718137</v>
      </c>
      <c r="S31" s="71">
        <v>18612141.157718129</v>
      </c>
      <c r="T31" s="71">
        <v>20086845.157718129</v>
      </c>
      <c r="U31" s="54">
        <v>21561549.157718126</v>
      </c>
      <c r="V31" s="54">
        <v>23036253.157718126</v>
      </c>
      <c r="W31" s="54">
        <v>24510957.157718129</v>
      </c>
      <c r="X31" s="54">
        <v>25985661.157718122</v>
      </c>
      <c r="Y31" s="54">
        <v>27460365.157718126</v>
      </c>
      <c r="Z31" s="54">
        <v>28935069.157718122</v>
      </c>
      <c r="AA31" s="54">
        <v>30409773.157718122</v>
      </c>
      <c r="AB31" s="54">
        <v>31884477.157718129</v>
      </c>
      <c r="AC31" s="54">
        <v>-6457826.8422818696</v>
      </c>
      <c r="AD31" s="54">
        <v>-6457826.8422818696</v>
      </c>
      <c r="AE31" s="54">
        <v>-6457826.8422818696</v>
      </c>
      <c r="AF31" s="54">
        <v>-6457826.8422818696</v>
      </c>
      <c r="AG31" s="54">
        <v>-6457826.8422818696</v>
      </c>
      <c r="AH31" s="54">
        <v>-6457826.8422818696</v>
      </c>
      <c r="AI31" s="54">
        <v>-6457826.8422818696</v>
      </c>
      <c r="AJ31" s="54">
        <v>-6457826.8422818696</v>
      </c>
      <c r="AK31" s="54">
        <v>-6457826.8422818696</v>
      </c>
      <c r="AL31" s="54">
        <v>-6457826.8422818696</v>
      </c>
      <c r="AM31" s="54">
        <v>-6457826.8422818696</v>
      </c>
      <c r="AN31" s="54">
        <v>-6457826.8422818696</v>
      </c>
      <c r="AO31" s="54">
        <v>-6457826.8422818696</v>
      </c>
      <c r="AP31" s="54">
        <v>-6457826.8422818696</v>
      </c>
    </row>
    <row r="32" spans="1:42" x14ac:dyDescent="0.25">
      <c r="A32" s="62">
        <v>3.5824999999999982</v>
      </c>
      <c r="B32" s="54">
        <v>-6457826.8422818696</v>
      </c>
      <c r="C32" s="54">
        <v>6948573.1577181239</v>
      </c>
      <c r="D32" s="54">
        <v>20354973.157718118</v>
      </c>
      <c r="E32" s="54">
        <v>33761373.157718122</v>
      </c>
      <c r="F32" s="54">
        <v>47167773.157718122</v>
      </c>
      <c r="G32" s="54">
        <v>60574173.157718122</v>
      </c>
      <c r="H32" s="67">
        <v>73980573.157718137</v>
      </c>
      <c r="I32" s="71">
        <v>82694733.157718122</v>
      </c>
      <c r="J32" s="54">
        <v>95430813.157718122</v>
      </c>
      <c r="K32" s="54">
        <v>85241949.157718122</v>
      </c>
      <c r="L32" s="54">
        <v>95430813.157718122</v>
      </c>
      <c r="M32" s="75">
        <v>105619677.15771811</v>
      </c>
      <c r="N32" s="54">
        <v>59501661.157718115</v>
      </c>
      <c r="O32" s="54">
        <v>64998285.157718122</v>
      </c>
      <c r="P32" s="54">
        <v>70494909.157718137</v>
      </c>
      <c r="Q32" s="54">
        <v>75991533.157718122</v>
      </c>
      <c r="R32" s="54">
        <v>81488157.157718137</v>
      </c>
      <c r="S32" s="71">
        <v>18612141.157718129</v>
      </c>
      <c r="T32" s="71">
        <v>20086845.157718129</v>
      </c>
      <c r="U32" s="54">
        <v>21561549.157718126</v>
      </c>
      <c r="V32" s="54">
        <v>23036253.157718126</v>
      </c>
      <c r="W32" s="54">
        <v>24510957.157718129</v>
      </c>
      <c r="X32" s="54">
        <v>25985661.157718122</v>
      </c>
      <c r="Y32" s="54">
        <v>27460365.157718126</v>
      </c>
      <c r="Z32" s="54">
        <v>28935069.157718122</v>
      </c>
      <c r="AA32" s="54">
        <v>30409773.157718122</v>
      </c>
      <c r="AB32" s="54">
        <v>31884477.157718129</v>
      </c>
      <c r="AC32" s="54">
        <v>33359181.157718122</v>
      </c>
      <c r="AD32" s="54">
        <v>-6457826.8422818696</v>
      </c>
      <c r="AE32" s="54">
        <v>-6457826.8422818696</v>
      </c>
      <c r="AF32" s="54">
        <v>-6457826.8422818696</v>
      </c>
      <c r="AG32" s="54">
        <v>-6457826.8422818696</v>
      </c>
      <c r="AH32" s="54">
        <v>-6457826.8422818696</v>
      </c>
      <c r="AI32" s="54">
        <v>-6457826.8422818696</v>
      </c>
      <c r="AJ32" s="54">
        <v>-6457826.8422818696</v>
      </c>
      <c r="AK32" s="54">
        <v>-6457826.8422818696</v>
      </c>
      <c r="AL32" s="54">
        <v>-6457826.8422818696</v>
      </c>
      <c r="AM32" s="54">
        <v>-6457826.8422818696</v>
      </c>
      <c r="AN32" s="54">
        <v>-6457826.8422818696</v>
      </c>
      <c r="AO32" s="54">
        <v>-6457826.8422818696</v>
      </c>
      <c r="AP32" s="54">
        <v>-6457826.8422818696</v>
      </c>
    </row>
    <row r="33" spans="1:42" x14ac:dyDescent="0.25">
      <c r="A33" s="62">
        <v>3.6837499999999981</v>
      </c>
      <c r="B33" s="54">
        <v>-6457826.8422818696</v>
      </c>
      <c r="C33" s="54">
        <v>6948573.1577181239</v>
      </c>
      <c r="D33" s="54">
        <v>20354973.157718118</v>
      </c>
      <c r="E33" s="54">
        <v>33761373.157718122</v>
      </c>
      <c r="F33" s="54">
        <v>47167773.157718122</v>
      </c>
      <c r="G33" s="54">
        <v>60574173.157718122</v>
      </c>
      <c r="H33" s="67">
        <v>73980573.157718137</v>
      </c>
      <c r="I33" s="71">
        <v>82694733.157718122</v>
      </c>
      <c r="J33" s="54">
        <v>95430813.157718122</v>
      </c>
      <c r="K33" s="54">
        <v>85241949.157718107</v>
      </c>
      <c r="L33" s="54">
        <v>95430813.157718122</v>
      </c>
      <c r="M33" s="75">
        <v>105619677.15771811</v>
      </c>
      <c r="N33" s="54">
        <v>59501661.157718115</v>
      </c>
      <c r="O33" s="54">
        <v>64998285.157718122</v>
      </c>
      <c r="P33" s="54">
        <v>70494909.157718137</v>
      </c>
      <c r="Q33" s="54">
        <v>75991533.157718122</v>
      </c>
      <c r="R33" s="54">
        <v>81488157.157718137</v>
      </c>
      <c r="S33" s="71">
        <v>86984781.157718122</v>
      </c>
      <c r="T33" s="71">
        <v>20086845.157718129</v>
      </c>
      <c r="U33" s="54">
        <v>21561549.157718126</v>
      </c>
      <c r="V33" s="54">
        <v>23036253.157718126</v>
      </c>
      <c r="W33" s="54">
        <v>24510957.157718129</v>
      </c>
      <c r="X33" s="54">
        <v>25985661.157718122</v>
      </c>
      <c r="Y33" s="54">
        <v>27460365.157718126</v>
      </c>
      <c r="Z33" s="54">
        <v>28935069.157718122</v>
      </c>
      <c r="AA33" s="54">
        <v>30409773.157718122</v>
      </c>
      <c r="AB33" s="54">
        <v>31884477.157718129</v>
      </c>
      <c r="AC33" s="54">
        <v>33359181.157718122</v>
      </c>
      <c r="AD33" s="54">
        <v>34833885.157718122</v>
      </c>
      <c r="AE33" s="54">
        <v>-6457826.8422818696</v>
      </c>
      <c r="AF33" s="54">
        <v>-6457826.8422818696</v>
      </c>
      <c r="AG33" s="54">
        <v>-6457826.8422818696</v>
      </c>
      <c r="AH33" s="54">
        <v>-6457826.8422818696</v>
      </c>
      <c r="AI33" s="54">
        <v>-6457826.8422818696</v>
      </c>
      <c r="AJ33" s="54">
        <v>-6457826.8422818696</v>
      </c>
      <c r="AK33" s="54">
        <v>-6457826.8422818696</v>
      </c>
      <c r="AL33" s="54">
        <v>-6457826.8422818696</v>
      </c>
      <c r="AM33" s="54">
        <v>-6457826.8422818696</v>
      </c>
      <c r="AN33" s="54">
        <v>-6457826.8422818696</v>
      </c>
      <c r="AO33" s="54">
        <v>-6457826.8422818696</v>
      </c>
      <c r="AP33" s="54">
        <v>-6457826.8422818696</v>
      </c>
    </row>
    <row r="34" spans="1:42" x14ac:dyDescent="0.25">
      <c r="A34" s="62">
        <v>3.7849999999999979</v>
      </c>
      <c r="B34" s="54">
        <v>-6457826.8422818696</v>
      </c>
      <c r="C34" s="54">
        <v>6948573.1577181239</v>
      </c>
      <c r="D34" s="54">
        <v>20354973.157718118</v>
      </c>
      <c r="E34" s="54">
        <v>33761373.157718122</v>
      </c>
      <c r="F34" s="54">
        <v>47167773.157718122</v>
      </c>
      <c r="G34" s="54">
        <v>60574173.157718122</v>
      </c>
      <c r="H34" s="67">
        <v>73980573.157718137</v>
      </c>
      <c r="I34" s="71">
        <v>82694733.157718122</v>
      </c>
      <c r="J34" s="54">
        <v>95430813.157718122</v>
      </c>
      <c r="K34" s="54">
        <v>85241949.157718122</v>
      </c>
      <c r="L34" s="54">
        <v>95430813.157718122</v>
      </c>
      <c r="M34" s="54">
        <v>105619677.15771811</v>
      </c>
      <c r="N34" s="75">
        <v>115808541.15771811</v>
      </c>
      <c r="O34" s="54">
        <v>64998285.157718122</v>
      </c>
      <c r="P34" s="54">
        <v>70494909.157718137</v>
      </c>
      <c r="Q34" s="54">
        <v>75991533.157718122</v>
      </c>
      <c r="R34" s="54">
        <v>81488157.157718137</v>
      </c>
      <c r="S34" s="71">
        <v>86984781.157718122</v>
      </c>
      <c r="T34" s="71">
        <v>20086845.157718129</v>
      </c>
      <c r="U34" s="54">
        <v>21561549.157718126</v>
      </c>
      <c r="V34" s="54">
        <v>23036253.157718126</v>
      </c>
      <c r="W34" s="54">
        <v>24510957.157718129</v>
      </c>
      <c r="X34" s="54">
        <v>25985661.157718122</v>
      </c>
      <c r="Y34" s="54">
        <v>27460365.157718126</v>
      </c>
      <c r="Z34" s="54">
        <v>28935069.157718122</v>
      </c>
      <c r="AA34" s="54">
        <v>30409773.157718122</v>
      </c>
      <c r="AB34" s="54">
        <v>31884477.157718129</v>
      </c>
      <c r="AC34" s="54">
        <v>33359181.157718122</v>
      </c>
      <c r="AD34" s="54">
        <v>34833885.157718122</v>
      </c>
      <c r="AE34" s="54">
        <v>36308589.157718122</v>
      </c>
      <c r="AF34" s="54">
        <v>-6457826.8422818696</v>
      </c>
      <c r="AG34" s="54">
        <v>-6457826.8422818696</v>
      </c>
      <c r="AH34" s="54">
        <v>-6457826.8422818696</v>
      </c>
      <c r="AI34" s="54">
        <v>-6457826.8422818696</v>
      </c>
      <c r="AJ34" s="54">
        <v>-6457826.8422818696</v>
      </c>
      <c r="AK34" s="54">
        <v>-6457826.8422818696</v>
      </c>
      <c r="AL34" s="54">
        <v>-6457826.8422818696</v>
      </c>
      <c r="AM34" s="54">
        <v>-6457826.8422818696</v>
      </c>
      <c r="AN34" s="54">
        <v>-6457826.8422818696</v>
      </c>
      <c r="AO34" s="54">
        <v>-6457826.8422818696</v>
      </c>
      <c r="AP34" s="54">
        <v>-6457826.8422818696</v>
      </c>
    </row>
    <row r="35" spans="1:42" x14ac:dyDescent="0.25">
      <c r="A35" s="62">
        <v>3.8862499999999978</v>
      </c>
      <c r="B35" s="54">
        <v>-6457826.8422818696</v>
      </c>
      <c r="C35" s="54">
        <v>6948573.1577181239</v>
      </c>
      <c r="D35" s="54">
        <v>20354973.157718118</v>
      </c>
      <c r="E35" s="54">
        <v>33761373.157718122</v>
      </c>
      <c r="F35" s="54">
        <v>47167773.157718122</v>
      </c>
      <c r="G35" s="54">
        <v>60574173.157718122</v>
      </c>
      <c r="H35" s="67">
        <v>73980573.157718137</v>
      </c>
      <c r="I35" s="71">
        <v>82694733.157718122</v>
      </c>
      <c r="J35" s="54">
        <v>95430813.157718122</v>
      </c>
      <c r="K35" s="54">
        <v>108166893.15771812</v>
      </c>
      <c r="L35" s="54">
        <v>95430813.157718122</v>
      </c>
      <c r="M35" s="54">
        <v>105619677.15771811</v>
      </c>
      <c r="N35" s="75">
        <v>115808541.15771811</v>
      </c>
      <c r="O35" s="54">
        <v>64998285.157718122</v>
      </c>
      <c r="P35" s="54">
        <v>70494909.157718137</v>
      </c>
      <c r="Q35" s="54">
        <v>75991533.157718122</v>
      </c>
      <c r="R35" s="54">
        <v>81488157.157718137</v>
      </c>
      <c r="S35" s="71">
        <v>86984781.157718122</v>
      </c>
      <c r="T35" s="71">
        <v>92481405.157718137</v>
      </c>
      <c r="U35" s="54">
        <v>21561549.157718126</v>
      </c>
      <c r="V35" s="54">
        <v>23036253.157718126</v>
      </c>
      <c r="W35" s="54">
        <v>24510957.157718129</v>
      </c>
      <c r="X35" s="54">
        <v>25985661.157718122</v>
      </c>
      <c r="Y35" s="54">
        <v>27460365.157718126</v>
      </c>
      <c r="Z35" s="54">
        <v>28935069.157718122</v>
      </c>
      <c r="AA35" s="54">
        <v>30409773.157718122</v>
      </c>
      <c r="AB35" s="54">
        <v>31884477.157718129</v>
      </c>
      <c r="AC35" s="54">
        <v>33359181.157718122</v>
      </c>
      <c r="AD35" s="54">
        <v>34833885.157718122</v>
      </c>
      <c r="AE35" s="54">
        <v>36308589.157718122</v>
      </c>
      <c r="AF35" s="54">
        <v>37783293.157718129</v>
      </c>
      <c r="AG35" s="54">
        <v>-6457826.8422818696</v>
      </c>
      <c r="AH35" s="54">
        <v>-6457826.8422818696</v>
      </c>
      <c r="AI35" s="54">
        <v>-6457826.8422818696</v>
      </c>
      <c r="AJ35" s="54">
        <v>-6457826.8422818696</v>
      </c>
      <c r="AK35" s="54">
        <v>-6457826.8422818696</v>
      </c>
      <c r="AL35" s="54">
        <v>-6457826.8422818696</v>
      </c>
      <c r="AM35" s="54">
        <v>-6457826.8422818696</v>
      </c>
      <c r="AN35" s="54">
        <v>-6457826.8422818696</v>
      </c>
      <c r="AO35" s="54">
        <v>-6457826.8422818696</v>
      </c>
      <c r="AP35" s="54">
        <v>-6457826.8422818696</v>
      </c>
    </row>
    <row r="36" spans="1:42" x14ac:dyDescent="0.25">
      <c r="A36" s="62">
        <v>3.9874999999999976</v>
      </c>
      <c r="B36" s="54">
        <v>-6457826.8422818696</v>
      </c>
      <c r="C36" s="54">
        <v>6948573.1577181239</v>
      </c>
      <c r="D36" s="54">
        <v>20354973.157718118</v>
      </c>
      <c r="E36" s="54">
        <v>33761373.157718122</v>
      </c>
      <c r="F36" s="54">
        <v>47167773.157718122</v>
      </c>
      <c r="G36" s="54">
        <v>60574173.157718122</v>
      </c>
      <c r="H36" s="67">
        <v>73980573.157718137</v>
      </c>
      <c r="I36" s="71">
        <v>87386973.157718122</v>
      </c>
      <c r="J36" s="54">
        <v>95430813.157718122</v>
      </c>
      <c r="K36" s="54">
        <v>108166893.15771812</v>
      </c>
      <c r="L36" s="54">
        <v>95430813.157718122</v>
      </c>
      <c r="M36" s="54">
        <v>105619677.15771811</v>
      </c>
      <c r="N36" s="54">
        <v>115808541.15771811</v>
      </c>
      <c r="O36" s="75">
        <v>125997405.15771812</v>
      </c>
      <c r="P36" s="54">
        <v>70494909.157718137</v>
      </c>
      <c r="Q36" s="54">
        <v>75991533.157718122</v>
      </c>
      <c r="R36" s="54">
        <v>81488157.157718137</v>
      </c>
      <c r="S36" s="71">
        <v>86984781.157718122</v>
      </c>
      <c r="T36" s="71">
        <v>92481405.157718137</v>
      </c>
      <c r="U36" s="54">
        <v>97978029.157718137</v>
      </c>
      <c r="V36" s="54">
        <v>23036253.157718126</v>
      </c>
      <c r="W36" s="54">
        <v>24510957.157718129</v>
      </c>
      <c r="X36" s="54">
        <v>25985661.157718122</v>
      </c>
      <c r="Y36" s="54">
        <v>27460365.157718126</v>
      </c>
      <c r="Z36" s="54">
        <v>28935069.157718122</v>
      </c>
      <c r="AA36" s="54">
        <v>30409773.157718122</v>
      </c>
      <c r="AB36" s="54">
        <v>31884477.157718129</v>
      </c>
      <c r="AC36" s="54">
        <v>33359181.157718122</v>
      </c>
      <c r="AD36" s="54">
        <v>34833885.157718122</v>
      </c>
      <c r="AE36" s="54">
        <v>36308589.157718122</v>
      </c>
      <c r="AF36" s="54">
        <v>37783293.157718129</v>
      </c>
      <c r="AG36" s="54">
        <v>-6457826.8422818696</v>
      </c>
      <c r="AH36" s="54">
        <v>-6457826.8422818696</v>
      </c>
      <c r="AI36" s="54">
        <v>-6457826.8422818696</v>
      </c>
      <c r="AJ36" s="54">
        <v>-6457826.8422818696</v>
      </c>
      <c r="AK36" s="54">
        <v>-6457826.8422818696</v>
      </c>
      <c r="AL36" s="54">
        <v>-6457826.8422818696</v>
      </c>
      <c r="AM36" s="54">
        <v>-6457826.8422818696</v>
      </c>
      <c r="AN36" s="54">
        <v>-6457826.8422818696</v>
      </c>
      <c r="AO36" s="54">
        <v>-6457826.8422818696</v>
      </c>
      <c r="AP36" s="54">
        <v>-6457826.8422818696</v>
      </c>
    </row>
    <row r="37" spans="1:42" x14ac:dyDescent="0.25">
      <c r="A37" s="62">
        <v>4.0887499999999974</v>
      </c>
      <c r="B37" s="54">
        <v>-6457826.8422818696</v>
      </c>
      <c r="C37" s="54">
        <v>6948573.1577181239</v>
      </c>
      <c r="D37" s="54">
        <v>20354973.157718118</v>
      </c>
      <c r="E37" s="54">
        <v>33761373.157718122</v>
      </c>
      <c r="F37" s="54">
        <v>47167773.157718122</v>
      </c>
      <c r="G37" s="54">
        <v>60574173.157718122</v>
      </c>
      <c r="H37" s="67">
        <v>73980573.157718137</v>
      </c>
      <c r="I37" s="71">
        <v>87386973.157718122</v>
      </c>
      <c r="J37" s="54">
        <v>95430813.157718122</v>
      </c>
      <c r="K37" s="54">
        <v>108166893.15771812</v>
      </c>
      <c r="L37" s="54">
        <v>95430813.157718122</v>
      </c>
      <c r="M37" s="54">
        <v>105619677.15771811</v>
      </c>
      <c r="N37" s="54">
        <v>115808541.15771811</v>
      </c>
      <c r="O37" s="75">
        <v>125997405.15771812</v>
      </c>
      <c r="P37" s="54">
        <v>70494909.157718137</v>
      </c>
      <c r="Q37" s="54">
        <v>75991533.157718122</v>
      </c>
      <c r="R37" s="54">
        <v>81488157.157718137</v>
      </c>
      <c r="S37" s="71">
        <v>86984781.157718122</v>
      </c>
      <c r="T37" s="71">
        <v>92481405.157718137</v>
      </c>
      <c r="U37" s="54">
        <v>97978029.157718137</v>
      </c>
      <c r="V37" s="54">
        <v>23036253.157718126</v>
      </c>
      <c r="W37" s="54">
        <v>24510957.157718129</v>
      </c>
      <c r="X37" s="54">
        <v>25985661.157718122</v>
      </c>
      <c r="Y37" s="54">
        <v>27460365.157718126</v>
      </c>
      <c r="Z37" s="54">
        <v>28935069.157718122</v>
      </c>
      <c r="AA37" s="54">
        <v>30409773.157718122</v>
      </c>
      <c r="AB37" s="54">
        <v>31884477.157718129</v>
      </c>
      <c r="AC37" s="54">
        <v>33359181.157718122</v>
      </c>
      <c r="AD37" s="54">
        <v>34833885.157718122</v>
      </c>
      <c r="AE37" s="54">
        <v>36308589.157718122</v>
      </c>
      <c r="AF37" s="54">
        <v>37783293.157718129</v>
      </c>
      <c r="AG37" s="54">
        <v>39257997.157718129</v>
      </c>
      <c r="AH37" s="54">
        <v>-6457826.8422818696</v>
      </c>
      <c r="AI37" s="54">
        <v>-6457826.8422818696</v>
      </c>
      <c r="AJ37" s="54">
        <v>-6457826.8422818696</v>
      </c>
      <c r="AK37" s="54">
        <v>-6457826.8422818696</v>
      </c>
      <c r="AL37" s="54">
        <v>-6457826.8422818696</v>
      </c>
      <c r="AM37" s="54">
        <v>-6457826.8422818696</v>
      </c>
      <c r="AN37" s="54">
        <v>-6457826.8422818696</v>
      </c>
      <c r="AO37" s="54">
        <v>-6457826.8422818696</v>
      </c>
      <c r="AP37" s="54">
        <v>-6457826.8422818696</v>
      </c>
    </row>
    <row r="38" spans="1:42" x14ac:dyDescent="0.25">
      <c r="A38" s="62">
        <v>4.1899999999999977</v>
      </c>
      <c r="B38" s="54">
        <v>-6457826.8422818696</v>
      </c>
      <c r="C38" s="54">
        <v>6948573.1577181239</v>
      </c>
      <c r="D38" s="54">
        <v>20354973.157718118</v>
      </c>
      <c r="E38" s="54">
        <v>33761373.157718122</v>
      </c>
      <c r="F38" s="54">
        <v>47167773.157718122</v>
      </c>
      <c r="G38" s="54">
        <v>60574173.157718122</v>
      </c>
      <c r="H38" s="67">
        <v>73980573.157718137</v>
      </c>
      <c r="I38" s="71">
        <v>87386973.157718122</v>
      </c>
      <c r="J38" s="54">
        <v>95430813.157718122</v>
      </c>
      <c r="K38" s="54">
        <v>108166893.15771812</v>
      </c>
      <c r="L38" s="54">
        <v>120902973.15771812</v>
      </c>
      <c r="M38" s="54">
        <v>105619677.15771811</v>
      </c>
      <c r="N38" s="54">
        <v>115808541.15771811</v>
      </c>
      <c r="O38" s="54">
        <v>125997405.15771812</v>
      </c>
      <c r="P38" s="54">
        <v>136186269.15771812</v>
      </c>
      <c r="Q38" s="54">
        <v>75991533.157718122</v>
      </c>
      <c r="R38" s="54">
        <v>81488157.157718137</v>
      </c>
      <c r="S38" s="71">
        <v>86984781.157718122</v>
      </c>
      <c r="T38" s="71">
        <v>92481405.157718137</v>
      </c>
      <c r="U38" s="54">
        <v>97978029.157718137</v>
      </c>
      <c r="V38" s="54">
        <v>103474653.15771812</v>
      </c>
      <c r="W38" s="54">
        <v>24510957.157718129</v>
      </c>
      <c r="X38" s="54">
        <v>25985661.157718122</v>
      </c>
      <c r="Y38" s="54">
        <v>27460365.157718126</v>
      </c>
      <c r="Z38" s="54">
        <v>28935069.157718122</v>
      </c>
      <c r="AA38" s="54">
        <v>30409773.157718122</v>
      </c>
      <c r="AB38" s="54">
        <v>31884477.157718129</v>
      </c>
      <c r="AC38" s="54">
        <v>33359181.157718122</v>
      </c>
      <c r="AD38" s="54">
        <v>34833885.157718122</v>
      </c>
      <c r="AE38" s="54">
        <v>36308589.157718122</v>
      </c>
      <c r="AF38" s="54">
        <v>37783293.157718129</v>
      </c>
      <c r="AG38" s="54">
        <v>39257997.157718129</v>
      </c>
      <c r="AH38" s="54">
        <v>40732701.157718129</v>
      </c>
      <c r="AI38" s="54">
        <v>-6457826.8422818696</v>
      </c>
      <c r="AJ38" s="54">
        <v>-6457826.8422818696</v>
      </c>
      <c r="AK38" s="54">
        <v>-6457826.8422818696</v>
      </c>
      <c r="AL38" s="54">
        <v>-6457826.8422818696</v>
      </c>
      <c r="AM38" s="54">
        <v>-6457826.8422818696</v>
      </c>
      <c r="AN38" s="54">
        <v>-6457826.8422818696</v>
      </c>
      <c r="AO38" s="54">
        <v>-6457826.8422818696</v>
      </c>
      <c r="AP38" s="54">
        <v>-6457826.8422818696</v>
      </c>
    </row>
    <row r="39" spans="1:42" x14ac:dyDescent="0.25">
      <c r="A39" s="62">
        <v>4.291249999999998</v>
      </c>
      <c r="B39" s="54">
        <v>-6457826.8422818696</v>
      </c>
      <c r="C39" s="54">
        <v>6948573.1577181239</v>
      </c>
      <c r="D39" s="54">
        <v>20354973.157718118</v>
      </c>
      <c r="E39" s="54">
        <v>33761373.157718122</v>
      </c>
      <c r="F39" s="54">
        <v>47167773.157718122</v>
      </c>
      <c r="G39" s="54">
        <v>60574173.157718122</v>
      </c>
      <c r="H39" s="67">
        <v>73980573.157718137</v>
      </c>
      <c r="I39" s="71">
        <v>87386973.157718122</v>
      </c>
      <c r="J39" s="54">
        <v>100793373.15771812</v>
      </c>
      <c r="K39" s="54">
        <v>108166893.15771812</v>
      </c>
      <c r="L39" s="54">
        <v>120902973.15771812</v>
      </c>
      <c r="M39" s="54">
        <v>105619677.15771811</v>
      </c>
      <c r="N39" s="54">
        <v>115808541.15771811</v>
      </c>
      <c r="O39" s="54">
        <v>125997405.15771812</v>
      </c>
      <c r="P39" s="54">
        <v>136186269.15771812</v>
      </c>
      <c r="Q39" s="54">
        <v>75991533.157718122</v>
      </c>
      <c r="R39" s="54">
        <v>81488157.157718137</v>
      </c>
      <c r="S39" s="71">
        <v>86984781.157718122</v>
      </c>
      <c r="T39" s="71">
        <v>92481405.157718137</v>
      </c>
      <c r="U39" s="54">
        <v>97978029.157718137</v>
      </c>
      <c r="V39" s="54">
        <v>103474653.15771812</v>
      </c>
      <c r="W39" s="54">
        <v>24510957.157718129</v>
      </c>
      <c r="X39" s="54">
        <v>25985661.157718122</v>
      </c>
      <c r="Y39" s="54">
        <v>27460365.157718126</v>
      </c>
      <c r="Z39" s="54">
        <v>28935069.157718122</v>
      </c>
      <c r="AA39" s="54">
        <v>30409773.157718122</v>
      </c>
      <c r="AB39" s="54">
        <v>31884477.157718129</v>
      </c>
      <c r="AC39" s="54">
        <v>33359181.157718122</v>
      </c>
      <c r="AD39" s="54">
        <v>34833885.157718122</v>
      </c>
      <c r="AE39" s="54">
        <v>36308589.157718122</v>
      </c>
      <c r="AF39" s="54">
        <v>37783293.157718129</v>
      </c>
      <c r="AG39" s="54">
        <v>39257997.157718129</v>
      </c>
      <c r="AH39" s="54">
        <v>40732701.157718129</v>
      </c>
      <c r="AI39" s="54">
        <v>42207405.157718122</v>
      </c>
      <c r="AJ39" s="54">
        <v>-6457826.8422818696</v>
      </c>
      <c r="AK39" s="54">
        <v>-6457826.8422818696</v>
      </c>
      <c r="AL39" s="54">
        <v>-6457826.8422818696</v>
      </c>
      <c r="AM39" s="54">
        <v>-6457826.8422818696</v>
      </c>
      <c r="AN39" s="54">
        <v>-6457826.8422818696</v>
      </c>
      <c r="AO39" s="54">
        <v>-6457826.8422818696</v>
      </c>
      <c r="AP39" s="54">
        <v>-6457826.8422818696</v>
      </c>
    </row>
    <row r="40" spans="1:42" x14ac:dyDescent="0.25">
      <c r="A40" s="62">
        <v>4.3924999999999983</v>
      </c>
      <c r="B40" s="54">
        <v>-6457826.8422818696</v>
      </c>
      <c r="C40" s="54">
        <v>6948573.1577181239</v>
      </c>
      <c r="D40" s="54">
        <v>20354973.157718118</v>
      </c>
      <c r="E40" s="54">
        <v>33761373.157718122</v>
      </c>
      <c r="F40" s="54">
        <v>47167773.157718122</v>
      </c>
      <c r="G40" s="54">
        <v>60574173.157718122</v>
      </c>
      <c r="H40" s="67">
        <v>73980573.157718137</v>
      </c>
      <c r="I40" s="71">
        <v>87386973.157718122</v>
      </c>
      <c r="J40" s="54">
        <v>100793373.15771812</v>
      </c>
      <c r="K40" s="54">
        <v>108166893.15771812</v>
      </c>
      <c r="L40" s="54">
        <v>120902973.15771812</v>
      </c>
      <c r="M40" s="54">
        <v>133639053.15771812</v>
      </c>
      <c r="N40" s="54">
        <v>115808541.15771811</v>
      </c>
      <c r="O40" s="54">
        <v>125997405.15771812</v>
      </c>
      <c r="P40" s="54">
        <v>136186269.15771812</v>
      </c>
      <c r="Q40" s="54">
        <v>75991533.157718122</v>
      </c>
      <c r="R40" s="54">
        <v>81488157.157718137</v>
      </c>
      <c r="S40" s="71">
        <v>86984781.157718122</v>
      </c>
      <c r="T40" s="71">
        <v>92481405.157718137</v>
      </c>
      <c r="U40" s="54">
        <v>97978029.157718137</v>
      </c>
      <c r="V40" s="54">
        <v>103474653.15771812</v>
      </c>
      <c r="W40" s="54">
        <v>108971277.15771814</v>
      </c>
      <c r="X40" s="54">
        <v>25985661.157718122</v>
      </c>
      <c r="Y40" s="54">
        <v>27460365.157718126</v>
      </c>
      <c r="Z40" s="54">
        <v>28935069.157718122</v>
      </c>
      <c r="AA40" s="54">
        <v>30409773.157718122</v>
      </c>
      <c r="AB40" s="54">
        <v>31884477.157718129</v>
      </c>
      <c r="AC40" s="54">
        <v>33359181.157718122</v>
      </c>
      <c r="AD40" s="54">
        <v>34833885.157718122</v>
      </c>
      <c r="AE40" s="54">
        <v>36308589.157718122</v>
      </c>
      <c r="AF40" s="54">
        <v>37783293.157718129</v>
      </c>
      <c r="AG40" s="54">
        <v>39257997.157718129</v>
      </c>
      <c r="AH40" s="54">
        <v>40732701.157718129</v>
      </c>
      <c r="AI40" s="54">
        <v>42207405.157718122</v>
      </c>
      <c r="AJ40" s="54">
        <v>43682109.157718137</v>
      </c>
      <c r="AK40" s="54">
        <v>-6457826.8422818696</v>
      </c>
      <c r="AL40" s="54">
        <v>-6457826.8422818696</v>
      </c>
      <c r="AM40" s="54">
        <v>-6457826.8422818696</v>
      </c>
      <c r="AN40" s="54">
        <v>-6457826.8422818696</v>
      </c>
      <c r="AO40" s="54">
        <v>-6457826.8422818696</v>
      </c>
      <c r="AP40" s="54">
        <v>-6457826.8422818696</v>
      </c>
    </row>
    <row r="41" spans="1:42" x14ac:dyDescent="0.25">
      <c r="A41" s="62">
        <v>4.4937499999999986</v>
      </c>
      <c r="B41" s="54">
        <v>-6457826.8422818696</v>
      </c>
      <c r="C41" s="54">
        <v>6948573.1577181239</v>
      </c>
      <c r="D41" s="54">
        <v>20354973.157718118</v>
      </c>
      <c r="E41" s="54">
        <v>33761373.157718122</v>
      </c>
      <c r="F41" s="54">
        <v>47167773.157718122</v>
      </c>
      <c r="G41" s="54">
        <v>60574173.157718122</v>
      </c>
      <c r="H41" s="67">
        <v>73980573.157718137</v>
      </c>
      <c r="I41" s="71">
        <v>87386973.157718122</v>
      </c>
      <c r="J41" s="54">
        <v>100793373.15771812</v>
      </c>
      <c r="K41" s="54">
        <v>108166893.15771812</v>
      </c>
      <c r="L41" s="54">
        <v>120902973.15771812</v>
      </c>
      <c r="M41" s="54">
        <v>133639053.15771812</v>
      </c>
      <c r="N41" s="54">
        <v>115808541.15771811</v>
      </c>
      <c r="O41" s="54">
        <v>125997405.15771812</v>
      </c>
      <c r="P41" s="54">
        <v>136186269.15771812</v>
      </c>
      <c r="Q41" s="54">
        <v>146375133.15771815</v>
      </c>
      <c r="R41" s="54">
        <v>81488157.157718137</v>
      </c>
      <c r="S41" s="71">
        <v>86984781.157718122</v>
      </c>
      <c r="T41" s="71">
        <v>92481405.157718137</v>
      </c>
      <c r="U41" s="54">
        <v>97978029.157718137</v>
      </c>
      <c r="V41" s="54">
        <v>103474653.15771812</v>
      </c>
      <c r="W41" s="54">
        <v>108971277.15771814</v>
      </c>
      <c r="X41" s="54">
        <v>114467901.15771811</v>
      </c>
      <c r="Y41" s="54">
        <v>27460365.157718126</v>
      </c>
      <c r="Z41" s="54">
        <v>28935069.157718122</v>
      </c>
      <c r="AA41" s="54">
        <v>30409773.157718122</v>
      </c>
      <c r="AB41" s="54">
        <v>31884477.157718129</v>
      </c>
      <c r="AC41" s="54">
        <v>33359181.157718122</v>
      </c>
      <c r="AD41" s="54">
        <v>34833885.157718122</v>
      </c>
      <c r="AE41" s="54">
        <v>36308589.157718122</v>
      </c>
      <c r="AF41" s="54">
        <v>37783293.157718129</v>
      </c>
      <c r="AG41" s="54">
        <v>39257997.157718129</v>
      </c>
      <c r="AH41" s="54">
        <v>40732701.157718129</v>
      </c>
      <c r="AI41" s="54">
        <v>42207405.157718122</v>
      </c>
      <c r="AJ41" s="54">
        <v>43682109.157718137</v>
      </c>
      <c r="AK41" s="54">
        <v>45156813.157718122</v>
      </c>
      <c r="AL41" s="54">
        <v>-6457826.8422818696</v>
      </c>
      <c r="AM41" s="54">
        <v>-6457826.8422818696</v>
      </c>
      <c r="AN41" s="54">
        <v>-6457826.8422818696</v>
      </c>
      <c r="AO41" s="54">
        <v>-6457826.8422818696</v>
      </c>
      <c r="AP41" s="54">
        <v>-6457826.8422818696</v>
      </c>
    </row>
    <row r="42" spans="1:42" x14ac:dyDescent="0.25">
      <c r="A42" s="62">
        <v>4.5949999999999989</v>
      </c>
      <c r="B42" s="54">
        <v>-6457826.8422818696</v>
      </c>
      <c r="C42" s="54">
        <v>6948573.1577181239</v>
      </c>
      <c r="D42" s="54">
        <v>20354973.157718118</v>
      </c>
      <c r="E42" s="54">
        <v>33761373.157718122</v>
      </c>
      <c r="F42" s="54">
        <v>47167773.157718122</v>
      </c>
      <c r="G42" s="54">
        <v>60574173.157718122</v>
      </c>
      <c r="H42" s="67">
        <v>73980573.157718137</v>
      </c>
      <c r="I42" s="71">
        <v>87386973.157718122</v>
      </c>
      <c r="J42" s="54">
        <v>100793373.15771812</v>
      </c>
      <c r="K42" s="54">
        <v>114199773.15771814</v>
      </c>
      <c r="L42" s="54">
        <v>120902973.15771812</v>
      </c>
      <c r="M42" s="54">
        <v>133639053.15771812</v>
      </c>
      <c r="N42" s="54">
        <v>115808541.15771811</v>
      </c>
      <c r="O42" s="54">
        <v>125997405.15771812</v>
      </c>
      <c r="P42" s="54">
        <v>136186269.15771812</v>
      </c>
      <c r="Q42" s="54">
        <v>146375133.15771815</v>
      </c>
      <c r="R42" s="54">
        <v>81488157.157718137</v>
      </c>
      <c r="S42" s="71">
        <v>86984781.157718122</v>
      </c>
      <c r="T42" s="71">
        <v>92481405.157718137</v>
      </c>
      <c r="U42" s="54">
        <v>97978029.157718137</v>
      </c>
      <c r="V42" s="54">
        <v>103474653.15771812</v>
      </c>
      <c r="W42" s="54">
        <v>108971277.15771814</v>
      </c>
      <c r="X42" s="54">
        <v>114467901.15771811</v>
      </c>
      <c r="Y42" s="54">
        <v>27460365.157718126</v>
      </c>
      <c r="Z42" s="54">
        <v>28935069.157718122</v>
      </c>
      <c r="AA42" s="54">
        <v>30409773.157718122</v>
      </c>
      <c r="AB42" s="54">
        <v>31884477.157718129</v>
      </c>
      <c r="AC42" s="54">
        <v>33359181.157718122</v>
      </c>
      <c r="AD42" s="54">
        <v>34833885.157718122</v>
      </c>
      <c r="AE42" s="54">
        <v>36308589.157718122</v>
      </c>
      <c r="AF42" s="54">
        <v>37783293.157718129</v>
      </c>
      <c r="AG42" s="54">
        <v>39257997.157718129</v>
      </c>
      <c r="AH42" s="54">
        <v>40732701.157718129</v>
      </c>
      <c r="AI42" s="54">
        <v>42207405.157718122</v>
      </c>
      <c r="AJ42" s="54">
        <v>43682109.157718137</v>
      </c>
      <c r="AK42" s="54">
        <v>45156813.157718122</v>
      </c>
      <c r="AL42" s="54">
        <v>46631517.157718137</v>
      </c>
      <c r="AM42" s="54">
        <v>-6457826.8422818696</v>
      </c>
      <c r="AN42" s="54">
        <v>-6457826.8422818696</v>
      </c>
      <c r="AO42" s="54">
        <v>-6457826.8422818696</v>
      </c>
      <c r="AP42" s="54">
        <v>-6457826.8422818696</v>
      </c>
    </row>
    <row r="43" spans="1:42" x14ac:dyDescent="0.25">
      <c r="A43" s="62">
        <v>4.6962499999999991</v>
      </c>
      <c r="B43" s="54">
        <v>-6457826.8422818696</v>
      </c>
      <c r="C43" s="54">
        <v>6948573.1577181239</v>
      </c>
      <c r="D43" s="54">
        <v>20354973.157718118</v>
      </c>
      <c r="E43" s="54">
        <v>33761373.157718122</v>
      </c>
      <c r="F43" s="54">
        <v>47167773.157718122</v>
      </c>
      <c r="G43" s="54">
        <v>60574173.157718122</v>
      </c>
      <c r="H43" s="67">
        <v>73980573.157718137</v>
      </c>
      <c r="I43" s="71">
        <v>87386973.157718122</v>
      </c>
      <c r="J43" s="54">
        <v>100793373.15771812</v>
      </c>
      <c r="K43" s="54">
        <v>114199773.15771814</v>
      </c>
      <c r="L43" s="54">
        <v>120902973.15771812</v>
      </c>
      <c r="M43" s="54">
        <v>133639053.15771812</v>
      </c>
      <c r="N43" s="54">
        <v>146375133.15771812</v>
      </c>
      <c r="O43" s="54">
        <v>125997405.15771812</v>
      </c>
      <c r="P43" s="54">
        <v>136186269.15771812</v>
      </c>
      <c r="Q43" s="54">
        <v>146375133.15771815</v>
      </c>
      <c r="R43" s="54">
        <v>156563997.15771812</v>
      </c>
      <c r="S43" s="71">
        <v>86984781.157718122</v>
      </c>
      <c r="T43" s="71">
        <v>92481405.157718137</v>
      </c>
      <c r="U43" s="54">
        <v>97978029.157718137</v>
      </c>
      <c r="V43" s="54">
        <v>103474653.15771812</v>
      </c>
      <c r="W43" s="54">
        <v>108971277.15771814</v>
      </c>
      <c r="X43" s="54">
        <v>114467901.15771811</v>
      </c>
      <c r="Y43" s="54">
        <v>119964525.15771812</v>
      </c>
      <c r="Z43" s="54">
        <v>28935069.157718122</v>
      </c>
      <c r="AA43" s="54">
        <v>30409773.157718122</v>
      </c>
      <c r="AB43" s="54">
        <v>31884477.157718129</v>
      </c>
      <c r="AC43" s="54">
        <v>33359181.157718122</v>
      </c>
      <c r="AD43" s="54">
        <v>34833885.157718122</v>
      </c>
      <c r="AE43" s="54">
        <v>36308589.157718122</v>
      </c>
      <c r="AF43" s="54">
        <v>37783293.157718129</v>
      </c>
      <c r="AG43" s="54">
        <v>39257997.157718129</v>
      </c>
      <c r="AH43" s="54">
        <v>40732701.157718129</v>
      </c>
      <c r="AI43" s="54">
        <v>42207405.157718122</v>
      </c>
      <c r="AJ43" s="54">
        <v>43682109.157718137</v>
      </c>
      <c r="AK43" s="54">
        <v>45156813.157718122</v>
      </c>
      <c r="AL43" s="54">
        <v>46631517.157718137</v>
      </c>
      <c r="AM43" s="54">
        <v>48106221.157718115</v>
      </c>
      <c r="AN43" s="54">
        <v>-6457826.8422818696</v>
      </c>
      <c r="AO43" s="54">
        <v>-6457826.8422818696</v>
      </c>
      <c r="AP43" s="54">
        <v>-6457826.8422818696</v>
      </c>
    </row>
    <row r="44" spans="1:42" x14ac:dyDescent="0.25">
      <c r="A44" s="62">
        <v>4.7974999999999994</v>
      </c>
      <c r="B44" s="54">
        <v>-6457826.8422818696</v>
      </c>
      <c r="C44" s="54">
        <v>6948573.1577181239</v>
      </c>
      <c r="D44" s="54">
        <v>20354973.157718118</v>
      </c>
      <c r="E44" s="54">
        <v>33761373.157718122</v>
      </c>
      <c r="F44" s="54">
        <v>47167773.157718122</v>
      </c>
      <c r="G44" s="54">
        <v>60574173.157718122</v>
      </c>
      <c r="H44" s="67">
        <v>73980573.157718137</v>
      </c>
      <c r="I44" s="71">
        <v>87386973.157718122</v>
      </c>
      <c r="J44" s="54">
        <v>100793373.15771812</v>
      </c>
      <c r="K44" s="54">
        <v>114199773.15771814</v>
      </c>
      <c r="L44" s="54">
        <v>120902973.15771812</v>
      </c>
      <c r="M44" s="54">
        <v>133639053.15771812</v>
      </c>
      <c r="N44" s="54">
        <v>146375133.15771812</v>
      </c>
      <c r="O44" s="54">
        <v>125997405.15771812</v>
      </c>
      <c r="P44" s="54">
        <v>136186269.15771812</v>
      </c>
      <c r="Q44" s="54">
        <v>146375133.15771815</v>
      </c>
      <c r="R44" s="54">
        <v>156563997.15771812</v>
      </c>
      <c r="S44" s="71">
        <v>86984781.157718122</v>
      </c>
      <c r="T44" s="71">
        <v>92481405.157718137</v>
      </c>
      <c r="U44" s="54">
        <v>97978029.157718137</v>
      </c>
      <c r="V44" s="54">
        <v>103474653.15771812</v>
      </c>
      <c r="W44" s="54">
        <v>108971277.15771814</v>
      </c>
      <c r="X44" s="54">
        <v>114467901.15771811</v>
      </c>
      <c r="Y44" s="54">
        <v>119964525.15771812</v>
      </c>
      <c r="Z44" s="54">
        <v>28935069.157718122</v>
      </c>
      <c r="AA44" s="54">
        <v>30409773.157718122</v>
      </c>
      <c r="AB44" s="54">
        <v>31884477.157718129</v>
      </c>
      <c r="AC44" s="54">
        <v>33359181.157718122</v>
      </c>
      <c r="AD44" s="54">
        <v>34833885.157718122</v>
      </c>
      <c r="AE44" s="54">
        <v>36308589.157718122</v>
      </c>
      <c r="AF44" s="54">
        <v>37783293.157718129</v>
      </c>
      <c r="AG44" s="54">
        <v>39257997.157718129</v>
      </c>
      <c r="AH44" s="54">
        <v>40732701.157718129</v>
      </c>
      <c r="AI44" s="54">
        <v>42207405.157718122</v>
      </c>
      <c r="AJ44" s="54">
        <v>43682109.157718137</v>
      </c>
      <c r="AK44" s="54">
        <v>45156813.157718122</v>
      </c>
      <c r="AL44" s="54">
        <v>46631517.157718137</v>
      </c>
      <c r="AM44" s="54">
        <v>48106221.157718115</v>
      </c>
      <c r="AN44" s="54">
        <v>49580925.157718115</v>
      </c>
      <c r="AO44" s="54">
        <v>-6457826.8422818696</v>
      </c>
      <c r="AP44" s="54">
        <v>-6457826.8422818696</v>
      </c>
    </row>
    <row r="45" spans="1:42" x14ac:dyDescent="0.25">
      <c r="A45" s="62">
        <v>4.8987499999999997</v>
      </c>
      <c r="B45" s="54">
        <v>-6457826.8422818696</v>
      </c>
      <c r="C45" s="54">
        <v>6948573.1577181239</v>
      </c>
      <c r="D45" s="54">
        <v>20354973.157718118</v>
      </c>
      <c r="E45" s="54">
        <v>33761373.157718122</v>
      </c>
      <c r="F45" s="54">
        <v>47167773.157718122</v>
      </c>
      <c r="G45" s="54">
        <v>60574173.157718122</v>
      </c>
      <c r="H45" s="67">
        <v>73980573.157718137</v>
      </c>
      <c r="I45" s="71">
        <v>87386973.157718122</v>
      </c>
      <c r="J45" s="54">
        <v>100793373.15771812</v>
      </c>
      <c r="K45" s="54">
        <v>114199773.15771814</v>
      </c>
      <c r="L45" s="54">
        <v>120902973.15771812</v>
      </c>
      <c r="M45" s="54">
        <v>133639053.15771812</v>
      </c>
      <c r="N45" s="54">
        <v>146375133.15771812</v>
      </c>
      <c r="O45" s="54">
        <v>125997405.15771812</v>
      </c>
      <c r="P45" s="54">
        <v>136186269.15771812</v>
      </c>
      <c r="Q45" s="54">
        <v>146375133.15771815</v>
      </c>
      <c r="R45" s="54">
        <v>156563997.15771812</v>
      </c>
      <c r="S45" s="71">
        <v>166752861.15771812</v>
      </c>
      <c r="T45" s="71">
        <v>92481405.157718137</v>
      </c>
      <c r="U45" s="54">
        <v>97978029.157718137</v>
      </c>
      <c r="V45" s="54">
        <v>103474653.15771812</v>
      </c>
      <c r="W45" s="54">
        <v>108971277.15771814</v>
      </c>
      <c r="X45" s="54">
        <v>114467901.15771811</v>
      </c>
      <c r="Y45" s="54">
        <v>119964525.15771812</v>
      </c>
      <c r="Z45" s="54">
        <v>125461149.15771809</v>
      </c>
      <c r="AA45" s="54">
        <v>30409773.157718122</v>
      </c>
      <c r="AB45" s="54">
        <v>31884477.157718129</v>
      </c>
      <c r="AC45" s="54">
        <v>33359181.157718122</v>
      </c>
      <c r="AD45" s="54">
        <v>34833885.157718122</v>
      </c>
      <c r="AE45" s="54">
        <v>36308589.157718122</v>
      </c>
      <c r="AF45" s="54">
        <v>37783293.157718129</v>
      </c>
      <c r="AG45" s="54">
        <v>39257997.157718129</v>
      </c>
      <c r="AH45" s="54">
        <v>40732701.157718129</v>
      </c>
      <c r="AI45" s="54">
        <v>42207405.157718122</v>
      </c>
      <c r="AJ45" s="54">
        <v>43682109.157718137</v>
      </c>
      <c r="AK45" s="54">
        <v>45156813.157718122</v>
      </c>
      <c r="AL45" s="54">
        <v>46631517.157718137</v>
      </c>
      <c r="AM45" s="54">
        <v>48106221.157718115</v>
      </c>
      <c r="AN45" s="54">
        <v>49580925.157718115</v>
      </c>
      <c r="AO45" s="54">
        <v>51055629.157718122</v>
      </c>
      <c r="AP45" s="54">
        <v>-6457826.8422818696</v>
      </c>
    </row>
    <row r="46" spans="1:42" ht="15.75" thickBot="1" x14ac:dyDescent="0.3">
      <c r="A46" s="63">
        <v>5</v>
      </c>
      <c r="B46" s="56">
        <v>-6457826.8422818696</v>
      </c>
      <c r="C46" s="56">
        <v>6948573.1577181239</v>
      </c>
      <c r="D46" s="56">
        <v>20354973.157718118</v>
      </c>
      <c r="E46" s="56">
        <v>33761373.157718122</v>
      </c>
      <c r="F46" s="56">
        <v>47167773.157718122</v>
      </c>
      <c r="G46" s="56">
        <v>60574173.157718122</v>
      </c>
      <c r="H46" s="68">
        <v>73980573.157718137</v>
      </c>
      <c r="I46" s="72">
        <v>87386973.157718122</v>
      </c>
      <c r="J46" s="56">
        <v>100793373.15771812</v>
      </c>
      <c r="K46" s="56">
        <v>114199773.15771814</v>
      </c>
      <c r="L46" s="56">
        <v>127606173.15771812</v>
      </c>
      <c r="M46" s="56">
        <v>133639053.15771812</v>
      </c>
      <c r="N46" s="56">
        <v>146375133.15771812</v>
      </c>
      <c r="O46" s="56">
        <v>159111213.15771815</v>
      </c>
      <c r="P46" s="56">
        <v>136186269.15771812</v>
      </c>
      <c r="Q46" s="56">
        <v>146375133.15771815</v>
      </c>
      <c r="R46" s="56">
        <v>156563997.15771812</v>
      </c>
      <c r="S46" s="72">
        <v>166752861.15771812</v>
      </c>
      <c r="T46" s="72">
        <v>92481405.157718137</v>
      </c>
      <c r="U46" s="56">
        <v>97978029.157718137</v>
      </c>
      <c r="V46" s="56">
        <v>103474653.15771812</v>
      </c>
      <c r="W46" s="56">
        <v>108971277.15771814</v>
      </c>
      <c r="X46" s="56">
        <v>114467901.15771811</v>
      </c>
      <c r="Y46" s="56">
        <v>119964525.15771812</v>
      </c>
      <c r="Z46" s="56">
        <v>125461149.15771809</v>
      </c>
      <c r="AA46" s="56">
        <v>130957773.15771812</v>
      </c>
      <c r="AB46" s="56">
        <v>31884477.157718129</v>
      </c>
      <c r="AC46" s="56">
        <v>33359181.157718122</v>
      </c>
      <c r="AD46" s="56">
        <v>34833885.157718122</v>
      </c>
      <c r="AE46" s="56">
        <v>36308589.157718122</v>
      </c>
      <c r="AF46" s="56">
        <v>37783293.157718129</v>
      </c>
      <c r="AG46" s="56">
        <v>39257997.157718129</v>
      </c>
      <c r="AH46" s="56">
        <v>40732701.157718129</v>
      </c>
      <c r="AI46" s="56">
        <v>42207405.157718122</v>
      </c>
      <c r="AJ46" s="56">
        <v>43682109.157718137</v>
      </c>
      <c r="AK46" s="56">
        <v>45156813.157718122</v>
      </c>
      <c r="AL46" s="56">
        <v>46631517.157718137</v>
      </c>
      <c r="AM46" s="56">
        <v>48106221.157718115</v>
      </c>
      <c r="AN46" s="56">
        <v>49580925.157718115</v>
      </c>
      <c r="AO46" s="56">
        <v>51055629.157718122</v>
      </c>
      <c r="AP46" s="56">
        <v>52530333.157718107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F23" sqref="F23"/>
    </sheetView>
  </sheetViews>
  <sheetFormatPr defaultRowHeight="15" x14ac:dyDescent="0.25"/>
  <cols>
    <col min="1" max="1" width="15.140625" customWidth="1"/>
    <col min="2" max="2" width="28.28515625" customWidth="1"/>
    <col min="3" max="3" width="8.42578125" customWidth="1"/>
    <col min="4" max="4" width="26.5703125" bestFit="1" customWidth="1"/>
    <col min="5" max="5" width="19.42578125" bestFit="1" customWidth="1"/>
    <col min="6" max="6" width="20.42578125" bestFit="1" customWidth="1"/>
    <col min="7" max="7" width="26.5703125" bestFit="1" customWidth="1"/>
    <col min="8" max="8" width="21.5703125" bestFit="1" customWidth="1"/>
    <col min="9" max="9" width="25.85546875" bestFit="1" customWidth="1"/>
  </cols>
  <sheetData>
    <row r="1" spans="1:10" x14ac:dyDescent="0.25">
      <c r="A1" s="132" t="s">
        <v>77</v>
      </c>
      <c r="B1" s="133"/>
      <c r="F1" s="131" t="s">
        <v>78</v>
      </c>
      <c r="G1" s="131"/>
    </row>
    <row r="2" spans="1:10" ht="15.75" thickBot="1" x14ac:dyDescent="0.3">
      <c r="A2" s="24" t="s">
        <v>29</v>
      </c>
      <c r="B2" s="25" t="s">
        <v>37</v>
      </c>
      <c r="F2" s="11" t="s">
        <v>38</v>
      </c>
      <c r="G2" s="12" t="s">
        <v>39</v>
      </c>
    </row>
    <row r="3" spans="1:10" x14ac:dyDescent="0.25">
      <c r="A3" s="2">
        <v>0.5</v>
      </c>
      <c r="B3" s="4">
        <v>0</v>
      </c>
      <c r="F3" s="13">
        <v>1985</v>
      </c>
      <c r="G3" s="14">
        <v>600</v>
      </c>
    </row>
    <row r="4" spans="1:10" x14ac:dyDescent="0.25">
      <c r="A4" s="2">
        <v>1</v>
      </c>
      <c r="B4" s="4">
        <v>11</v>
      </c>
      <c r="F4" s="13">
        <v>1986</v>
      </c>
      <c r="G4" s="14">
        <v>635</v>
      </c>
    </row>
    <row r="5" spans="1:10" x14ac:dyDescent="0.25">
      <c r="A5" s="2">
        <v>1.5</v>
      </c>
      <c r="B5" s="4">
        <v>41</v>
      </c>
      <c r="F5" s="13">
        <v>1987</v>
      </c>
      <c r="G5" s="14">
        <v>655</v>
      </c>
    </row>
    <row r="6" spans="1:10" ht="15" customHeight="1" x14ac:dyDescent="0.25">
      <c r="A6" s="2">
        <v>2</v>
      </c>
      <c r="B6" s="4">
        <v>76</v>
      </c>
      <c r="F6" s="13">
        <v>1988</v>
      </c>
      <c r="G6" s="14">
        <v>700</v>
      </c>
    </row>
    <row r="7" spans="1:10" x14ac:dyDescent="0.25">
      <c r="A7" s="2">
        <v>2.5</v>
      </c>
      <c r="B7" s="4">
        <v>95</v>
      </c>
      <c r="F7" s="13">
        <v>1989</v>
      </c>
      <c r="G7" s="14">
        <v>730</v>
      </c>
    </row>
    <row r="8" spans="1:10" x14ac:dyDescent="0.25">
      <c r="A8" s="6">
        <v>3</v>
      </c>
      <c r="B8" s="9">
        <v>100</v>
      </c>
      <c r="F8" s="13">
        <v>1990</v>
      </c>
      <c r="G8" s="14">
        <v>762</v>
      </c>
    </row>
    <row r="9" spans="1:10" x14ac:dyDescent="0.25">
      <c r="A9" s="134" t="s">
        <v>73</v>
      </c>
      <c r="B9" s="134"/>
      <c r="F9" s="13">
        <v>1991</v>
      </c>
      <c r="G9" s="14">
        <v>812</v>
      </c>
    </row>
    <row r="10" spans="1:10" x14ac:dyDescent="0.25">
      <c r="F10" s="13">
        <v>1992</v>
      </c>
      <c r="G10" s="14">
        <v>831</v>
      </c>
    </row>
    <row r="11" spans="1:10" ht="15.75" thickBot="1" x14ac:dyDescent="0.3">
      <c r="F11" s="13">
        <v>1993</v>
      </c>
      <c r="G11" s="14">
        <v>877</v>
      </c>
    </row>
    <row r="12" spans="1:10" x14ac:dyDescent="0.25">
      <c r="A12" s="121" t="s">
        <v>80</v>
      </c>
      <c r="B12" s="122"/>
      <c r="C12" s="122"/>
      <c r="D12" s="123"/>
      <c r="F12" s="13">
        <v>1994</v>
      </c>
      <c r="G12" s="14">
        <v>931</v>
      </c>
    </row>
    <row r="13" spans="1:10" x14ac:dyDescent="0.25">
      <c r="A13" s="124"/>
      <c r="B13" s="125"/>
      <c r="C13" s="125"/>
      <c r="D13" s="126"/>
      <c r="F13" s="13">
        <v>1995</v>
      </c>
      <c r="G13" s="14">
        <v>967</v>
      </c>
    </row>
    <row r="14" spans="1:10" x14ac:dyDescent="0.25">
      <c r="A14" s="124"/>
      <c r="B14" s="125"/>
      <c r="C14" s="125"/>
      <c r="D14" s="126"/>
      <c r="F14" s="13">
        <v>1996</v>
      </c>
      <c r="G14" s="15">
        <v>1020</v>
      </c>
    </row>
    <row r="15" spans="1:10" x14ac:dyDescent="0.25">
      <c r="A15" s="124"/>
      <c r="B15" s="125"/>
      <c r="C15" s="125"/>
      <c r="D15" s="126"/>
      <c r="F15" s="13">
        <v>1997</v>
      </c>
      <c r="G15" s="15">
        <v>1077</v>
      </c>
    </row>
    <row r="16" spans="1:10" ht="15.75" thickBot="1" x14ac:dyDescent="0.3">
      <c r="A16" s="127"/>
      <c r="B16" s="128"/>
      <c r="C16" s="128"/>
      <c r="D16" s="129"/>
      <c r="F16" s="13">
        <v>1998</v>
      </c>
      <c r="G16" s="15">
        <v>1139</v>
      </c>
      <c r="I16" s="10"/>
      <c r="J16" s="16"/>
    </row>
    <row r="17" spans="3:10" x14ac:dyDescent="0.25">
      <c r="F17" s="13">
        <v>1999</v>
      </c>
      <c r="G17" s="14">
        <f>D37</f>
        <v>1197</v>
      </c>
      <c r="I17" s="10"/>
    </row>
    <row r="18" spans="3:10" x14ac:dyDescent="0.25">
      <c r="F18" s="17">
        <v>2000</v>
      </c>
      <c r="G18" s="18">
        <f>D38</f>
        <v>1258</v>
      </c>
      <c r="I18" s="10"/>
    </row>
    <row r="19" spans="3:10" x14ac:dyDescent="0.25">
      <c r="G19" s="10"/>
    </row>
    <row r="20" spans="3:10" x14ac:dyDescent="0.25">
      <c r="D20" s="135" t="s">
        <v>79</v>
      </c>
      <c r="E20" s="135"/>
      <c r="F20" s="135"/>
      <c r="G20" s="135"/>
    </row>
    <row r="21" spans="3:10" x14ac:dyDescent="0.25">
      <c r="D21" s="136"/>
      <c r="E21" s="136"/>
      <c r="F21" s="136"/>
      <c r="G21" s="136"/>
    </row>
    <row r="22" spans="3:10" x14ac:dyDescent="0.25">
      <c r="C22" s="11" t="s">
        <v>38</v>
      </c>
      <c r="D22" s="19" t="s">
        <v>39</v>
      </c>
      <c r="E22" s="19" t="s">
        <v>40</v>
      </c>
      <c r="F22" s="19" t="s">
        <v>72</v>
      </c>
      <c r="G22" s="19" t="s">
        <v>41</v>
      </c>
      <c r="H22" s="19" t="s">
        <v>42</v>
      </c>
      <c r="I22" s="12" t="s">
        <v>43</v>
      </c>
      <c r="J22" s="20"/>
    </row>
    <row r="23" spans="3:10" x14ac:dyDescent="0.25">
      <c r="C23" s="13">
        <v>1985</v>
      </c>
      <c r="D23" s="21">
        <v>600</v>
      </c>
      <c r="E23" s="22">
        <v>1.75</v>
      </c>
      <c r="F23" s="21">
        <v>5.9320000000000004</v>
      </c>
      <c r="G23" s="10"/>
      <c r="I23" s="4">
        <f>(F23*1000000)/(D23*1000)</f>
        <v>9.8866666666666667</v>
      </c>
    </row>
    <row r="24" spans="3:10" x14ac:dyDescent="0.25">
      <c r="C24" s="13">
        <v>1986</v>
      </c>
      <c r="D24" s="21">
        <v>635</v>
      </c>
      <c r="E24" s="22">
        <v>1.75</v>
      </c>
      <c r="F24" s="21">
        <v>6.2290000000000001</v>
      </c>
      <c r="G24" s="21">
        <f t="shared" ref="G24:G36" si="0">D24/D23</f>
        <v>1.0583333333333333</v>
      </c>
      <c r="H24" s="3">
        <f t="shared" ref="H24:H36" si="1">F24/F23</f>
        <v>1.0500674308833444</v>
      </c>
      <c r="I24" s="4">
        <f t="shared" ref="I24:I35" si="2">(F24*1000000)/(D24*1000)</f>
        <v>9.8094488188976374</v>
      </c>
    </row>
    <row r="25" spans="3:10" x14ac:dyDescent="0.25">
      <c r="C25" s="13">
        <v>1987</v>
      </c>
      <c r="D25" s="21">
        <v>655</v>
      </c>
      <c r="E25" s="22">
        <v>1.8</v>
      </c>
      <c r="F25" s="21">
        <v>6.5060000000000002</v>
      </c>
      <c r="G25" s="21">
        <f t="shared" si="0"/>
        <v>1.0314960629921259</v>
      </c>
      <c r="H25" s="3">
        <f t="shared" si="1"/>
        <v>1.0444694172419329</v>
      </c>
      <c r="I25" s="4">
        <f t="shared" si="2"/>
        <v>9.9328244274809165</v>
      </c>
    </row>
    <row r="26" spans="3:10" x14ac:dyDescent="0.25">
      <c r="C26" s="13">
        <v>1988</v>
      </c>
      <c r="D26" s="21">
        <v>700</v>
      </c>
      <c r="E26" s="22">
        <v>1.9</v>
      </c>
      <c r="F26" s="21">
        <v>6.82</v>
      </c>
      <c r="G26" s="21">
        <f t="shared" si="0"/>
        <v>1.0687022900763359</v>
      </c>
      <c r="H26" s="3">
        <f t="shared" si="1"/>
        <v>1.0482631417153396</v>
      </c>
      <c r="I26" s="4">
        <f t="shared" si="2"/>
        <v>9.742857142857142</v>
      </c>
    </row>
    <row r="27" spans="3:10" x14ac:dyDescent="0.25">
      <c r="C27" s="13">
        <v>1989</v>
      </c>
      <c r="D27" s="21">
        <v>730</v>
      </c>
      <c r="E27" s="22">
        <v>1.9</v>
      </c>
      <c r="F27" s="21">
        <v>7.1609999999999996</v>
      </c>
      <c r="G27" s="21">
        <f t="shared" si="0"/>
        <v>1.0428571428571429</v>
      </c>
      <c r="H27" s="3">
        <f t="shared" si="1"/>
        <v>1.0499999999999998</v>
      </c>
      <c r="I27" s="4">
        <f t="shared" si="2"/>
        <v>9.8095890410958901</v>
      </c>
    </row>
    <row r="28" spans="3:10" x14ac:dyDescent="0.25">
      <c r="C28" s="13">
        <v>1990</v>
      </c>
      <c r="D28" s="21">
        <v>762</v>
      </c>
      <c r="E28" s="22">
        <v>1.9</v>
      </c>
      <c r="F28" s="21">
        <v>7.8949999999999996</v>
      </c>
      <c r="G28" s="21">
        <f t="shared" si="0"/>
        <v>1.0438356164383562</v>
      </c>
      <c r="H28" s="3">
        <f t="shared" si="1"/>
        <v>1.1024996508867477</v>
      </c>
      <c r="I28" s="4">
        <f t="shared" si="2"/>
        <v>10.360892388451443</v>
      </c>
    </row>
    <row r="29" spans="3:10" x14ac:dyDescent="0.25">
      <c r="C29" s="13">
        <v>1991</v>
      </c>
      <c r="D29" s="21">
        <v>812</v>
      </c>
      <c r="E29" s="22">
        <v>2</v>
      </c>
      <c r="F29" s="21">
        <v>7.8949999999999996</v>
      </c>
      <c r="G29" s="21">
        <f t="shared" si="0"/>
        <v>1.0656167979002624</v>
      </c>
      <c r="H29" s="3">
        <f t="shared" si="1"/>
        <v>1</v>
      </c>
      <c r="I29" s="4">
        <f t="shared" si="2"/>
        <v>9.7229064039408861</v>
      </c>
    </row>
    <row r="30" spans="3:10" x14ac:dyDescent="0.25">
      <c r="C30" s="13">
        <v>1992</v>
      </c>
      <c r="D30" s="21">
        <v>831</v>
      </c>
      <c r="E30" s="22">
        <v>2.2000000000000002</v>
      </c>
      <c r="F30" s="21">
        <v>8.2240000000000002</v>
      </c>
      <c r="G30" s="21">
        <f t="shared" si="0"/>
        <v>1.0233990147783252</v>
      </c>
      <c r="H30" s="3">
        <f t="shared" si="1"/>
        <v>1.0416719442685245</v>
      </c>
      <c r="I30" s="4">
        <f t="shared" si="2"/>
        <v>9.8965102286401923</v>
      </c>
    </row>
    <row r="31" spans="3:10" x14ac:dyDescent="0.25">
      <c r="C31" s="13">
        <v>1993</v>
      </c>
      <c r="D31" s="21">
        <v>877</v>
      </c>
      <c r="E31" s="22">
        <v>2.4500000000000002</v>
      </c>
      <c r="F31" s="21">
        <v>8.5839999999999996</v>
      </c>
      <c r="G31" s="21">
        <f t="shared" si="0"/>
        <v>1.0553549939831528</v>
      </c>
      <c r="H31" s="3">
        <f t="shared" si="1"/>
        <v>1.0437743190661477</v>
      </c>
      <c r="I31" s="4">
        <f t="shared" si="2"/>
        <v>9.7879133409350061</v>
      </c>
    </row>
    <row r="32" spans="3:10" x14ac:dyDescent="0.25">
      <c r="C32" s="13">
        <v>1994</v>
      </c>
      <c r="D32" s="21">
        <v>931</v>
      </c>
      <c r="E32" s="22">
        <v>2.4500000000000002</v>
      </c>
      <c r="F32" s="21">
        <v>9.0259999999999998</v>
      </c>
      <c r="G32" s="21">
        <f t="shared" si="0"/>
        <v>1.0615735461801596</v>
      </c>
      <c r="H32" s="3">
        <f t="shared" si="1"/>
        <v>1.0514911463187326</v>
      </c>
      <c r="I32" s="4">
        <f t="shared" si="2"/>
        <v>9.6949516648764771</v>
      </c>
    </row>
    <row r="33" spans="2:9" x14ac:dyDescent="0.25">
      <c r="C33" s="13">
        <v>1995</v>
      </c>
      <c r="D33" s="21">
        <v>967</v>
      </c>
      <c r="E33" s="22">
        <v>2.6</v>
      </c>
      <c r="F33" s="21">
        <v>9.4909999999999997</v>
      </c>
      <c r="G33" s="21">
        <f t="shared" si="0"/>
        <v>1.0386680988184747</v>
      </c>
      <c r="H33" s="3">
        <f t="shared" si="1"/>
        <v>1.0515178373587415</v>
      </c>
      <c r="I33" s="4">
        <f t="shared" si="2"/>
        <v>9.8148914167528432</v>
      </c>
    </row>
    <row r="34" spans="2:9" x14ac:dyDescent="0.25">
      <c r="C34" s="13">
        <v>1996</v>
      </c>
      <c r="D34" s="23">
        <v>1020</v>
      </c>
      <c r="E34" s="22">
        <v>2.5499999999999998</v>
      </c>
      <c r="F34" s="21">
        <v>9.9960000000000004</v>
      </c>
      <c r="G34" s="21">
        <f t="shared" si="0"/>
        <v>1.0548086866597726</v>
      </c>
      <c r="H34" s="3">
        <f t="shared" si="1"/>
        <v>1.0532083026024657</v>
      </c>
      <c r="I34" s="4">
        <f t="shared" si="2"/>
        <v>9.8000000000000007</v>
      </c>
    </row>
    <row r="35" spans="2:9" x14ac:dyDescent="0.25">
      <c r="C35" s="13">
        <v>1997</v>
      </c>
      <c r="D35" s="23">
        <v>1077</v>
      </c>
      <c r="E35" s="22">
        <v>2.5</v>
      </c>
      <c r="F35" s="21">
        <v>10.465</v>
      </c>
      <c r="G35" s="21">
        <f t="shared" si="0"/>
        <v>1.0558823529411765</v>
      </c>
      <c r="H35" s="3">
        <f t="shared" si="1"/>
        <v>1.0469187675070026</v>
      </c>
      <c r="I35" s="4">
        <f t="shared" si="2"/>
        <v>9.7168059424326838</v>
      </c>
    </row>
    <row r="36" spans="2:9" x14ac:dyDescent="0.25">
      <c r="C36" s="13">
        <v>1998</v>
      </c>
      <c r="D36" s="23">
        <v>1139</v>
      </c>
      <c r="E36" s="22">
        <v>2.5</v>
      </c>
      <c r="F36" s="21">
        <v>10.981</v>
      </c>
      <c r="G36" s="21">
        <f t="shared" si="0"/>
        <v>1.0575673166202415</v>
      </c>
      <c r="H36" s="3">
        <f t="shared" si="1"/>
        <v>1.0493072145246058</v>
      </c>
      <c r="I36" s="4"/>
    </row>
    <row r="37" spans="2:9" x14ac:dyDescent="0.25">
      <c r="B37" s="137" t="s">
        <v>74</v>
      </c>
      <c r="C37" s="76">
        <v>1999</v>
      </c>
      <c r="D37" s="77">
        <f>ROUND(G39*$D$36,0)</f>
        <v>1197</v>
      </c>
      <c r="E37" s="78">
        <v>2.5</v>
      </c>
      <c r="F37" s="80">
        <f>ROUND(F36*$D$38,0)/1000</f>
        <v>13.814</v>
      </c>
      <c r="G37" s="80"/>
      <c r="H37" s="79"/>
      <c r="I37" s="81"/>
    </row>
    <row r="38" spans="2:9" x14ac:dyDescent="0.25">
      <c r="B38" s="137"/>
      <c r="C38" s="76">
        <v>2000</v>
      </c>
      <c r="D38" s="77">
        <f>ROUND(G39*$D$37,0)</f>
        <v>1258</v>
      </c>
      <c r="E38" s="78">
        <v>2.5</v>
      </c>
      <c r="F38" s="80">
        <f>ROUND(F37*$D$38,0)/1000</f>
        <v>17.378</v>
      </c>
      <c r="G38" s="80"/>
      <c r="H38" s="79"/>
      <c r="I38" s="81"/>
    </row>
    <row r="39" spans="2:9" x14ac:dyDescent="0.25">
      <c r="B39" s="82" t="s">
        <v>75</v>
      </c>
      <c r="C39" s="6"/>
      <c r="D39" s="8"/>
      <c r="E39" s="8"/>
      <c r="F39" s="8"/>
      <c r="G39" s="83">
        <f>AVERAGE(G24:G36)</f>
        <v>1.0506227118137585</v>
      </c>
      <c r="H39" s="84">
        <f>AVERAGE(H24:H36)</f>
        <v>1.0487068594133528</v>
      </c>
      <c r="I39" s="85">
        <f>ROUND((AVERAGE(I23:I35)),0)</f>
        <v>10</v>
      </c>
    </row>
    <row r="40" spans="2:9" x14ac:dyDescent="0.25">
      <c r="G40" s="10"/>
    </row>
    <row r="41" spans="2:9" x14ac:dyDescent="0.25">
      <c r="G41" s="10"/>
    </row>
  </sheetData>
  <mergeCells count="6">
    <mergeCell ref="F1:G1"/>
    <mergeCell ref="A1:B1"/>
    <mergeCell ref="A9:B9"/>
    <mergeCell ref="D20:G21"/>
    <mergeCell ref="B37:B38"/>
    <mergeCell ref="A12:D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30" sqref="C30"/>
    </sheetView>
  </sheetViews>
  <sheetFormatPr defaultRowHeight="15" x14ac:dyDescent="0.25"/>
  <cols>
    <col min="1" max="1" width="11.42578125" customWidth="1"/>
    <col min="2" max="2" width="27.7109375" bestFit="1" customWidth="1"/>
    <col min="3" max="3" width="55.5703125" bestFit="1" customWidth="1"/>
    <col min="4" max="4" width="25.140625" bestFit="1" customWidth="1"/>
    <col min="5" max="5" width="21.28515625" customWidth="1"/>
    <col min="6" max="13" width="14.28515625" bestFit="1" customWidth="1"/>
    <col min="14" max="14" width="19" customWidth="1"/>
    <col min="15" max="15" width="65.28515625" bestFit="1" customWidth="1"/>
  </cols>
  <sheetData>
    <row r="1" spans="1:9" x14ac:dyDescent="0.25">
      <c r="A1" s="20" t="s">
        <v>0</v>
      </c>
    </row>
    <row r="2" spans="1:9" ht="15.75" thickBot="1" x14ac:dyDescent="0.3">
      <c r="A2" s="1"/>
    </row>
    <row r="3" spans="1:9" x14ac:dyDescent="0.25">
      <c r="B3" s="89" t="s">
        <v>1</v>
      </c>
      <c r="C3" s="90"/>
      <c r="D3" s="91"/>
    </row>
    <row r="4" spans="1:9" ht="15.75" thickBot="1" x14ac:dyDescent="0.3">
      <c r="B4" s="92"/>
      <c r="C4" s="87" t="s">
        <v>2</v>
      </c>
      <c r="D4" s="93">
        <v>0.52</v>
      </c>
      <c r="F4" s="3"/>
    </row>
    <row r="5" spans="1:9" ht="15" customHeight="1" x14ac:dyDescent="0.25">
      <c r="B5" s="92"/>
      <c r="C5" s="87" t="s">
        <v>3</v>
      </c>
      <c r="D5" s="93">
        <v>0.95</v>
      </c>
      <c r="F5" s="121" t="s">
        <v>81</v>
      </c>
      <c r="G5" s="122"/>
      <c r="H5" s="122"/>
      <c r="I5" s="123"/>
    </row>
    <row r="6" spans="1:9" x14ac:dyDescent="0.25">
      <c r="B6" s="92"/>
      <c r="C6" s="87" t="s">
        <v>4</v>
      </c>
      <c r="D6" s="93">
        <v>4000000</v>
      </c>
      <c r="F6" s="124"/>
      <c r="G6" s="125"/>
      <c r="H6" s="125"/>
      <c r="I6" s="126"/>
    </row>
    <row r="7" spans="1:9" x14ac:dyDescent="0.25">
      <c r="B7" s="92"/>
      <c r="C7" s="87" t="s">
        <v>5</v>
      </c>
      <c r="D7" s="93">
        <v>2.5</v>
      </c>
      <c r="F7" s="124"/>
      <c r="G7" s="125"/>
      <c r="H7" s="125"/>
      <c r="I7" s="126"/>
    </row>
    <row r="8" spans="1:9" ht="17.25" customHeight="1" x14ac:dyDescent="0.25">
      <c r="B8" s="92"/>
      <c r="C8" s="88" t="s">
        <v>6</v>
      </c>
      <c r="D8" s="93">
        <v>5</v>
      </c>
      <c r="F8" s="124"/>
      <c r="G8" s="125"/>
      <c r="H8" s="125"/>
      <c r="I8" s="126"/>
    </row>
    <row r="9" spans="1:9" ht="15.75" thickBot="1" x14ac:dyDescent="0.3">
      <c r="B9" s="92"/>
      <c r="C9" s="87" t="s">
        <v>44</v>
      </c>
      <c r="D9" s="94">
        <v>0.1</v>
      </c>
      <c r="F9" s="127"/>
      <c r="G9" s="128"/>
      <c r="H9" s="128"/>
      <c r="I9" s="129"/>
    </row>
    <row r="10" spans="1:9" x14ac:dyDescent="0.25">
      <c r="B10" s="92"/>
      <c r="C10" s="87" t="s">
        <v>45</v>
      </c>
      <c r="D10" s="95">
        <v>10</v>
      </c>
    </row>
    <row r="11" spans="1:9" x14ac:dyDescent="0.25">
      <c r="B11" s="92"/>
      <c r="C11" s="87" t="s">
        <v>36</v>
      </c>
      <c r="D11" s="95">
        <f>VLOOKUP(D23-1,GivenValues!F2:G18,2)*1000</f>
        <v>1197000</v>
      </c>
    </row>
    <row r="12" spans="1:9" x14ac:dyDescent="0.25">
      <c r="B12" s="92"/>
      <c r="C12" s="87" t="s">
        <v>46</v>
      </c>
      <c r="D12" s="95">
        <f>GivenValues!I39</f>
        <v>10</v>
      </c>
    </row>
    <row r="13" spans="1:9" x14ac:dyDescent="0.25">
      <c r="B13" s="92"/>
      <c r="C13" s="87" t="s">
        <v>7</v>
      </c>
      <c r="D13" s="96">
        <v>0.1</v>
      </c>
    </row>
    <row r="14" spans="1:9" ht="15.75" thickBot="1" x14ac:dyDescent="0.3">
      <c r="B14" s="97"/>
      <c r="C14" s="98" t="s">
        <v>8</v>
      </c>
      <c r="D14" s="99">
        <v>0.1</v>
      </c>
    </row>
    <row r="15" spans="1:9" ht="15.75" thickBot="1" x14ac:dyDescent="0.3">
      <c r="B15" s="2"/>
      <c r="C15" s="26"/>
      <c r="D15" s="5"/>
    </row>
    <row r="16" spans="1:9" x14ac:dyDescent="0.25">
      <c r="B16" s="89" t="s">
        <v>9</v>
      </c>
      <c r="C16" s="101"/>
      <c r="D16" s="118"/>
      <c r="E16" s="50" t="s">
        <v>60</v>
      </c>
      <c r="F16" s="51"/>
      <c r="G16" s="7"/>
    </row>
    <row r="17" spans="2:15" ht="15.75" thickBot="1" x14ac:dyDescent="0.3">
      <c r="B17" s="97"/>
      <c r="C17" s="103" t="s">
        <v>47</v>
      </c>
      <c r="D17" s="119">
        <v>1.2499996419509756</v>
      </c>
      <c r="E17" s="119" t="s">
        <v>59</v>
      </c>
      <c r="F17" s="120">
        <f>Competitoe_Selling_Price</f>
        <v>5</v>
      </c>
    </row>
    <row r="18" spans="2:15" ht="15.75" thickBot="1" x14ac:dyDescent="0.3">
      <c r="C18" s="27"/>
    </row>
    <row r="19" spans="2:15" x14ac:dyDescent="0.25">
      <c r="B19" s="89" t="s">
        <v>10</v>
      </c>
      <c r="C19" s="101"/>
      <c r="D19" s="106">
        <v>2000</v>
      </c>
      <c r="E19" s="106">
        <f>D19+1</f>
        <v>2001</v>
      </c>
      <c r="F19" s="106">
        <f t="shared" ref="F19:N19" si="0">E19+1</f>
        <v>2002</v>
      </c>
      <c r="G19" s="106">
        <f t="shared" si="0"/>
        <v>2003</v>
      </c>
      <c r="H19" s="106">
        <f t="shared" si="0"/>
        <v>2004</v>
      </c>
      <c r="I19" s="106">
        <f>H19+1</f>
        <v>2005</v>
      </c>
      <c r="J19" s="106">
        <f t="shared" si="0"/>
        <v>2006</v>
      </c>
      <c r="K19" s="106">
        <f t="shared" si="0"/>
        <v>2007</v>
      </c>
      <c r="L19" s="106">
        <f>K19+1</f>
        <v>2008</v>
      </c>
      <c r="M19" s="106">
        <f t="shared" si="0"/>
        <v>2009</v>
      </c>
      <c r="N19" s="107">
        <f t="shared" si="0"/>
        <v>2010</v>
      </c>
      <c r="O19" s="44" t="s">
        <v>58</v>
      </c>
    </row>
    <row r="20" spans="2:15" x14ac:dyDescent="0.25">
      <c r="B20" s="92"/>
      <c r="C20" s="87" t="s">
        <v>11</v>
      </c>
      <c r="D20" s="100">
        <f>D24-D25</f>
        <v>6905048.0170320552</v>
      </c>
      <c r="E20" s="100">
        <f t="shared" ref="E20:M20" si="1">E24-E25</f>
        <v>7635552.8187352624</v>
      </c>
      <c r="F20" s="100">
        <f t="shared" si="1"/>
        <v>8439108.1006087884</v>
      </c>
      <c r="G20" s="100">
        <f t="shared" si="1"/>
        <v>9323018.9106696658</v>
      </c>
      <c r="H20" s="100">
        <f t="shared" si="1"/>
        <v>10295320.801736634</v>
      </c>
      <c r="I20" s="100">
        <f t="shared" si="1"/>
        <v>11364852.881910298</v>
      </c>
      <c r="J20" s="100">
        <f t="shared" si="1"/>
        <v>12541338.170101326</v>
      </c>
      <c r="K20" s="100">
        <f t="shared" si="1"/>
        <v>13835471.987111459</v>
      </c>
      <c r="L20" s="100">
        <f t="shared" si="1"/>
        <v>15259019.185822602</v>
      </c>
      <c r="M20" s="100">
        <f t="shared" si="1"/>
        <v>16824921.104404863</v>
      </c>
      <c r="N20" s="108"/>
      <c r="O20" s="45" t="s">
        <v>12</v>
      </c>
    </row>
    <row r="21" spans="2:15" ht="15.75" thickBot="1" x14ac:dyDescent="0.3">
      <c r="B21" s="97"/>
      <c r="C21" s="103" t="s">
        <v>13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>
        <f>NPV(D13,D37:M37)</f>
        <v>59951700.585282244</v>
      </c>
      <c r="O21" s="45" t="s">
        <v>14</v>
      </c>
    </row>
    <row r="22" spans="2:15" ht="15.75" thickBot="1" x14ac:dyDescent="0.3">
      <c r="C22" s="27"/>
      <c r="O22" s="45"/>
    </row>
    <row r="23" spans="2:15" x14ac:dyDescent="0.25">
      <c r="B23" s="89" t="s">
        <v>15</v>
      </c>
      <c r="C23" s="101"/>
      <c r="D23" s="106">
        <v>2000</v>
      </c>
      <c r="E23" s="106">
        <f>D23+1</f>
        <v>2001</v>
      </c>
      <c r="F23" s="106">
        <f t="shared" ref="F23:M23" si="2">E23+1</f>
        <v>2002</v>
      </c>
      <c r="G23" s="106">
        <f t="shared" si="2"/>
        <v>2003</v>
      </c>
      <c r="H23" s="106">
        <f t="shared" si="2"/>
        <v>2004</v>
      </c>
      <c r="I23" s="106">
        <f>H23+1</f>
        <v>2005</v>
      </c>
      <c r="J23" s="106">
        <f t="shared" si="2"/>
        <v>2006</v>
      </c>
      <c r="K23" s="106">
        <f t="shared" si="2"/>
        <v>2007</v>
      </c>
      <c r="L23" s="106">
        <f>K23+1</f>
        <v>2008</v>
      </c>
      <c r="M23" s="106">
        <f t="shared" si="2"/>
        <v>2009</v>
      </c>
      <c r="N23" s="107"/>
      <c r="O23" s="45"/>
    </row>
    <row r="24" spans="2:15" x14ac:dyDescent="0.25">
      <c r="B24" s="92"/>
      <c r="C24" s="87" t="s">
        <v>16</v>
      </c>
      <c r="D24" s="100">
        <f>D28*$D$17</f>
        <v>12508646.417032056</v>
      </c>
      <c r="E24" s="100">
        <f>E28*$D$17</f>
        <v>13759511.058735263</v>
      </c>
      <c r="F24" s="100">
        <f t="shared" ref="F24:M24" si="3">F28*$D$17</f>
        <v>15135462.164608788</v>
      </c>
      <c r="G24" s="100">
        <f t="shared" si="3"/>
        <v>16649008.381069666</v>
      </c>
      <c r="H24" s="100">
        <f t="shared" si="3"/>
        <v>18313909.219176635</v>
      </c>
      <c r="I24" s="100">
        <f t="shared" si="3"/>
        <v>20145300.141094297</v>
      </c>
      <c r="J24" s="100">
        <f t="shared" si="3"/>
        <v>22159830.155203726</v>
      </c>
      <c r="K24" s="100">
        <f t="shared" si="3"/>
        <v>24375813.170724098</v>
      </c>
      <c r="L24" s="100">
        <f t="shared" si="3"/>
        <v>26813394.487796504</v>
      </c>
      <c r="M24" s="100">
        <f t="shared" si="3"/>
        <v>29494733.936576158</v>
      </c>
      <c r="N24" s="108"/>
      <c r="O24" s="45" t="s">
        <v>17</v>
      </c>
    </row>
    <row r="25" spans="2:15" x14ac:dyDescent="0.25">
      <c r="B25" s="92"/>
      <c r="C25" s="87" t="s">
        <v>18</v>
      </c>
      <c r="D25" s="111">
        <f>D26+D27</f>
        <v>5603598.4000000004</v>
      </c>
      <c r="E25" s="111">
        <f>E26+E27</f>
        <v>6123958.2400000002</v>
      </c>
      <c r="F25" s="111">
        <f t="shared" ref="F25:M25" si="4">F26+F27</f>
        <v>6696354.0640000002</v>
      </c>
      <c r="G25" s="111">
        <f t="shared" si="4"/>
        <v>7325989.4704</v>
      </c>
      <c r="H25" s="111">
        <f t="shared" si="4"/>
        <v>8018588.4174400009</v>
      </c>
      <c r="I25" s="111">
        <f t="shared" si="4"/>
        <v>8780447.2591839992</v>
      </c>
      <c r="J25" s="111">
        <f t="shared" si="4"/>
        <v>9618491.9851024002</v>
      </c>
      <c r="K25" s="111">
        <f t="shared" si="4"/>
        <v>10540341.183612639</v>
      </c>
      <c r="L25" s="111">
        <f t="shared" si="4"/>
        <v>11554375.301973902</v>
      </c>
      <c r="M25" s="111">
        <f t="shared" si="4"/>
        <v>12669812.832171295</v>
      </c>
      <c r="N25" s="113"/>
      <c r="O25" s="45" t="s">
        <v>19</v>
      </c>
    </row>
    <row r="26" spans="2:15" x14ac:dyDescent="0.25">
      <c r="B26" s="92"/>
      <c r="C26" s="87" t="s">
        <v>20</v>
      </c>
      <c r="D26" s="111">
        <f>D28*$D$4</f>
        <v>5203598.4000000004</v>
      </c>
      <c r="E26" s="111">
        <f t="shared" ref="E26:M26" si="5">E28*$D$4</f>
        <v>5723958.2400000002</v>
      </c>
      <c r="F26" s="111">
        <f t="shared" si="5"/>
        <v>6296354.0640000002</v>
      </c>
      <c r="G26" s="111">
        <f t="shared" si="5"/>
        <v>6925989.4704</v>
      </c>
      <c r="H26" s="111">
        <f t="shared" si="5"/>
        <v>7618588.4174400009</v>
      </c>
      <c r="I26" s="111">
        <f t="shared" si="5"/>
        <v>8380447.2591840001</v>
      </c>
      <c r="J26" s="111">
        <f t="shared" si="5"/>
        <v>9218491.9851024002</v>
      </c>
      <c r="K26" s="111">
        <f t="shared" si="5"/>
        <v>10140341.183612639</v>
      </c>
      <c r="L26" s="111">
        <f t="shared" si="5"/>
        <v>11154375.301973902</v>
      </c>
      <c r="M26" s="111">
        <f t="shared" si="5"/>
        <v>12269812.832171295</v>
      </c>
      <c r="N26" s="113"/>
      <c r="O26" s="45" t="s">
        <v>21</v>
      </c>
    </row>
    <row r="27" spans="2:15" x14ac:dyDescent="0.25">
      <c r="B27" s="92"/>
      <c r="C27" s="87" t="s">
        <v>22</v>
      </c>
      <c r="D27" s="111">
        <f t="shared" ref="D27:M27" si="6">$D$14*$D$6</f>
        <v>400000</v>
      </c>
      <c r="E27" s="111">
        <f t="shared" si="6"/>
        <v>400000</v>
      </c>
      <c r="F27" s="111">
        <f t="shared" si="6"/>
        <v>400000</v>
      </c>
      <c r="G27" s="111">
        <f t="shared" si="6"/>
        <v>400000</v>
      </c>
      <c r="H27" s="111">
        <f t="shared" si="6"/>
        <v>400000</v>
      </c>
      <c r="I27" s="111">
        <f t="shared" si="6"/>
        <v>400000</v>
      </c>
      <c r="J27" s="111">
        <f t="shared" si="6"/>
        <v>400000</v>
      </c>
      <c r="K27" s="111">
        <f t="shared" si="6"/>
        <v>400000</v>
      </c>
      <c r="L27" s="111">
        <f t="shared" si="6"/>
        <v>400000</v>
      </c>
      <c r="M27" s="111">
        <f t="shared" si="6"/>
        <v>400000</v>
      </c>
      <c r="N27" s="113"/>
      <c r="O27" s="45" t="s">
        <v>23</v>
      </c>
    </row>
    <row r="28" spans="2:15" x14ac:dyDescent="0.25">
      <c r="B28" s="92"/>
      <c r="C28" s="87" t="s">
        <v>51</v>
      </c>
      <c r="D28" s="100">
        <f>D29*D31/100</f>
        <v>10006920</v>
      </c>
      <c r="E28" s="100">
        <f>E29*E31/100</f>
        <v>11007612</v>
      </c>
      <c r="F28" s="100">
        <f t="shared" ref="F28:M28" si="7">F29*F31/100</f>
        <v>12108373.199999999</v>
      </c>
      <c r="G28" s="100">
        <f t="shared" si="7"/>
        <v>13319210.52</v>
      </c>
      <c r="H28" s="100">
        <f t="shared" si="7"/>
        <v>14651131.572000001</v>
      </c>
      <c r="I28" s="100">
        <f t="shared" si="7"/>
        <v>16116244.7292</v>
      </c>
      <c r="J28" s="100">
        <f t="shared" si="7"/>
        <v>17727869.202119999</v>
      </c>
      <c r="K28" s="100">
        <f t="shared" si="7"/>
        <v>19500656.122331999</v>
      </c>
      <c r="L28" s="100">
        <f t="shared" si="7"/>
        <v>21450721.734565195</v>
      </c>
      <c r="M28" s="100">
        <f t="shared" si="7"/>
        <v>23595793.908021718</v>
      </c>
      <c r="N28" s="108"/>
      <c r="O28" s="46" t="s">
        <v>24</v>
      </c>
    </row>
    <row r="29" spans="2:15" x14ac:dyDescent="0.25">
      <c r="B29" s="92"/>
      <c r="C29" s="87" t="s">
        <v>50</v>
      </c>
      <c r="D29" s="100">
        <f>D30*$D$12</f>
        <v>13167000</v>
      </c>
      <c r="E29" s="100">
        <f t="shared" ref="E29:M29" si="8">E30*$D$12</f>
        <v>14483700</v>
      </c>
      <c r="F29" s="100">
        <f t="shared" si="8"/>
        <v>15932070</v>
      </c>
      <c r="G29" s="100">
        <f t="shared" si="8"/>
        <v>17525277</v>
      </c>
      <c r="H29" s="100">
        <f t="shared" si="8"/>
        <v>19277804.699999999</v>
      </c>
      <c r="I29" s="100">
        <f t="shared" si="8"/>
        <v>21205585.170000002</v>
      </c>
      <c r="J29" s="100">
        <f t="shared" si="8"/>
        <v>23326143.686999999</v>
      </c>
      <c r="K29" s="100">
        <f t="shared" si="8"/>
        <v>25658758.055699997</v>
      </c>
      <c r="L29" s="100">
        <f t="shared" si="8"/>
        <v>28224633.861269996</v>
      </c>
      <c r="M29" s="100">
        <f t="shared" si="8"/>
        <v>31047097.247396998</v>
      </c>
      <c r="N29" s="108"/>
      <c r="O29" s="45" t="s">
        <v>25</v>
      </c>
    </row>
    <row r="30" spans="2:15" x14ac:dyDescent="0.25">
      <c r="B30" s="92"/>
      <c r="C30" s="87" t="s">
        <v>26</v>
      </c>
      <c r="D30" s="100">
        <f>(D9*D11)+D11</f>
        <v>1316700</v>
      </c>
      <c r="E30" s="112">
        <f>D30+(D30*$D$9)</f>
        <v>1448370</v>
      </c>
      <c r="F30" s="112">
        <f t="shared" ref="F30:M30" si="9">E30+(E30*$D$9)</f>
        <v>1593207</v>
      </c>
      <c r="G30" s="112">
        <f t="shared" si="9"/>
        <v>1752527.7</v>
      </c>
      <c r="H30" s="112">
        <f t="shared" si="9"/>
        <v>1927780.47</v>
      </c>
      <c r="I30" s="112">
        <f t="shared" si="9"/>
        <v>2120558.517</v>
      </c>
      <c r="J30" s="112">
        <f t="shared" si="9"/>
        <v>2332614.3687</v>
      </c>
      <c r="K30" s="112">
        <f t="shared" si="9"/>
        <v>2565875.8055699999</v>
      </c>
      <c r="L30" s="112">
        <f t="shared" si="9"/>
        <v>2822463.3861269997</v>
      </c>
      <c r="M30" s="112">
        <f t="shared" si="9"/>
        <v>3104709.7247396996</v>
      </c>
      <c r="N30" s="114"/>
      <c r="O30" s="45" t="s">
        <v>27</v>
      </c>
    </row>
    <row r="31" spans="2:15" x14ac:dyDescent="0.25">
      <c r="B31" s="92"/>
      <c r="C31" s="87" t="s">
        <v>57</v>
      </c>
      <c r="D31" s="100">
        <f>VLOOKUP(D32,GivenValues!$A$3:$B$8,2)</f>
        <v>76</v>
      </c>
      <c r="E31" s="100">
        <f>VLOOKUP(E32,GivenValues!$A$3:$B$8,2)</f>
        <v>76</v>
      </c>
      <c r="F31" s="100">
        <f>VLOOKUP(F32,GivenValues!$A$3:$B$8,2)</f>
        <v>76</v>
      </c>
      <c r="G31" s="100">
        <f>VLOOKUP(G32,GivenValues!$A$3:$B$8,2)</f>
        <v>76</v>
      </c>
      <c r="H31" s="100">
        <f>VLOOKUP(H32,GivenValues!$A$3:$B$8,2)</f>
        <v>76</v>
      </c>
      <c r="I31" s="100">
        <f>VLOOKUP(I32,GivenValues!$A$3:$B$8,2)</f>
        <v>76</v>
      </c>
      <c r="J31" s="100">
        <f>VLOOKUP(J32,GivenValues!$A$3:$B$8,2)</f>
        <v>76</v>
      </c>
      <c r="K31" s="100">
        <f>VLOOKUP(K32,GivenValues!$A$3:$B$8,2)</f>
        <v>76</v>
      </c>
      <c r="L31" s="100">
        <f>VLOOKUP(L32,GivenValues!$A$3:$B$8,2)</f>
        <v>76</v>
      </c>
      <c r="M31" s="100">
        <f>VLOOKUP(M32,GivenValues!$A$3:$B$8,2)</f>
        <v>76</v>
      </c>
      <c r="N31" s="108"/>
      <c r="O31" s="45" t="s">
        <v>28</v>
      </c>
    </row>
    <row r="32" spans="2:15" x14ac:dyDescent="0.25">
      <c r="B32" s="92"/>
      <c r="C32" s="87" t="s">
        <v>29</v>
      </c>
      <c r="D32" s="100">
        <f t="shared" ref="D32:M32" si="10">$D$7/$D$17</f>
        <v>2.0000005728786032</v>
      </c>
      <c r="E32" s="100">
        <f t="shared" si="10"/>
        <v>2.0000005728786032</v>
      </c>
      <c r="F32" s="100">
        <f t="shared" si="10"/>
        <v>2.0000005728786032</v>
      </c>
      <c r="G32" s="100">
        <f t="shared" si="10"/>
        <v>2.0000005728786032</v>
      </c>
      <c r="H32" s="100">
        <f t="shared" si="10"/>
        <v>2.0000005728786032</v>
      </c>
      <c r="I32" s="100">
        <f t="shared" si="10"/>
        <v>2.0000005728786032</v>
      </c>
      <c r="J32" s="100">
        <f t="shared" si="10"/>
        <v>2.0000005728786032</v>
      </c>
      <c r="K32" s="100">
        <f t="shared" si="10"/>
        <v>2.0000005728786032</v>
      </c>
      <c r="L32" s="100">
        <f t="shared" si="10"/>
        <v>2.0000005728786032</v>
      </c>
      <c r="M32" s="100">
        <f t="shared" si="10"/>
        <v>2.0000005728786032</v>
      </c>
      <c r="N32" s="108"/>
      <c r="O32" s="45" t="s">
        <v>30</v>
      </c>
    </row>
    <row r="33" spans="2:15" x14ac:dyDescent="0.25">
      <c r="B33" s="92"/>
      <c r="C33" s="87" t="s">
        <v>31</v>
      </c>
      <c r="D33" s="105">
        <f>D13*D6</f>
        <v>400000</v>
      </c>
      <c r="E33" s="105">
        <f>D36*$D$13</f>
        <v>374901.84204699541</v>
      </c>
      <c r="F33" s="105">
        <f t="shared" ref="F33:L33" si="11">E36*$D$13</f>
        <v>347293.8682986903</v>
      </c>
      <c r="G33" s="105">
        <f t="shared" si="11"/>
        <v>316925.09717555478</v>
      </c>
      <c r="H33" s="105">
        <f t="shared" si="11"/>
        <v>283519.44894010562</v>
      </c>
      <c r="I33" s="105">
        <f t="shared" si="11"/>
        <v>246773.23588111156</v>
      </c>
      <c r="J33" s="105">
        <f t="shared" si="11"/>
        <v>206352.40151621809</v>
      </c>
      <c r="K33" s="105">
        <f t="shared" si="11"/>
        <v>161889.48371483531</v>
      </c>
      <c r="L33" s="105">
        <f t="shared" si="11"/>
        <v>112980.27413331422</v>
      </c>
      <c r="M33" s="105">
        <f>L36*$D$13</f>
        <v>59180.143593641034</v>
      </c>
      <c r="N33" s="115"/>
      <c r="O33" s="47" t="s">
        <v>53</v>
      </c>
    </row>
    <row r="34" spans="2:15" x14ac:dyDescent="0.25">
      <c r="B34" s="92"/>
      <c r="C34" s="87" t="s">
        <v>32</v>
      </c>
      <c r="D34" s="111">
        <f>D35-D33</f>
        <v>250981.57953004609</v>
      </c>
      <c r="E34" s="111">
        <f t="shared" ref="E34:L34" si="12">E35-E33</f>
        <v>276079.73748305067</v>
      </c>
      <c r="F34" s="111">
        <f t="shared" si="12"/>
        <v>303687.71123135579</v>
      </c>
      <c r="G34" s="111">
        <f t="shared" si="12"/>
        <v>334056.48235449131</v>
      </c>
      <c r="H34" s="111">
        <f t="shared" si="12"/>
        <v>367462.13058994047</v>
      </c>
      <c r="I34" s="111">
        <f t="shared" si="12"/>
        <v>404208.3436489345</v>
      </c>
      <c r="J34" s="111">
        <f t="shared" si="12"/>
        <v>444629.178013828</v>
      </c>
      <c r="K34" s="111">
        <f t="shared" si="12"/>
        <v>489092.09581521078</v>
      </c>
      <c r="L34" s="111">
        <f t="shared" si="12"/>
        <v>538001.30539673183</v>
      </c>
      <c r="M34" s="111">
        <f>M35-M33</f>
        <v>591801.43593640509</v>
      </c>
      <c r="N34" s="115"/>
      <c r="O34" s="47" t="s">
        <v>54</v>
      </c>
    </row>
    <row r="35" spans="2:15" x14ac:dyDescent="0.25">
      <c r="B35" s="92"/>
      <c r="C35" s="87" t="s">
        <v>33</v>
      </c>
      <c r="D35" s="111">
        <f t="shared" ref="D35:M35" si="13">($D$6*$D$13)/(1-(1+$D$13)^-$D$10)</f>
        <v>650981.57953004609</v>
      </c>
      <c r="E35" s="111">
        <f t="shared" si="13"/>
        <v>650981.57953004609</v>
      </c>
      <c r="F35" s="111">
        <f t="shared" si="13"/>
        <v>650981.57953004609</v>
      </c>
      <c r="G35" s="111">
        <f t="shared" si="13"/>
        <v>650981.57953004609</v>
      </c>
      <c r="H35" s="111">
        <f t="shared" si="13"/>
        <v>650981.57953004609</v>
      </c>
      <c r="I35" s="111">
        <f t="shared" si="13"/>
        <v>650981.57953004609</v>
      </c>
      <c r="J35" s="111">
        <f t="shared" si="13"/>
        <v>650981.57953004609</v>
      </c>
      <c r="K35" s="111">
        <f t="shared" si="13"/>
        <v>650981.57953004609</v>
      </c>
      <c r="L35" s="111">
        <f t="shared" si="13"/>
        <v>650981.57953004609</v>
      </c>
      <c r="M35" s="111">
        <f t="shared" si="13"/>
        <v>650981.57953004609</v>
      </c>
      <c r="N35" s="113"/>
      <c r="O35" s="48" t="s">
        <v>56</v>
      </c>
    </row>
    <row r="36" spans="2:15" x14ac:dyDescent="0.25">
      <c r="B36" s="92"/>
      <c r="C36" s="87" t="s">
        <v>34</v>
      </c>
      <c r="D36" s="111">
        <f>D6-D34</f>
        <v>3749018.4204699537</v>
      </c>
      <c r="E36" s="111">
        <f>D36-E34</f>
        <v>3472938.682986903</v>
      </c>
      <c r="F36" s="111">
        <f t="shared" ref="F36:M36" si="14">E36-F34</f>
        <v>3169250.9717555474</v>
      </c>
      <c r="G36" s="111">
        <f t="shared" si="14"/>
        <v>2835194.489401056</v>
      </c>
      <c r="H36" s="111">
        <f t="shared" si="14"/>
        <v>2467732.3588111154</v>
      </c>
      <c r="I36" s="111">
        <f t="shared" si="14"/>
        <v>2063524.0151621809</v>
      </c>
      <c r="J36" s="111">
        <f t="shared" si="14"/>
        <v>1618894.837148353</v>
      </c>
      <c r="K36" s="111">
        <f t="shared" si="14"/>
        <v>1129802.7413331422</v>
      </c>
      <c r="L36" s="111">
        <f t="shared" si="14"/>
        <v>591801.43593641033</v>
      </c>
      <c r="M36" s="111">
        <f t="shared" si="14"/>
        <v>5.2386894822120667E-9</v>
      </c>
      <c r="N36" s="115"/>
      <c r="O36" s="47" t="s">
        <v>52</v>
      </c>
    </row>
    <row r="37" spans="2:15" ht="15.75" thickBot="1" x14ac:dyDescent="0.3">
      <c r="B37" s="97"/>
      <c r="C37" s="103" t="s">
        <v>35</v>
      </c>
      <c r="D37" s="116">
        <f>D20-D35</f>
        <v>6254066.4375020089</v>
      </c>
      <c r="E37" s="116">
        <f t="shared" ref="E37:L37" si="15">E20-E35</f>
        <v>6984571.2392052161</v>
      </c>
      <c r="F37" s="116">
        <f t="shared" si="15"/>
        <v>7788126.5210787421</v>
      </c>
      <c r="G37" s="116">
        <f t="shared" si="15"/>
        <v>8672037.3311396204</v>
      </c>
      <c r="H37" s="116">
        <f t="shared" si="15"/>
        <v>9644339.2222065888</v>
      </c>
      <c r="I37" s="116">
        <f t="shared" si="15"/>
        <v>10713871.302380253</v>
      </c>
      <c r="J37" s="116">
        <f t="shared" si="15"/>
        <v>11890356.590571281</v>
      </c>
      <c r="K37" s="116">
        <f t="shared" si="15"/>
        <v>13184490.407581413</v>
      </c>
      <c r="L37" s="116">
        <f t="shared" si="15"/>
        <v>14608037.606292557</v>
      </c>
      <c r="M37" s="116">
        <f>M20-M35</f>
        <v>16173939.524874818</v>
      </c>
      <c r="N37" s="104"/>
      <c r="O37" s="47" t="s">
        <v>55</v>
      </c>
    </row>
    <row r="38" spans="2:15" x14ac:dyDescent="0.25">
      <c r="D38" s="7"/>
    </row>
  </sheetData>
  <mergeCells count="1">
    <mergeCell ref="F5:I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5534"/>
  <sheetViews>
    <sheetView workbookViewId="0">
      <selection activeCell="F29" sqref="F29"/>
    </sheetView>
  </sheetViews>
  <sheetFormatPr defaultRowHeight="15" x14ac:dyDescent="0.25"/>
  <cols>
    <col min="1" max="1" width="11.42578125" customWidth="1"/>
    <col min="2" max="2" width="27.7109375" bestFit="1" customWidth="1"/>
    <col min="3" max="3" width="55.5703125" bestFit="1" customWidth="1"/>
    <col min="4" max="4" width="25.140625" bestFit="1" customWidth="1"/>
    <col min="5" max="5" width="18.85546875" customWidth="1"/>
    <col min="6" max="10" width="15" bestFit="1" customWidth="1"/>
    <col min="11" max="11" width="21" customWidth="1"/>
    <col min="12" max="13" width="15" bestFit="1" customWidth="1"/>
    <col min="14" max="14" width="19" customWidth="1"/>
    <col min="15" max="15" width="65.28515625" bestFit="1" customWidth="1"/>
  </cols>
  <sheetData>
    <row r="1" spans="1:9" x14ac:dyDescent="0.25">
      <c r="A1" s="20" t="s">
        <v>0</v>
      </c>
    </row>
    <row r="2" spans="1:9" ht="15.75" thickBot="1" x14ac:dyDescent="0.3">
      <c r="A2" s="1"/>
    </row>
    <row r="3" spans="1:9" ht="15.75" thickBot="1" x14ac:dyDescent="0.3">
      <c r="B3" s="89" t="s">
        <v>1</v>
      </c>
      <c r="C3" s="90"/>
      <c r="D3" s="91"/>
    </row>
    <row r="4" spans="1:9" x14ac:dyDescent="0.25">
      <c r="B4" s="92"/>
      <c r="C4" s="87" t="s">
        <v>2</v>
      </c>
      <c r="D4" s="93">
        <v>0.52</v>
      </c>
      <c r="F4" s="121" t="s">
        <v>83</v>
      </c>
      <c r="G4" s="122"/>
      <c r="H4" s="122"/>
      <c r="I4" s="123"/>
    </row>
    <row r="5" spans="1:9" x14ac:dyDescent="0.25">
      <c r="B5" s="92"/>
      <c r="C5" s="87" t="s">
        <v>3</v>
      </c>
      <c r="D5" s="93">
        <v>0.95</v>
      </c>
      <c r="F5" s="124"/>
      <c r="G5" s="125"/>
      <c r="H5" s="125"/>
      <c r="I5" s="126"/>
    </row>
    <row r="6" spans="1:9" x14ac:dyDescent="0.25">
      <c r="B6" s="92"/>
      <c r="C6" s="87" t="s">
        <v>4</v>
      </c>
      <c r="D6" s="93">
        <v>4000000</v>
      </c>
      <c r="F6" s="124"/>
      <c r="G6" s="125"/>
      <c r="H6" s="125"/>
      <c r="I6" s="126"/>
    </row>
    <row r="7" spans="1:9" x14ac:dyDescent="0.25">
      <c r="B7" s="92"/>
      <c r="C7" s="87" t="s">
        <v>5</v>
      </c>
      <c r="D7" s="93">
        <v>2.5</v>
      </c>
      <c r="F7" s="124"/>
      <c r="G7" s="125"/>
      <c r="H7" s="125"/>
      <c r="I7" s="126"/>
    </row>
    <row r="8" spans="1:9" ht="17.25" customHeight="1" thickBot="1" x14ac:dyDescent="0.3">
      <c r="B8" s="92"/>
      <c r="C8" s="88" t="s">
        <v>6</v>
      </c>
      <c r="D8" s="93">
        <v>5</v>
      </c>
      <c r="F8" s="127"/>
      <c r="G8" s="128"/>
      <c r="H8" s="128"/>
      <c r="I8" s="129"/>
    </row>
    <row r="9" spans="1:9" x14ac:dyDescent="0.25">
      <c r="B9" s="92"/>
      <c r="C9" s="87" t="s">
        <v>44</v>
      </c>
      <c r="D9" s="94">
        <v>0.1</v>
      </c>
    </row>
    <row r="10" spans="1:9" x14ac:dyDescent="0.25">
      <c r="B10" s="92"/>
      <c r="C10" s="87" t="s">
        <v>45</v>
      </c>
      <c r="D10" s="95">
        <v>10</v>
      </c>
    </row>
    <row r="11" spans="1:9" x14ac:dyDescent="0.25">
      <c r="B11" s="92"/>
      <c r="C11" s="87" t="s">
        <v>36</v>
      </c>
      <c r="D11" s="95">
        <f>VLOOKUP(D23-1,GivenValues!F2:G18,2)*1000</f>
        <v>1197000</v>
      </c>
    </row>
    <row r="12" spans="1:9" x14ac:dyDescent="0.25">
      <c r="B12" s="92"/>
      <c r="C12" s="87" t="s">
        <v>46</v>
      </c>
      <c r="D12" s="95">
        <f>GivenValues!I39</f>
        <v>10</v>
      </c>
    </row>
    <row r="13" spans="1:9" x14ac:dyDescent="0.25">
      <c r="B13" s="92"/>
      <c r="C13" s="87" t="s">
        <v>7</v>
      </c>
      <c r="D13" s="96">
        <v>0.1</v>
      </c>
    </row>
    <row r="14" spans="1:9" ht="15.75" thickBot="1" x14ac:dyDescent="0.3">
      <c r="B14" s="97"/>
      <c r="C14" s="98" t="s">
        <v>8</v>
      </c>
      <c r="D14" s="99">
        <v>0.1</v>
      </c>
    </row>
    <row r="15" spans="1:9" ht="15.75" thickBot="1" x14ac:dyDescent="0.3">
      <c r="B15" s="2"/>
      <c r="C15" s="26"/>
      <c r="D15" s="5"/>
    </row>
    <row r="16" spans="1:9" x14ac:dyDescent="0.25">
      <c r="B16" s="89" t="s">
        <v>9</v>
      </c>
      <c r="C16" s="101"/>
      <c r="D16" s="102"/>
      <c r="F16" s="7"/>
      <c r="G16" s="7"/>
    </row>
    <row r="17" spans="2:15" ht="15.75" thickBot="1" x14ac:dyDescent="0.3">
      <c r="B17" s="97"/>
      <c r="C17" s="103" t="s">
        <v>47</v>
      </c>
      <c r="D17" s="104">
        <f ca="1">_xll.PsiSenParam(0.52,5)</f>
        <v>2.76</v>
      </c>
    </row>
    <row r="18" spans="2:15" ht="15.75" thickBot="1" x14ac:dyDescent="0.3">
      <c r="C18" s="27"/>
    </row>
    <row r="19" spans="2:15" x14ac:dyDescent="0.25">
      <c r="B19" s="89" t="s">
        <v>10</v>
      </c>
      <c r="C19" s="101"/>
      <c r="D19" s="106">
        <v>2000</v>
      </c>
      <c r="E19" s="106">
        <f>D19+1</f>
        <v>2001</v>
      </c>
      <c r="F19" s="106">
        <f t="shared" ref="F19:N19" si="0">E19+1</f>
        <v>2002</v>
      </c>
      <c r="G19" s="106">
        <f t="shared" si="0"/>
        <v>2003</v>
      </c>
      <c r="H19" s="106">
        <f t="shared" si="0"/>
        <v>2004</v>
      </c>
      <c r="I19" s="106">
        <f>H19+1</f>
        <v>2005</v>
      </c>
      <c r="J19" s="106">
        <f t="shared" si="0"/>
        <v>2006</v>
      </c>
      <c r="K19" s="106">
        <f t="shared" si="0"/>
        <v>2007</v>
      </c>
      <c r="L19" s="106">
        <f>K19+1</f>
        <v>2008</v>
      </c>
      <c r="M19" s="106">
        <f t="shared" si="0"/>
        <v>2009</v>
      </c>
      <c r="N19" s="107">
        <f t="shared" si="0"/>
        <v>2010</v>
      </c>
      <c r="O19" s="44" t="s">
        <v>58</v>
      </c>
    </row>
    <row r="20" spans="2:15" x14ac:dyDescent="0.25">
      <c r="B20" s="92"/>
      <c r="C20" s="87" t="s">
        <v>11</v>
      </c>
      <c r="D20" s="100">
        <f ca="1">D24-D25</f>
        <v>-400000</v>
      </c>
      <c r="E20" s="100">
        <f t="shared" ref="E20:M20" ca="1" si="1">E24-E25</f>
        <v>-400000</v>
      </c>
      <c r="F20" s="100">
        <f t="shared" ca="1" si="1"/>
        <v>-400000</v>
      </c>
      <c r="G20" s="100">
        <f t="shared" ca="1" si="1"/>
        <v>-400000</v>
      </c>
      <c r="H20" s="100">
        <f t="shared" ca="1" si="1"/>
        <v>-400000</v>
      </c>
      <c r="I20" s="100">
        <f t="shared" ca="1" si="1"/>
        <v>-400000</v>
      </c>
      <c r="J20" s="100">
        <f t="shared" ca="1" si="1"/>
        <v>-400000</v>
      </c>
      <c r="K20" s="100">
        <f t="shared" ca="1" si="1"/>
        <v>-400000</v>
      </c>
      <c r="L20" s="100">
        <f t="shared" ca="1" si="1"/>
        <v>-400000</v>
      </c>
      <c r="M20" s="100">
        <f t="shared" ca="1" si="1"/>
        <v>-400000</v>
      </c>
      <c r="N20" s="108"/>
      <c r="O20" s="45" t="s">
        <v>12</v>
      </c>
    </row>
    <row r="21" spans="2:15" ht="15.75" thickBot="1" x14ac:dyDescent="0.3">
      <c r="B21" s="97"/>
      <c r="C21" s="103" t="s">
        <v>13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>
        <f ca="1">NPV(D13,D37:M37)</f>
        <v>-6457826.8422818668</v>
      </c>
      <c r="O21" s="45" t="s">
        <v>14</v>
      </c>
    </row>
    <row r="22" spans="2:15" ht="15.75" thickBot="1" x14ac:dyDescent="0.3">
      <c r="C22" s="27"/>
      <c r="O22" s="45"/>
    </row>
    <row r="23" spans="2:15" x14ac:dyDescent="0.25">
      <c r="B23" s="89" t="s">
        <v>15</v>
      </c>
      <c r="C23" s="101"/>
      <c r="D23" s="106">
        <v>2000</v>
      </c>
      <c r="E23" s="106">
        <f>D23+1</f>
        <v>2001</v>
      </c>
      <c r="F23" s="106">
        <f t="shared" ref="F23:M23" si="2">E23+1</f>
        <v>2002</v>
      </c>
      <c r="G23" s="106">
        <f t="shared" si="2"/>
        <v>2003</v>
      </c>
      <c r="H23" s="106">
        <f t="shared" si="2"/>
        <v>2004</v>
      </c>
      <c r="I23" s="106">
        <f>H23+1</f>
        <v>2005</v>
      </c>
      <c r="J23" s="106">
        <f t="shared" si="2"/>
        <v>2006</v>
      </c>
      <c r="K23" s="106">
        <f t="shared" si="2"/>
        <v>2007</v>
      </c>
      <c r="L23" s="106">
        <f>K23+1</f>
        <v>2008</v>
      </c>
      <c r="M23" s="106">
        <f t="shared" si="2"/>
        <v>2009</v>
      </c>
      <c r="N23" s="107"/>
      <c r="O23" s="45"/>
    </row>
    <row r="24" spans="2:15" x14ac:dyDescent="0.25">
      <c r="B24" s="92"/>
      <c r="C24" s="87" t="s">
        <v>16</v>
      </c>
      <c r="D24" s="100">
        <f ca="1">D28*$D$17</f>
        <v>0</v>
      </c>
      <c r="E24" s="100">
        <f ca="1">E28*$D$17</f>
        <v>0</v>
      </c>
      <c r="F24" s="100">
        <f t="shared" ref="F24:M24" ca="1" si="3">F28*$D$17</f>
        <v>0</v>
      </c>
      <c r="G24" s="100">
        <f t="shared" ca="1" si="3"/>
        <v>0</v>
      </c>
      <c r="H24" s="100">
        <f t="shared" ca="1" si="3"/>
        <v>0</v>
      </c>
      <c r="I24" s="100">
        <f t="shared" ca="1" si="3"/>
        <v>0</v>
      </c>
      <c r="J24" s="100">
        <f t="shared" ca="1" si="3"/>
        <v>0</v>
      </c>
      <c r="K24" s="100">
        <f t="shared" ca="1" si="3"/>
        <v>0</v>
      </c>
      <c r="L24" s="100">
        <f t="shared" ca="1" si="3"/>
        <v>0</v>
      </c>
      <c r="M24" s="100">
        <f t="shared" ca="1" si="3"/>
        <v>0</v>
      </c>
      <c r="N24" s="108"/>
      <c r="O24" s="45" t="s">
        <v>17</v>
      </c>
    </row>
    <row r="25" spans="2:15" x14ac:dyDescent="0.25">
      <c r="B25" s="92"/>
      <c r="C25" s="87" t="s">
        <v>18</v>
      </c>
      <c r="D25" s="111">
        <f ca="1">D26+D27</f>
        <v>400000</v>
      </c>
      <c r="E25" s="111">
        <f ca="1">E26+E27</f>
        <v>400000</v>
      </c>
      <c r="F25" s="111">
        <f t="shared" ref="F25:M25" ca="1" si="4">F26+F27</f>
        <v>400000</v>
      </c>
      <c r="G25" s="111">
        <f t="shared" ca="1" si="4"/>
        <v>400000</v>
      </c>
      <c r="H25" s="111">
        <f t="shared" ca="1" si="4"/>
        <v>400000</v>
      </c>
      <c r="I25" s="111">
        <f t="shared" ca="1" si="4"/>
        <v>400000</v>
      </c>
      <c r="J25" s="111">
        <f t="shared" ca="1" si="4"/>
        <v>400000</v>
      </c>
      <c r="K25" s="111">
        <f t="shared" ca="1" si="4"/>
        <v>400000</v>
      </c>
      <c r="L25" s="111">
        <f t="shared" ca="1" si="4"/>
        <v>400000</v>
      </c>
      <c r="M25" s="111">
        <f t="shared" ca="1" si="4"/>
        <v>400000</v>
      </c>
      <c r="N25" s="113"/>
      <c r="O25" s="45" t="s">
        <v>19</v>
      </c>
    </row>
    <row r="26" spans="2:15" x14ac:dyDescent="0.25">
      <c r="B26" s="92"/>
      <c r="C26" s="87" t="s">
        <v>20</v>
      </c>
      <c r="D26" s="111">
        <f ca="1">D28*$D$4</f>
        <v>0</v>
      </c>
      <c r="E26" s="111">
        <f t="shared" ref="E26:M26" ca="1" si="5">E28*$D$4</f>
        <v>0</v>
      </c>
      <c r="F26" s="111">
        <f t="shared" ca="1" si="5"/>
        <v>0</v>
      </c>
      <c r="G26" s="111">
        <f t="shared" ca="1" si="5"/>
        <v>0</v>
      </c>
      <c r="H26" s="111">
        <f t="shared" ca="1" si="5"/>
        <v>0</v>
      </c>
      <c r="I26" s="111">
        <f t="shared" ca="1" si="5"/>
        <v>0</v>
      </c>
      <c r="J26" s="111">
        <f t="shared" ca="1" si="5"/>
        <v>0</v>
      </c>
      <c r="K26" s="111">
        <f t="shared" ca="1" si="5"/>
        <v>0</v>
      </c>
      <c r="L26" s="111">
        <f t="shared" ca="1" si="5"/>
        <v>0</v>
      </c>
      <c r="M26" s="111">
        <f t="shared" ca="1" si="5"/>
        <v>0</v>
      </c>
      <c r="N26" s="113"/>
      <c r="O26" s="45" t="s">
        <v>21</v>
      </c>
    </row>
    <row r="27" spans="2:15" x14ac:dyDescent="0.25">
      <c r="B27" s="92"/>
      <c r="C27" s="87" t="s">
        <v>22</v>
      </c>
      <c r="D27" s="111">
        <f t="shared" ref="D27:M27" si="6">$D$14*$D$6</f>
        <v>400000</v>
      </c>
      <c r="E27" s="111">
        <f t="shared" si="6"/>
        <v>400000</v>
      </c>
      <c r="F27" s="111">
        <f t="shared" si="6"/>
        <v>400000</v>
      </c>
      <c r="G27" s="111">
        <f t="shared" si="6"/>
        <v>400000</v>
      </c>
      <c r="H27" s="111">
        <f t="shared" si="6"/>
        <v>400000</v>
      </c>
      <c r="I27" s="111">
        <f t="shared" si="6"/>
        <v>400000</v>
      </c>
      <c r="J27" s="111">
        <f t="shared" si="6"/>
        <v>400000</v>
      </c>
      <c r="K27" s="111">
        <f t="shared" si="6"/>
        <v>400000</v>
      </c>
      <c r="L27" s="111">
        <f t="shared" si="6"/>
        <v>400000</v>
      </c>
      <c r="M27" s="111">
        <f t="shared" si="6"/>
        <v>400000</v>
      </c>
      <c r="N27" s="113"/>
      <c r="O27" s="45" t="s">
        <v>23</v>
      </c>
    </row>
    <row r="28" spans="2:15" x14ac:dyDescent="0.25">
      <c r="B28" s="92"/>
      <c r="C28" s="87" t="s">
        <v>51</v>
      </c>
      <c r="D28" s="100">
        <f ca="1">D29*D31/100</f>
        <v>0</v>
      </c>
      <c r="E28" s="100">
        <f ca="1">E29*E31/100</f>
        <v>0</v>
      </c>
      <c r="F28" s="100">
        <f t="shared" ref="F28:M28" ca="1" si="7">F29*F31/100</f>
        <v>0</v>
      </c>
      <c r="G28" s="100">
        <f t="shared" ca="1" si="7"/>
        <v>0</v>
      </c>
      <c r="H28" s="100">
        <f t="shared" ca="1" si="7"/>
        <v>0</v>
      </c>
      <c r="I28" s="100">
        <f t="shared" ca="1" si="7"/>
        <v>0</v>
      </c>
      <c r="J28" s="100">
        <f t="shared" ca="1" si="7"/>
        <v>0</v>
      </c>
      <c r="K28" s="100">
        <f t="shared" ca="1" si="7"/>
        <v>0</v>
      </c>
      <c r="L28" s="100">
        <f t="shared" ca="1" si="7"/>
        <v>0</v>
      </c>
      <c r="M28" s="100">
        <f t="shared" ca="1" si="7"/>
        <v>0</v>
      </c>
      <c r="N28" s="108"/>
      <c r="O28" s="46" t="s">
        <v>24</v>
      </c>
    </row>
    <row r="29" spans="2:15" x14ac:dyDescent="0.25">
      <c r="B29" s="92"/>
      <c r="C29" s="87" t="s">
        <v>50</v>
      </c>
      <c r="D29" s="100">
        <f>D30*$D$12</f>
        <v>13167000</v>
      </c>
      <c r="E29" s="100">
        <f t="shared" ref="E29:M29" si="8">E30*$D$12</f>
        <v>14483700</v>
      </c>
      <c r="F29" s="100">
        <f t="shared" si="8"/>
        <v>15932070</v>
      </c>
      <c r="G29" s="100">
        <f t="shared" si="8"/>
        <v>17525277</v>
      </c>
      <c r="H29" s="100">
        <f t="shared" si="8"/>
        <v>19277804.699999999</v>
      </c>
      <c r="I29" s="100">
        <f t="shared" si="8"/>
        <v>21205585.170000002</v>
      </c>
      <c r="J29" s="100">
        <f t="shared" si="8"/>
        <v>23326143.686999999</v>
      </c>
      <c r="K29" s="100">
        <f t="shared" si="8"/>
        <v>25658758.055699997</v>
      </c>
      <c r="L29" s="100">
        <f t="shared" si="8"/>
        <v>28224633.861269996</v>
      </c>
      <c r="M29" s="100">
        <f t="shared" si="8"/>
        <v>31047097.247396998</v>
      </c>
      <c r="N29" s="108"/>
      <c r="O29" s="45" t="s">
        <v>25</v>
      </c>
    </row>
    <row r="30" spans="2:15" x14ac:dyDescent="0.25">
      <c r="B30" s="92"/>
      <c r="C30" s="87" t="s">
        <v>26</v>
      </c>
      <c r="D30" s="100">
        <f>(D9*D11)+D11</f>
        <v>1316700</v>
      </c>
      <c r="E30" s="112">
        <f>D30+(D30*$D$9)</f>
        <v>1448370</v>
      </c>
      <c r="F30" s="112">
        <f t="shared" ref="F30:M30" si="9">E30+(E30*$D$9)</f>
        <v>1593207</v>
      </c>
      <c r="G30" s="112">
        <f t="shared" si="9"/>
        <v>1752527.7</v>
      </c>
      <c r="H30" s="112">
        <f t="shared" si="9"/>
        <v>1927780.47</v>
      </c>
      <c r="I30" s="112">
        <f t="shared" si="9"/>
        <v>2120558.517</v>
      </c>
      <c r="J30" s="112">
        <f t="shared" si="9"/>
        <v>2332614.3687</v>
      </c>
      <c r="K30" s="112">
        <f t="shared" si="9"/>
        <v>2565875.8055699999</v>
      </c>
      <c r="L30" s="112">
        <f t="shared" si="9"/>
        <v>2822463.3861269997</v>
      </c>
      <c r="M30" s="112">
        <f t="shared" si="9"/>
        <v>3104709.7247396996</v>
      </c>
      <c r="N30" s="114"/>
      <c r="O30" s="45" t="s">
        <v>27</v>
      </c>
    </row>
    <row r="31" spans="2:15" x14ac:dyDescent="0.25">
      <c r="B31" s="92"/>
      <c r="C31" s="87" t="s">
        <v>57</v>
      </c>
      <c r="D31" s="100">
        <f ca="1">VLOOKUP(D32,GivenValues!$A$3:$B$8,2)</f>
        <v>0</v>
      </c>
      <c r="E31" s="100">
        <f ca="1">VLOOKUP(E32,GivenValues!$A$3:$B$8,2)</f>
        <v>0</v>
      </c>
      <c r="F31" s="100">
        <f ca="1">VLOOKUP(F32,GivenValues!$A$3:$B$8,2)</f>
        <v>0</v>
      </c>
      <c r="G31" s="100">
        <f ca="1">VLOOKUP(G32,GivenValues!$A$3:$B$8,2)</f>
        <v>0</v>
      </c>
      <c r="H31" s="100">
        <f ca="1">VLOOKUP(H32,GivenValues!$A$3:$B$8,2)</f>
        <v>0</v>
      </c>
      <c r="I31" s="100">
        <f ca="1">VLOOKUP(I32,GivenValues!$A$3:$B$8,2)</f>
        <v>0</v>
      </c>
      <c r="J31" s="100">
        <f ca="1">VLOOKUP(J32,GivenValues!$A$3:$B$8,2)</f>
        <v>0</v>
      </c>
      <c r="K31" s="100">
        <f ca="1">VLOOKUP(K32,GivenValues!$A$3:$B$8,2)</f>
        <v>0</v>
      </c>
      <c r="L31" s="100">
        <f ca="1">VLOOKUP(L32,GivenValues!$A$3:$B$8,2)</f>
        <v>0</v>
      </c>
      <c r="M31" s="100">
        <f ca="1">VLOOKUP(M32,GivenValues!$A$3:$B$8,2)</f>
        <v>0</v>
      </c>
      <c r="N31" s="108"/>
      <c r="O31" s="45" t="s">
        <v>28</v>
      </c>
    </row>
    <row r="32" spans="2:15" x14ac:dyDescent="0.25">
      <c r="B32" s="92"/>
      <c r="C32" s="87" t="s">
        <v>29</v>
      </c>
      <c r="D32" s="100">
        <f t="shared" ref="D32:M32" ca="1" si="10">$D$7/$D$17</f>
        <v>0.90579710144927539</v>
      </c>
      <c r="E32" s="100">
        <f t="shared" ca="1" si="10"/>
        <v>0.90579710144927539</v>
      </c>
      <c r="F32" s="100">
        <f t="shared" ca="1" si="10"/>
        <v>0.90579710144927539</v>
      </c>
      <c r="G32" s="100">
        <f t="shared" ca="1" si="10"/>
        <v>0.90579710144927539</v>
      </c>
      <c r="H32" s="100">
        <f t="shared" ca="1" si="10"/>
        <v>0.90579710144927539</v>
      </c>
      <c r="I32" s="100">
        <f t="shared" ca="1" si="10"/>
        <v>0.90579710144927539</v>
      </c>
      <c r="J32" s="100">
        <f t="shared" ca="1" si="10"/>
        <v>0.90579710144927539</v>
      </c>
      <c r="K32" s="100">
        <f t="shared" ca="1" si="10"/>
        <v>0.90579710144927539</v>
      </c>
      <c r="L32" s="100">
        <f t="shared" ca="1" si="10"/>
        <v>0.90579710144927539</v>
      </c>
      <c r="M32" s="100">
        <f t="shared" ca="1" si="10"/>
        <v>0.90579710144927539</v>
      </c>
      <c r="N32" s="108"/>
      <c r="O32" s="45" t="s">
        <v>30</v>
      </c>
    </row>
    <row r="33" spans="2:15" x14ac:dyDescent="0.25">
      <c r="B33" s="92"/>
      <c r="C33" s="87" t="s">
        <v>31</v>
      </c>
      <c r="D33" s="105">
        <f>D13*D6</f>
        <v>400000</v>
      </c>
      <c r="E33" s="105">
        <f>D36*$D$13</f>
        <v>374901.84204699541</v>
      </c>
      <c r="F33" s="105">
        <f t="shared" ref="F33:L33" si="11">E36*$D$13</f>
        <v>347293.8682986903</v>
      </c>
      <c r="G33" s="105">
        <f t="shared" si="11"/>
        <v>316925.09717555478</v>
      </c>
      <c r="H33" s="105">
        <f t="shared" si="11"/>
        <v>283519.44894010562</v>
      </c>
      <c r="I33" s="105">
        <f t="shared" si="11"/>
        <v>246773.23588111156</v>
      </c>
      <c r="J33" s="105">
        <f t="shared" si="11"/>
        <v>206352.40151621809</v>
      </c>
      <c r="K33" s="105">
        <f t="shared" si="11"/>
        <v>161889.48371483531</v>
      </c>
      <c r="L33" s="105">
        <f t="shared" si="11"/>
        <v>112980.27413331422</v>
      </c>
      <c r="M33" s="105">
        <f>L36*$D$13</f>
        <v>59180.143593641034</v>
      </c>
      <c r="N33" s="115"/>
      <c r="O33" s="47" t="s">
        <v>53</v>
      </c>
    </row>
    <row r="34" spans="2:15" x14ac:dyDescent="0.25">
      <c r="B34" s="92"/>
      <c r="C34" s="87" t="s">
        <v>32</v>
      </c>
      <c r="D34" s="111">
        <f>D35-D33</f>
        <v>250981.57953004609</v>
      </c>
      <c r="E34" s="111">
        <f t="shared" ref="E34:L34" si="12">E35-E33</f>
        <v>276079.73748305067</v>
      </c>
      <c r="F34" s="111">
        <f t="shared" si="12"/>
        <v>303687.71123135579</v>
      </c>
      <c r="G34" s="111">
        <f t="shared" si="12"/>
        <v>334056.48235449131</v>
      </c>
      <c r="H34" s="111">
        <f t="shared" si="12"/>
        <v>367462.13058994047</v>
      </c>
      <c r="I34" s="111">
        <f t="shared" si="12"/>
        <v>404208.3436489345</v>
      </c>
      <c r="J34" s="111">
        <f t="shared" si="12"/>
        <v>444629.178013828</v>
      </c>
      <c r="K34" s="111">
        <f t="shared" si="12"/>
        <v>489092.09581521078</v>
      </c>
      <c r="L34" s="111">
        <f t="shared" si="12"/>
        <v>538001.30539673183</v>
      </c>
      <c r="M34" s="111">
        <f>M35-M33</f>
        <v>591801.43593640509</v>
      </c>
      <c r="N34" s="115"/>
      <c r="O34" s="47" t="s">
        <v>54</v>
      </c>
    </row>
    <row r="35" spans="2:15" x14ac:dyDescent="0.25">
      <c r="B35" s="92"/>
      <c r="C35" s="87" t="s">
        <v>33</v>
      </c>
      <c r="D35" s="111">
        <f t="shared" ref="D35:M35" si="13">($D$6*$D$13)/(1-(1+$D$13)^-$D$10)</f>
        <v>650981.57953004609</v>
      </c>
      <c r="E35" s="111">
        <f t="shared" si="13"/>
        <v>650981.57953004609</v>
      </c>
      <c r="F35" s="111">
        <f t="shared" si="13"/>
        <v>650981.57953004609</v>
      </c>
      <c r="G35" s="111">
        <f t="shared" si="13"/>
        <v>650981.57953004609</v>
      </c>
      <c r="H35" s="111">
        <f t="shared" si="13"/>
        <v>650981.57953004609</v>
      </c>
      <c r="I35" s="111">
        <f t="shared" si="13"/>
        <v>650981.57953004609</v>
      </c>
      <c r="J35" s="111">
        <f t="shared" si="13"/>
        <v>650981.57953004609</v>
      </c>
      <c r="K35" s="111">
        <f t="shared" si="13"/>
        <v>650981.57953004609</v>
      </c>
      <c r="L35" s="111">
        <f t="shared" si="13"/>
        <v>650981.57953004609</v>
      </c>
      <c r="M35" s="111">
        <f t="shared" si="13"/>
        <v>650981.57953004609</v>
      </c>
      <c r="N35" s="113"/>
      <c r="O35" s="48" t="s">
        <v>56</v>
      </c>
    </row>
    <row r="36" spans="2:15" x14ac:dyDescent="0.25">
      <c r="B36" s="92"/>
      <c r="C36" s="87" t="s">
        <v>34</v>
      </c>
      <c r="D36" s="111">
        <f>D6-D34</f>
        <v>3749018.4204699537</v>
      </c>
      <c r="E36" s="111">
        <f>D36-E34</f>
        <v>3472938.682986903</v>
      </c>
      <c r="F36" s="111">
        <f t="shared" ref="F36:M36" si="14">E36-F34</f>
        <v>3169250.9717555474</v>
      </c>
      <c r="G36" s="111">
        <f t="shared" si="14"/>
        <v>2835194.489401056</v>
      </c>
      <c r="H36" s="111">
        <f t="shared" si="14"/>
        <v>2467732.3588111154</v>
      </c>
      <c r="I36" s="111">
        <f t="shared" si="14"/>
        <v>2063524.0151621809</v>
      </c>
      <c r="J36" s="111">
        <f t="shared" si="14"/>
        <v>1618894.837148353</v>
      </c>
      <c r="K36" s="111">
        <f t="shared" si="14"/>
        <v>1129802.7413331422</v>
      </c>
      <c r="L36" s="111">
        <f t="shared" si="14"/>
        <v>591801.43593641033</v>
      </c>
      <c r="M36" s="111">
        <f t="shared" si="14"/>
        <v>5.2386894822120667E-9</v>
      </c>
      <c r="N36" s="115"/>
      <c r="O36" s="47" t="s">
        <v>52</v>
      </c>
    </row>
    <row r="37" spans="2:15" ht="15.75" thickBot="1" x14ac:dyDescent="0.3">
      <c r="B37" s="97"/>
      <c r="C37" s="103" t="s">
        <v>35</v>
      </c>
      <c r="D37" s="116">
        <f ca="1">D20-D35</f>
        <v>-1050981.5795300461</v>
      </c>
      <c r="E37" s="116">
        <f t="shared" ref="E37:L37" ca="1" si="15">E20-E35</f>
        <v>-1050981.5795300461</v>
      </c>
      <c r="F37" s="116">
        <f t="shared" ca="1" si="15"/>
        <v>-1050981.5795300461</v>
      </c>
      <c r="G37" s="116">
        <f t="shared" ca="1" si="15"/>
        <v>-1050981.5795300461</v>
      </c>
      <c r="H37" s="116">
        <f t="shared" ca="1" si="15"/>
        <v>-1050981.5795300461</v>
      </c>
      <c r="I37" s="116">
        <f t="shared" ca="1" si="15"/>
        <v>-1050981.5795300461</v>
      </c>
      <c r="J37" s="116">
        <f t="shared" ca="1" si="15"/>
        <v>-1050981.5795300461</v>
      </c>
      <c r="K37" s="116">
        <f t="shared" ca="1" si="15"/>
        <v>-1050981.5795300461</v>
      </c>
      <c r="L37" s="116">
        <f t="shared" ca="1" si="15"/>
        <v>-1050981.5795300461</v>
      </c>
      <c r="M37" s="116">
        <f ca="1">M20-M35</f>
        <v>-1050981.5795300461</v>
      </c>
      <c r="N37" s="104"/>
      <c r="O37" s="47" t="s">
        <v>55</v>
      </c>
    </row>
    <row r="38" spans="2:15" x14ac:dyDescent="0.25">
      <c r="D38" s="7"/>
    </row>
    <row r="65534" spans="255:255" x14ac:dyDescent="0.25">
      <c r="IU65534">
        <v>0</v>
      </c>
    </row>
  </sheetData>
  <mergeCells count="1">
    <mergeCell ref="F4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9" sqref="B19"/>
    </sheetView>
  </sheetViews>
  <sheetFormatPr defaultRowHeight="15" x14ac:dyDescent="0.25"/>
  <cols>
    <col min="1" max="1" width="9.7109375" bestFit="1" customWidth="1"/>
    <col min="2" max="2" width="37.7109375" bestFit="1" customWidth="1"/>
  </cols>
  <sheetData>
    <row r="1" spans="1:2" ht="15.75" thickBot="1" x14ac:dyDescent="0.3">
      <c r="A1" s="58" t="s">
        <v>66</v>
      </c>
      <c r="B1" s="59" t="s">
        <v>67</v>
      </c>
    </row>
    <row r="2" spans="1:2" x14ac:dyDescent="0.25">
      <c r="A2" s="53">
        <v>0.52</v>
      </c>
      <c r="B2" s="54">
        <v>-6457826.8422818696</v>
      </c>
    </row>
    <row r="3" spans="1:2" x14ac:dyDescent="0.25">
      <c r="A3" s="53">
        <v>0.63200000000000001</v>
      </c>
      <c r="B3" s="54">
        <v>6948573.1577181239</v>
      </c>
    </row>
    <row r="4" spans="1:2" x14ac:dyDescent="0.25">
      <c r="A4" s="53">
        <v>0.74399999999999999</v>
      </c>
      <c r="B4" s="54">
        <v>20354973.157718118</v>
      </c>
    </row>
    <row r="5" spans="1:2" x14ac:dyDescent="0.25">
      <c r="A5" s="53">
        <v>0.85599999999999998</v>
      </c>
      <c r="B5" s="54">
        <v>31750413.157718133</v>
      </c>
    </row>
    <row r="6" spans="1:2" x14ac:dyDescent="0.25">
      <c r="A6" s="53">
        <v>0.96799999999999997</v>
      </c>
      <c r="B6" s="54">
        <v>44486493.157718122</v>
      </c>
    </row>
    <row r="7" spans="1:2" x14ac:dyDescent="0.25">
      <c r="A7" s="53">
        <v>1.08</v>
      </c>
      <c r="B7" s="54">
        <v>44486493.157718122</v>
      </c>
    </row>
    <row r="8" spans="1:2" x14ac:dyDescent="0.25">
      <c r="A8" s="86">
        <v>1.1920000000000002</v>
      </c>
      <c r="B8" s="74">
        <v>54675357.157718129</v>
      </c>
    </row>
    <row r="9" spans="1:2" x14ac:dyDescent="0.25">
      <c r="A9" s="86">
        <v>1.3040000000000003</v>
      </c>
      <c r="B9" s="74">
        <v>32018541.157718126</v>
      </c>
    </row>
    <row r="10" spans="1:2" x14ac:dyDescent="0.25">
      <c r="A10" s="53">
        <v>1.4160000000000004</v>
      </c>
      <c r="B10" s="54">
        <v>37515165.157718129</v>
      </c>
    </row>
    <row r="11" spans="1:2" x14ac:dyDescent="0.25">
      <c r="A11" s="53">
        <v>1.5280000000000005</v>
      </c>
      <c r="B11" s="54">
        <v>43011789.157718129</v>
      </c>
    </row>
    <row r="12" spans="1:2" x14ac:dyDescent="0.25">
      <c r="A12" s="53">
        <v>1.6400000000000006</v>
      </c>
      <c r="B12" s="54">
        <v>48508413.157718122</v>
      </c>
    </row>
    <row r="13" spans="1:2" x14ac:dyDescent="0.25">
      <c r="A13" s="53">
        <v>1.7520000000000007</v>
      </c>
      <c r="B13" s="54">
        <v>9763917.1577181257</v>
      </c>
    </row>
    <row r="14" spans="1:2" x14ac:dyDescent="0.25">
      <c r="A14" s="53">
        <v>1.8640000000000008</v>
      </c>
      <c r="B14" s="54">
        <v>11238621.157718129</v>
      </c>
    </row>
    <row r="15" spans="1:2" x14ac:dyDescent="0.25">
      <c r="A15" s="53">
        <v>1.9760000000000009</v>
      </c>
      <c r="B15" s="54">
        <v>12713325.157718128</v>
      </c>
    </row>
    <row r="16" spans="1:2" x14ac:dyDescent="0.25">
      <c r="A16" s="53">
        <v>2.088000000000001</v>
      </c>
      <c r="B16" s="54">
        <v>14188029.157718128</v>
      </c>
    </row>
    <row r="17" spans="1:2" x14ac:dyDescent="0.25">
      <c r="A17" s="53">
        <v>2.2000000000000011</v>
      </c>
      <c r="B17" s="54">
        <v>15662733.157718128</v>
      </c>
    </row>
    <row r="18" spans="1:2" x14ac:dyDescent="0.25">
      <c r="A18" s="53">
        <v>2.3120000000000012</v>
      </c>
      <c r="B18" s="54">
        <v>17137437.157718129</v>
      </c>
    </row>
    <row r="19" spans="1:2" x14ac:dyDescent="0.25">
      <c r="A19" s="53">
        <v>2.4240000000000013</v>
      </c>
      <c r="B19" s="54">
        <v>18612141.157718129</v>
      </c>
    </row>
    <row r="20" spans="1:2" x14ac:dyDescent="0.25">
      <c r="A20" s="53">
        <v>2.5360000000000014</v>
      </c>
      <c r="B20" s="54">
        <v>-6457826.8422818696</v>
      </c>
    </row>
    <row r="21" spans="1:2" x14ac:dyDescent="0.25">
      <c r="A21" s="53">
        <v>2.6480000000000015</v>
      </c>
      <c r="B21" s="54">
        <v>-6457826.8422818696</v>
      </c>
    </row>
    <row r="22" spans="1:2" x14ac:dyDescent="0.25">
      <c r="A22" s="53">
        <v>2.7600000000000016</v>
      </c>
      <c r="B22" s="54">
        <v>-6457826.8422818696</v>
      </c>
    </row>
    <row r="23" spans="1:2" x14ac:dyDescent="0.25">
      <c r="A23" s="53">
        <v>2.8720000000000017</v>
      </c>
      <c r="B23" s="54">
        <v>-6457826.8422818696</v>
      </c>
    </row>
    <row r="24" spans="1:2" x14ac:dyDescent="0.25">
      <c r="A24" s="53">
        <v>2.9840000000000018</v>
      </c>
      <c r="B24" s="54">
        <v>-6457826.8422818696</v>
      </c>
    </row>
    <row r="25" spans="1:2" x14ac:dyDescent="0.25">
      <c r="A25" s="53">
        <v>3.0960000000000019</v>
      </c>
      <c r="B25" s="54">
        <v>-6457826.8422818696</v>
      </c>
    </row>
    <row r="26" spans="1:2" x14ac:dyDescent="0.25">
      <c r="A26" s="53">
        <v>3.208000000000002</v>
      </c>
      <c r="B26" s="54">
        <v>-6457826.8422818696</v>
      </c>
    </row>
    <row r="27" spans="1:2" x14ac:dyDescent="0.25">
      <c r="A27" s="53">
        <v>3.3200000000000021</v>
      </c>
      <c r="B27" s="54">
        <v>-6457826.8422818696</v>
      </c>
    </row>
    <row r="28" spans="1:2" x14ac:dyDescent="0.25">
      <c r="A28" s="53">
        <v>3.4320000000000022</v>
      </c>
      <c r="B28" s="54">
        <v>-6457826.8422818696</v>
      </c>
    </row>
    <row r="29" spans="1:2" x14ac:dyDescent="0.25">
      <c r="A29" s="53">
        <v>3.5440000000000023</v>
      </c>
      <c r="B29" s="54">
        <v>-6457826.8422818696</v>
      </c>
    </row>
    <row r="30" spans="1:2" x14ac:dyDescent="0.25">
      <c r="A30" s="53">
        <v>3.6560000000000024</v>
      </c>
      <c r="B30" s="54">
        <v>-6457826.8422818696</v>
      </c>
    </row>
    <row r="31" spans="1:2" x14ac:dyDescent="0.25">
      <c r="A31" s="53">
        <v>3.7680000000000025</v>
      </c>
      <c r="B31" s="54">
        <v>-6457826.8422818696</v>
      </c>
    </row>
    <row r="32" spans="1:2" x14ac:dyDescent="0.25">
      <c r="A32" s="53">
        <v>3.8800000000000026</v>
      </c>
      <c r="B32" s="54">
        <v>-6457826.8422818696</v>
      </c>
    </row>
    <row r="33" spans="1:2" x14ac:dyDescent="0.25">
      <c r="A33" s="53">
        <v>3.9920000000000027</v>
      </c>
      <c r="B33" s="54">
        <v>-6457826.8422818696</v>
      </c>
    </row>
    <row r="34" spans="1:2" x14ac:dyDescent="0.25">
      <c r="A34" s="53">
        <v>4.1040000000000028</v>
      </c>
      <c r="B34" s="54">
        <v>-6457826.8422818696</v>
      </c>
    </row>
    <row r="35" spans="1:2" x14ac:dyDescent="0.25">
      <c r="A35" s="53">
        <v>4.2160000000000029</v>
      </c>
      <c r="B35" s="54">
        <v>-6457826.8422818696</v>
      </c>
    </row>
    <row r="36" spans="1:2" x14ac:dyDescent="0.25">
      <c r="A36" s="53">
        <v>4.328000000000003</v>
      </c>
      <c r="B36" s="54">
        <v>-6457826.8422818696</v>
      </c>
    </row>
    <row r="37" spans="1:2" x14ac:dyDescent="0.25">
      <c r="A37" s="53">
        <v>4.4400000000000031</v>
      </c>
      <c r="B37" s="54">
        <v>-6457826.8422818696</v>
      </c>
    </row>
    <row r="38" spans="1:2" x14ac:dyDescent="0.25">
      <c r="A38" s="53">
        <v>4.5520000000000032</v>
      </c>
      <c r="B38" s="54">
        <v>-6457826.8422818696</v>
      </c>
    </row>
    <row r="39" spans="1:2" x14ac:dyDescent="0.25">
      <c r="A39" s="53">
        <v>4.6640000000000033</v>
      </c>
      <c r="B39" s="54">
        <v>-6457826.8422818696</v>
      </c>
    </row>
    <row r="40" spans="1:2" x14ac:dyDescent="0.25">
      <c r="A40" s="53">
        <v>4.7760000000000034</v>
      </c>
      <c r="B40" s="54">
        <v>-6457826.8422818696</v>
      </c>
    </row>
    <row r="41" spans="1:2" x14ac:dyDescent="0.25">
      <c r="A41" s="53">
        <v>4.8880000000000035</v>
      </c>
      <c r="B41" s="54">
        <v>-6457826.8422818696</v>
      </c>
    </row>
    <row r="42" spans="1:2" ht="15.75" thickBot="1" x14ac:dyDescent="0.3">
      <c r="A42" s="55">
        <v>5.0000000000000036</v>
      </c>
      <c r="B42" s="56">
        <v>-6457826.8422818696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5534"/>
  <sheetViews>
    <sheetView workbookViewId="0">
      <selection activeCell="E16" sqref="E16"/>
    </sheetView>
  </sheetViews>
  <sheetFormatPr defaultRowHeight="15" x14ac:dyDescent="0.25"/>
  <cols>
    <col min="1" max="1" width="11.42578125" customWidth="1"/>
    <col min="2" max="2" width="27.7109375" bestFit="1" customWidth="1"/>
    <col min="3" max="3" width="55.5703125" bestFit="1" customWidth="1"/>
    <col min="4" max="4" width="25.140625" bestFit="1" customWidth="1"/>
    <col min="5" max="5" width="24.85546875" customWidth="1"/>
    <col min="6" max="10" width="15" bestFit="1" customWidth="1"/>
    <col min="11" max="11" width="21" customWidth="1"/>
    <col min="12" max="13" width="15" bestFit="1" customWidth="1"/>
    <col min="14" max="14" width="19" customWidth="1"/>
    <col min="15" max="15" width="65.28515625" bestFit="1" customWidth="1"/>
  </cols>
  <sheetData>
    <row r="1" spans="1:9" x14ac:dyDescent="0.25">
      <c r="A1" s="20" t="s">
        <v>0</v>
      </c>
    </row>
    <row r="2" spans="1:9" x14ac:dyDescent="0.25">
      <c r="A2" s="1"/>
    </row>
    <row r="3" spans="1:9" x14ac:dyDescent="0.25">
      <c r="B3" s="42" t="s">
        <v>1</v>
      </c>
      <c r="C3" s="31"/>
      <c r="D3" s="34"/>
    </row>
    <row r="4" spans="1:9" ht="15.75" thickBot="1" x14ac:dyDescent="0.3">
      <c r="B4" s="43"/>
      <c r="C4" s="29" t="s">
        <v>2</v>
      </c>
      <c r="D4" s="35">
        <v>0.52</v>
      </c>
      <c r="F4" s="3"/>
    </row>
    <row r="5" spans="1:9" x14ac:dyDescent="0.25">
      <c r="B5" s="43"/>
      <c r="C5" s="29" t="s">
        <v>3</v>
      </c>
      <c r="D5" s="35">
        <v>0.95</v>
      </c>
      <c r="F5" s="121" t="s">
        <v>85</v>
      </c>
      <c r="G5" s="122"/>
      <c r="H5" s="122"/>
      <c r="I5" s="123"/>
    </row>
    <row r="6" spans="1:9" x14ac:dyDescent="0.25">
      <c r="B6" s="43"/>
      <c r="C6" s="29" t="s">
        <v>4</v>
      </c>
      <c r="D6" s="35">
        <f ca="1">_xll.PsiSenParam(4000000,6000000)</f>
        <v>5000000</v>
      </c>
      <c r="F6" s="124"/>
      <c r="G6" s="125"/>
      <c r="H6" s="125"/>
      <c r="I6" s="126"/>
    </row>
    <row r="7" spans="1:9" x14ac:dyDescent="0.25">
      <c r="B7" s="43"/>
      <c r="C7" s="29" t="s">
        <v>5</v>
      </c>
      <c r="D7" s="35">
        <v>2.5</v>
      </c>
      <c r="F7" s="124"/>
      <c r="G7" s="125"/>
      <c r="H7" s="125"/>
      <c r="I7" s="126"/>
    </row>
    <row r="8" spans="1:9" ht="17.25" customHeight="1" x14ac:dyDescent="0.25">
      <c r="B8" s="43"/>
      <c r="C8" s="32" t="s">
        <v>6</v>
      </c>
      <c r="D8" s="35">
        <v>5</v>
      </c>
      <c r="F8" s="124"/>
      <c r="G8" s="125"/>
      <c r="H8" s="125"/>
      <c r="I8" s="126"/>
    </row>
    <row r="9" spans="1:9" ht="15.75" thickBot="1" x14ac:dyDescent="0.3">
      <c r="B9" s="43"/>
      <c r="C9" s="29" t="s">
        <v>44</v>
      </c>
      <c r="D9" s="37">
        <v>0.1</v>
      </c>
      <c r="F9" s="127"/>
      <c r="G9" s="128"/>
      <c r="H9" s="128"/>
      <c r="I9" s="129"/>
    </row>
    <row r="10" spans="1:9" x14ac:dyDescent="0.25">
      <c r="B10" s="43"/>
      <c r="C10" s="29" t="s">
        <v>45</v>
      </c>
      <c r="D10" s="36">
        <v>10</v>
      </c>
    </row>
    <row r="11" spans="1:9" x14ac:dyDescent="0.25">
      <c r="B11" s="43"/>
      <c r="C11" s="29" t="s">
        <v>36</v>
      </c>
      <c r="D11" s="36">
        <f>VLOOKUP(D23-1,GivenValues!F2:G18,2)*1000</f>
        <v>1197000</v>
      </c>
    </row>
    <row r="12" spans="1:9" x14ac:dyDescent="0.25">
      <c r="B12" s="43"/>
      <c r="C12" s="29" t="s">
        <v>46</v>
      </c>
      <c r="D12" s="36">
        <f>GivenValues!I39</f>
        <v>10</v>
      </c>
    </row>
    <row r="13" spans="1:9" x14ac:dyDescent="0.25">
      <c r="B13" s="43"/>
      <c r="C13" s="29" t="s">
        <v>7</v>
      </c>
      <c r="D13" s="38">
        <v>0.1</v>
      </c>
    </row>
    <row r="14" spans="1:9" x14ac:dyDescent="0.25">
      <c r="B14" s="43"/>
      <c r="C14" s="33" t="s">
        <v>8</v>
      </c>
      <c r="D14" s="38">
        <v>0.1</v>
      </c>
    </row>
    <row r="15" spans="1:9" x14ac:dyDescent="0.25">
      <c r="B15" s="2"/>
      <c r="C15" s="26"/>
      <c r="D15" s="5"/>
    </row>
    <row r="16" spans="1:9" x14ac:dyDescent="0.25">
      <c r="B16" s="42" t="s">
        <v>9</v>
      </c>
      <c r="C16" s="29"/>
      <c r="D16" s="30"/>
      <c r="F16" s="7"/>
      <c r="G16" s="7"/>
    </row>
    <row r="17" spans="2:15" x14ac:dyDescent="0.25">
      <c r="B17" s="43"/>
      <c r="C17" s="29" t="s">
        <v>47</v>
      </c>
      <c r="D17" s="30">
        <v>1.25</v>
      </c>
    </row>
    <row r="18" spans="2:15" x14ac:dyDescent="0.25">
      <c r="C18" s="27"/>
    </row>
    <row r="19" spans="2:15" x14ac:dyDescent="0.25">
      <c r="B19" s="42" t="s">
        <v>10</v>
      </c>
      <c r="C19" s="29"/>
      <c r="D19" s="28">
        <v>2000</v>
      </c>
      <c r="E19" s="28">
        <f>D19+1</f>
        <v>2001</v>
      </c>
      <c r="F19" s="28">
        <f t="shared" ref="F19:N19" si="0">E19+1</f>
        <v>2002</v>
      </c>
      <c r="G19" s="28">
        <f t="shared" si="0"/>
        <v>2003</v>
      </c>
      <c r="H19" s="28">
        <f t="shared" si="0"/>
        <v>2004</v>
      </c>
      <c r="I19" s="28">
        <f>H19+1</f>
        <v>2005</v>
      </c>
      <c r="J19" s="28">
        <f t="shared" si="0"/>
        <v>2006</v>
      </c>
      <c r="K19" s="28">
        <f t="shared" si="0"/>
        <v>2007</v>
      </c>
      <c r="L19" s="28">
        <f>K19+1</f>
        <v>2008</v>
      </c>
      <c r="M19" s="28">
        <f t="shared" si="0"/>
        <v>2009</v>
      </c>
      <c r="N19" s="28">
        <f t="shared" si="0"/>
        <v>2010</v>
      </c>
      <c r="O19" s="44" t="s">
        <v>58</v>
      </c>
    </row>
    <row r="20" spans="2:15" x14ac:dyDescent="0.25">
      <c r="B20" s="43"/>
      <c r="C20" s="29" t="s">
        <v>11</v>
      </c>
      <c r="D20" s="30">
        <f ca="1">D24-D25</f>
        <v>6805051.5999999996</v>
      </c>
      <c r="E20" s="30">
        <f t="shared" ref="E20:M20" ca="1" si="1">E24-E25</f>
        <v>7535556.7599999998</v>
      </c>
      <c r="F20" s="30">
        <f t="shared" ca="1" si="1"/>
        <v>8339112.4359999998</v>
      </c>
      <c r="G20" s="30">
        <f t="shared" ca="1" si="1"/>
        <v>9223023.6795999985</v>
      </c>
      <c r="H20" s="30">
        <f t="shared" ca="1" si="1"/>
        <v>10195326.047559999</v>
      </c>
      <c r="I20" s="30">
        <f t="shared" ca="1" si="1"/>
        <v>11264858.652316</v>
      </c>
      <c r="J20" s="30">
        <f t="shared" ca="1" si="1"/>
        <v>12441344.5175476</v>
      </c>
      <c r="K20" s="30">
        <f t="shared" ca="1" si="1"/>
        <v>13735478.969302362</v>
      </c>
      <c r="L20" s="30">
        <f t="shared" ca="1" si="1"/>
        <v>15159026.866232593</v>
      </c>
      <c r="M20" s="30">
        <f t="shared" ca="1" si="1"/>
        <v>16724929.552855853</v>
      </c>
      <c r="N20" s="30"/>
      <c r="O20" s="45" t="s">
        <v>12</v>
      </c>
    </row>
    <row r="21" spans="2:15" x14ac:dyDescent="0.25">
      <c r="B21" s="43"/>
      <c r="C21" s="29" t="s">
        <v>13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9">
        <f ca="1">NPV(D13,D37:M37)</f>
        <v>58337276.447147638</v>
      </c>
      <c r="O21" s="45" t="s">
        <v>14</v>
      </c>
    </row>
    <row r="22" spans="2:15" x14ac:dyDescent="0.25">
      <c r="C22" s="27"/>
      <c r="O22" s="45"/>
    </row>
    <row r="23" spans="2:15" x14ac:dyDescent="0.25">
      <c r="B23" s="42" t="s">
        <v>15</v>
      </c>
      <c r="C23" s="29"/>
      <c r="D23" s="28">
        <v>2000</v>
      </c>
      <c r="E23" s="28">
        <f>D23+1</f>
        <v>2001</v>
      </c>
      <c r="F23" s="28">
        <f t="shared" ref="F23:M23" si="2">E23+1</f>
        <v>2002</v>
      </c>
      <c r="G23" s="28">
        <f t="shared" si="2"/>
        <v>2003</v>
      </c>
      <c r="H23" s="28">
        <f t="shared" si="2"/>
        <v>2004</v>
      </c>
      <c r="I23" s="28">
        <f>H23+1</f>
        <v>2005</v>
      </c>
      <c r="J23" s="28">
        <f t="shared" si="2"/>
        <v>2006</v>
      </c>
      <c r="K23" s="28">
        <f t="shared" si="2"/>
        <v>2007</v>
      </c>
      <c r="L23" s="28">
        <f>K23+1</f>
        <v>2008</v>
      </c>
      <c r="M23" s="28">
        <f t="shared" si="2"/>
        <v>2009</v>
      </c>
      <c r="N23" s="28"/>
      <c r="O23" s="45"/>
    </row>
    <row r="24" spans="2:15" x14ac:dyDescent="0.25">
      <c r="B24" s="43"/>
      <c r="C24" s="29" t="s">
        <v>16</v>
      </c>
      <c r="D24" s="30">
        <f>D28*$D$17</f>
        <v>12508650</v>
      </c>
      <c r="E24" s="30">
        <f>E28*$D$17</f>
        <v>13759515</v>
      </c>
      <c r="F24" s="30">
        <f t="shared" ref="F24:M24" si="3">F28*$D$17</f>
        <v>15135466.5</v>
      </c>
      <c r="G24" s="30">
        <f t="shared" si="3"/>
        <v>16649013.149999999</v>
      </c>
      <c r="H24" s="30">
        <f t="shared" si="3"/>
        <v>18313914.465</v>
      </c>
      <c r="I24" s="30">
        <f t="shared" si="3"/>
        <v>20145305.911499999</v>
      </c>
      <c r="J24" s="30">
        <f t="shared" si="3"/>
        <v>22159836.50265</v>
      </c>
      <c r="K24" s="30">
        <f t="shared" si="3"/>
        <v>24375820.152915001</v>
      </c>
      <c r="L24" s="30">
        <f t="shared" si="3"/>
        <v>26813402.168206494</v>
      </c>
      <c r="M24" s="30">
        <f t="shared" si="3"/>
        <v>29494742.385027148</v>
      </c>
      <c r="N24" s="30"/>
      <c r="O24" s="45" t="s">
        <v>17</v>
      </c>
    </row>
    <row r="25" spans="2:15" x14ac:dyDescent="0.25">
      <c r="B25" s="43"/>
      <c r="C25" s="29" t="s">
        <v>18</v>
      </c>
      <c r="D25" s="40">
        <f ca="1">D26+D27</f>
        <v>5703598.4000000004</v>
      </c>
      <c r="E25" s="40">
        <f ca="1">E26+E27</f>
        <v>6223958.2400000002</v>
      </c>
      <c r="F25" s="40">
        <f t="shared" ref="F25:M25" ca="1" si="4">F26+F27</f>
        <v>6796354.0640000002</v>
      </c>
      <c r="G25" s="40">
        <f t="shared" ca="1" si="4"/>
        <v>7425989.4704</v>
      </c>
      <c r="H25" s="40">
        <f t="shared" ca="1" si="4"/>
        <v>8118588.4174400009</v>
      </c>
      <c r="I25" s="40">
        <f t="shared" ca="1" si="4"/>
        <v>8880447.2591839992</v>
      </c>
      <c r="J25" s="40">
        <f t="shared" ca="1" si="4"/>
        <v>9718491.9851024002</v>
      </c>
      <c r="K25" s="40">
        <f t="shared" ca="1" si="4"/>
        <v>10640341.183612639</v>
      </c>
      <c r="L25" s="40">
        <f t="shared" ca="1" si="4"/>
        <v>11654375.301973902</v>
      </c>
      <c r="M25" s="40">
        <f t="shared" ca="1" si="4"/>
        <v>12769812.832171295</v>
      </c>
      <c r="N25" s="40"/>
      <c r="O25" s="45" t="s">
        <v>19</v>
      </c>
    </row>
    <row r="26" spans="2:15" x14ac:dyDescent="0.25">
      <c r="B26" s="43"/>
      <c r="C26" s="29" t="s">
        <v>20</v>
      </c>
      <c r="D26" s="40">
        <f>D28*$D$4</f>
        <v>5203598.4000000004</v>
      </c>
      <c r="E26" s="40">
        <f t="shared" ref="E26:M26" si="5">E28*$D$4</f>
        <v>5723958.2400000002</v>
      </c>
      <c r="F26" s="40">
        <f t="shared" si="5"/>
        <v>6296354.0640000002</v>
      </c>
      <c r="G26" s="40">
        <f t="shared" si="5"/>
        <v>6925989.4704</v>
      </c>
      <c r="H26" s="40">
        <f t="shared" si="5"/>
        <v>7618588.4174400009</v>
      </c>
      <c r="I26" s="40">
        <f t="shared" si="5"/>
        <v>8380447.2591840001</v>
      </c>
      <c r="J26" s="40">
        <f t="shared" si="5"/>
        <v>9218491.9851024002</v>
      </c>
      <c r="K26" s="40">
        <f t="shared" si="5"/>
        <v>10140341.183612639</v>
      </c>
      <c r="L26" s="40">
        <f t="shared" si="5"/>
        <v>11154375.301973902</v>
      </c>
      <c r="M26" s="40">
        <f t="shared" si="5"/>
        <v>12269812.832171295</v>
      </c>
      <c r="N26" s="40"/>
      <c r="O26" s="45" t="s">
        <v>21</v>
      </c>
    </row>
    <row r="27" spans="2:15" x14ac:dyDescent="0.25">
      <c r="B27" s="43"/>
      <c r="C27" s="29" t="s">
        <v>22</v>
      </c>
      <c r="D27" s="40">
        <f t="shared" ref="D27:M27" ca="1" si="6">$D$14*$D$6</f>
        <v>500000</v>
      </c>
      <c r="E27" s="40">
        <f t="shared" ca="1" si="6"/>
        <v>500000</v>
      </c>
      <c r="F27" s="40">
        <f t="shared" ca="1" si="6"/>
        <v>500000</v>
      </c>
      <c r="G27" s="40">
        <f t="shared" ca="1" si="6"/>
        <v>500000</v>
      </c>
      <c r="H27" s="40">
        <f t="shared" ca="1" si="6"/>
        <v>500000</v>
      </c>
      <c r="I27" s="40">
        <f t="shared" ca="1" si="6"/>
        <v>500000</v>
      </c>
      <c r="J27" s="40">
        <f t="shared" ca="1" si="6"/>
        <v>500000</v>
      </c>
      <c r="K27" s="40">
        <f t="shared" ca="1" si="6"/>
        <v>500000</v>
      </c>
      <c r="L27" s="40">
        <f t="shared" ca="1" si="6"/>
        <v>500000</v>
      </c>
      <c r="M27" s="40">
        <f t="shared" ca="1" si="6"/>
        <v>500000</v>
      </c>
      <c r="N27" s="40"/>
      <c r="O27" s="45" t="s">
        <v>23</v>
      </c>
    </row>
    <row r="28" spans="2:15" x14ac:dyDescent="0.25">
      <c r="B28" s="43"/>
      <c r="C28" s="29" t="s">
        <v>51</v>
      </c>
      <c r="D28" s="30">
        <f>D29*D31/100</f>
        <v>10006920</v>
      </c>
      <c r="E28" s="30">
        <f>E29*E31/100</f>
        <v>11007612</v>
      </c>
      <c r="F28" s="30">
        <f t="shared" ref="F28:M28" si="7">F29*F31/100</f>
        <v>12108373.199999999</v>
      </c>
      <c r="G28" s="30">
        <f t="shared" si="7"/>
        <v>13319210.52</v>
      </c>
      <c r="H28" s="30">
        <f t="shared" si="7"/>
        <v>14651131.572000001</v>
      </c>
      <c r="I28" s="30">
        <f t="shared" si="7"/>
        <v>16116244.7292</v>
      </c>
      <c r="J28" s="30">
        <f t="shared" si="7"/>
        <v>17727869.202119999</v>
      </c>
      <c r="K28" s="30">
        <f t="shared" si="7"/>
        <v>19500656.122331999</v>
      </c>
      <c r="L28" s="30">
        <f t="shared" si="7"/>
        <v>21450721.734565195</v>
      </c>
      <c r="M28" s="30">
        <f t="shared" si="7"/>
        <v>23595793.908021718</v>
      </c>
      <c r="N28" s="30"/>
      <c r="O28" s="46" t="s">
        <v>24</v>
      </c>
    </row>
    <row r="29" spans="2:15" x14ac:dyDescent="0.25">
      <c r="B29" s="43"/>
      <c r="C29" s="29" t="s">
        <v>50</v>
      </c>
      <c r="D29" s="30">
        <f>D30*$D$12</f>
        <v>13167000</v>
      </c>
      <c r="E29" s="30">
        <f t="shared" ref="E29:M29" si="8">E30*$D$12</f>
        <v>14483700</v>
      </c>
      <c r="F29" s="30">
        <f t="shared" si="8"/>
        <v>15932070</v>
      </c>
      <c r="G29" s="30">
        <f t="shared" si="8"/>
        <v>17525277</v>
      </c>
      <c r="H29" s="30">
        <f t="shared" si="8"/>
        <v>19277804.699999999</v>
      </c>
      <c r="I29" s="30">
        <f t="shared" si="8"/>
        <v>21205585.170000002</v>
      </c>
      <c r="J29" s="30">
        <f t="shared" si="8"/>
        <v>23326143.686999999</v>
      </c>
      <c r="K29" s="30">
        <f t="shared" si="8"/>
        <v>25658758.055699997</v>
      </c>
      <c r="L29" s="30">
        <f t="shared" si="8"/>
        <v>28224633.861269996</v>
      </c>
      <c r="M29" s="30">
        <f t="shared" si="8"/>
        <v>31047097.247396998</v>
      </c>
      <c r="N29" s="30"/>
      <c r="O29" s="45" t="s">
        <v>25</v>
      </c>
    </row>
    <row r="30" spans="2:15" x14ac:dyDescent="0.25">
      <c r="B30" s="43"/>
      <c r="C30" s="29" t="s">
        <v>26</v>
      </c>
      <c r="D30" s="30">
        <f>(D9*D11)+D11</f>
        <v>1316700</v>
      </c>
      <c r="E30" s="41">
        <f>D30+(D30*$D$9)</f>
        <v>1448370</v>
      </c>
      <c r="F30" s="41">
        <f t="shared" ref="F30:M30" si="9">E30+(E30*$D$9)</f>
        <v>1593207</v>
      </c>
      <c r="G30" s="41">
        <f t="shared" si="9"/>
        <v>1752527.7</v>
      </c>
      <c r="H30" s="41">
        <f t="shared" si="9"/>
        <v>1927780.47</v>
      </c>
      <c r="I30" s="41">
        <f t="shared" si="9"/>
        <v>2120558.517</v>
      </c>
      <c r="J30" s="41">
        <f t="shared" si="9"/>
        <v>2332614.3687</v>
      </c>
      <c r="K30" s="41">
        <f t="shared" si="9"/>
        <v>2565875.8055699999</v>
      </c>
      <c r="L30" s="41">
        <f t="shared" si="9"/>
        <v>2822463.3861269997</v>
      </c>
      <c r="M30" s="41">
        <f t="shared" si="9"/>
        <v>3104709.7247396996</v>
      </c>
      <c r="N30" s="41"/>
      <c r="O30" s="45" t="s">
        <v>27</v>
      </c>
    </row>
    <row r="31" spans="2:15" x14ac:dyDescent="0.25">
      <c r="B31" s="43"/>
      <c r="C31" s="29" t="s">
        <v>57</v>
      </c>
      <c r="D31" s="30">
        <f>VLOOKUP(D32,GivenValues!$A$3:$B$8,2)</f>
        <v>76</v>
      </c>
      <c r="E31" s="30">
        <f>VLOOKUP(E32,GivenValues!$A$3:$B$8,2)</f>
        <v>76</v>
      </c>
      <c r="F31" s="30">
        <f>VLOOKUP(F32,GivenValues!$A$3:$B$8,2)</f>
        <v>76</v>
      </c>
      <c r="G31" s="30">
        <f>VLOOKUP(G32,GivenValues!$A$3:$B$8,2)</f>
        <v>76</v>
      </c>
      <c r="H31" s="30">
        <f>VLOOKUP(H32,GivenValues!$A$3:$B$8,2)</f>
        <v>76</v>
      </c>
      <c r="I31" s="30">
        <f>VLOOKUP(I32,GivenValues!$A$3:$B$8,2)</f>
        <v>76</v>
      </c>
      <c r="J31" s="30">
        <f>VLOOKUP(J32,GivenValues!$A$3:$B$8,2)</f>
        <v>76</v>
      </c>
      <c r="K31" s="30">
        <f>VLOOKUP(K32,GivenValues!$A$3:$B$8,2)</f>
        <v>76</v>
      </c>
      <c r="L31" s="30">
        <f>VLOOKUP(L32,GivenValues!$A$3:$B$8,2)</f>
        <v>76</v>
      </c>
      <c r="M31" s="30">
        <f>VLOOKUP(M32,GivenValues!$A$3:$B$8,2)</f>
        <v>76</v>
      </c>
      <c r="N31" s="30"/>
      <c r="O31" s="45" t="s">
        <v>28</v>
      </c>
    </row>
    <row r="32" spans="2:15" x14ac:dyDescent="0.25">
      <c r="B32" s="43"/>
      <c r="C32" s="29" t="s">
        <v>29</v>
      </c>
      <c r="D32" s="30">
        <f t="shared" ref="D32:M32" si="10">$D$7/$D$17</f>
        <v>2</v>
      </c>
      <c r="E32" s="30">
        <f t="shared" si="10"/>
        <v>2</v>
      </c>
      <c r="F32" s="30">
        <f t="shared" si="10"/>
        <v>2</v>
      </c>
      <c r="G32" s="30">
        <f t="shared" si="10"/>
        <v>2</v>
      </c>
      <c r="H32" s="30">
        <f t="shared" si="10"/>
        <v>2</v>
      </c>
      <c r="I32" s="30">
        <f t="shared" si="10"/>
        <v>2</v>
      </c>
      <c r="J32" s="30">
        <f t="shared" si="10"/>
        <v>2</v>
      </c>
      <c r="K32" s="30">
        <f t="shared" si="10"/>
        <v>2</v>
      </c>
      <c r="L32" s="30">
        <f t="shared" si="10"/>
        <v>2</v>
      </c>
      <c r="M32" s="30">
        <f t="shared" si="10"/>
        <v>2</v>
      </c>
      <c r="N32" s="30"/>
      <c r="O32" s="45" t="s">
        <v>30</v>
      </c>
    </row>
    <row r="33" spans="2:15" x14ac:dyDescent="0.25">
      <c r="B33" s="43"/>
      <c r="C33" s="29" t="s">
        <v>31</v>
      </c>
      <c r="D33" s="39">
        <f ca="1">D13*D6</f>
        <v>500000</v>
      </c>
      <c r="E33" s="39">
        <f ca="1">D36*$D$13</f>
        <v>468627.30255874427</v>
      </c>
      <c r="F33" s="39">
        <f t="shared" ref="F33:L33" ca="1" si="11">E36*$D$13</f>
        <v>434117.33537336293</v>
      </c>
      <c r="G33" s="39">
        <f t="shared" ca="1" si="11"/>
        <v>396156.37146944343</v>
      </c>
      <c r="H33" s="39">
        <f t="shared" ca="1" si="11"/>
        <v>354399.31117513205</v>
      </c>
      <c r="I33" s="39">
        <f t="shared" ca="1" si="11"/>
        <v>308466.54485138948</v>
      </c>
      <c r="J33" s="39">
        <f t="shared" ca="1" si="11"/>
        <v>257940.5018952727</v>
      </c>
      <c r="K33" s="39">
        <f t="shared" ca="1" si="11"/>
        <v>202361.85464354421</v>
      </c>
      <c r="L33" s="39">
        <f t="shared" ca="1" si="11"/>
        <v>141225.34266664289</v>
      </c>
      <c r="M33" s="39">
        <f ca="1">L36*$D$13</f>
        <v>73975.179492051408</v>
      </c>
      <c r="N33" s="39"/>
      <c r="O33" s="47" t="s">
        <v>53</v>
      </c>
    </row>
    <row r="34" spans="2:15" x14ac:dyDescent="0.25">
      <c r="B34" s="43"/>
      <c r="C34" s="29" t="s">
        <v>32</v>
      </c>
      <c r="D34" s="40">
        <f ca="1">D35-D33</f>
        <v>313726.97441255755</v>
      </c>
      <c r="E34" s="40">
        <f t="shared" ref="E34:L34" ca="1" si="12">E35-E33</f>
        <v>345099.67185381328</v>
      </c>
      <c r="F34" s="40">
        <f t="shared" ca="1" si="12"/>
        <v>379609.63903919462</v>
      </c>
      <c r="G34" s="40">
        <f t="shared" ca="1" si="12"/>
        <v>417570.60294311412</v>
      </c>
      <c r="H34" s="40">
        <f t="shared" ca="1" si="12"/>
        <v>459327.6632374255</v>
      </c>
      <c r="I34" s="40">
        <f t="shared" ca="1" si="12"/>
        <v>505260.42956116807</v>
      </c>
      <c r="J34" s="40">
        <f t="shared" ca="1" si="12"/>
        <v>555786.4725172848</v>
      </c>
      <c r="K34" s="40">
        <f t="shared" ca="1" si="12"/>
        <v>611365.11976901337</v>
      </c>
      <c r="L34" s="40">
        <f t="shared" ca="1" si="12"/>
        <v>672501.6317459147</v>
      </c>
      <c r="M34" s="40">
        <f ca="1">M35-M33</f>
        <v>739751.79492050619</v>
      </c>
      <c r="N34" s="39"/>
      <c r="O34" s="47" t="s">
        <v>54</v>
      </c>
    </row>
    <row r="35" spans="2:15" x14ac:dyDescent="0.25">
      <c r="B35" s="43"/>
      <c r="C35" s="29" t="s">
        <v>33</v>
      </c>
      <c r="D35" s="40">
        <f t="shared" ref="D35:M35" ca="1" si="13">($D$6*$D$13)/(1-(1+$D$13)^-$D$10)</f>
        <v>813726.97441255755</v>
      </c>
      <c r="E35" s="40">
        <f t="shared" ca="1" si="13"/>
        <v>813726.97441255755</v>
      </c>
      <c r="F35" s="40">
        <f t="shared" ca="1" si="13"/>
        <v>813726.97441255755</v>
      </c>
      <c r="G35" s="40">
        <f t="shared" ca="1" si="13"/>
        <v>813726.97441255755</v>
      </c>
      <c r="H35" s="40">
        <f t="shared" ca="1" si="13"/>
        <v>813726.97441255755</v>
      </c>
      <c r="I35" s="40">
        <f t="shared" ca="1" si="13"/>
        <v>813726.97441255755</v>
      </c>
      <c r="J35" s="40">
        <f t="shared" ca="1" si="13"/>
        <v>813726.97441255755</v>
      </c>
      <c r="K35" s="40">
        <f t="shared" ca="1" si="13"/>
        <v>813726.97441255755</v>
      </c>
      <c r="L35" s="40">
        <f t="shared" ca="1" si="13"/>
        <v>813726.97441255755</v>
      </c>
      <c r="M35" s="40">
        <f t="shared" ca="1" si="13"/>
        <v>813726.97441255755</v>
      </c>
      <c r="N35" s="40"/>
      <c r="O35" s="48" t="s">
        <v>56</v>
      </c>
    </row>
    <row r="36" spans="2:15" x14ac:dyDescent="0.25">
      <c r="B36" s="43"/>
      <c r="C36" s="29" t="s">
        <v>34</v>
      </c>
      <c r="D36" s="40">
        <f ca="1">D6-D34</f>
        <v>4686273.0255874423</v>
      </c>
      <c r="E36" s="40">
        <f ca="1">D36-E34</f>
        <v>4341173.353733629</v>
      </c>
      <c r="F36" s="40">
        <f t="shared" ref="F36:M36" ca="1" si="14">E36-F34</f>
        <v>3961563.7146944343</v>
      </c>
      <c r="G36" s="40">
        <f t="shared" ca="1" si="14"/>
        <v>3543993.1117513203</v>
      </c>
      <c r="H36" s="40">
        <f t="shared" ca="1" si="14"/>
        <v>3084665.4485138948</v>
      </c>
      <c r="I36" s="40">
        <f t="shared" ca="1" si="14"/>
        <v>2579405.0189527269</v>
      </c>
      <c r="J36" s="40">
        <f t="shared" ca="1" si="14"/>
        <v>2023618.5464354421</v>
      </c>
      <c r="K36" s="40">
        <f t="shared" ca="1" si="14"/>
        <v>1412253.4266664288</v>
      </c>
      <c r="L36" s="40">
        <f t="shared" ca="1" si="14"/>
        <v>739751.7949205141</v>
      </c>
      <c r="M36" s="40">
        <f t="shared" ca="1" si="14"/>
        <v>7.9162418842315674E-9</v>
      </c>
      <c r="N36" s="39"/>
      <c r="O36" s="47" t="s">
        <v>52</v>
      </c>
    </row>
    <row r="37" spans="2:15" x14ac:dyDescent="0.25">
      <c r="B37" s="43"/>
      <c r="C37" s="29" t="s">
        <v>35</v>
      </c>
      <c r="D37" s="40">
        <f ca="1">D20-D35</f>
        <v>5991324.625587442</v>
      </c>
      <c r="E37" s="40">
        <f t="shared" ref="E37:L37" ca="1" si="15">E20-E35</f>
        <v>6721829.7855874421</v>
      </c>
      <c r="F37" s="40">
        <f t="shared" ca="1" si="15"/>
        <v>7525385.4615874421</v>
      </c>
      <c r="G37" s="40">
        <f t="shared" ca="1" si="15"/>
        <v>8409296.7051874418</v>
      </c>
      <c r="H37" s="40">
        <f t="shared" ca="1" si="15"/>
        <v>9381599.0731474422</v>
      </c>
      <c r="I37" s="40">
        <f t="shared" ca="1" si="15"/>
        <v>10451131.677903444</v>
      </c>
      <c r="J37" s="40">
        <f t="shared" ca="1" si="15"/>
        <v>11627617.543135043</v>
      </c>
      <c r="K37" s="40">
        <f t="shared" ca="1" si="15"/>
        <v>12921751.994889805</v>
      </c>
      <c r="L37" s="40">
        <f t="shared" ca="1" si="15"/>
        <v>14345299.891820036</v>
      </c>
      <c r="M37" s="40">
        <f ca="1">M20-M35</f>
        <v>15911202.578443296</v>
      </c>
      <c r="N37" s="30"/>
      <c r="O37" s="47" t="s">
        <v>55</v>
      </c>
    </row>
    <row r="38" spans="2:15" x14ac:dyDescent="0.25">
      <c r="D38" s="7"/>
    </row>
    <row r="65534" spans="255:255" x14ac:dyDescent="0.25">
      <c r="IU65534">
        <v>0</v>
      </c>
    </row>
  </sheetData>
  <mergeCells count="1">
    <mergeCell ref="F5:I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I9" sqref="I9"/>
    </sheetView>
  </sheetViews>
  <sheetFormatPr defaultRowHeight="15" x14ac:dyDescent="0.25"/>
  <cols>
    <col min="1" max="1" width="17.5703125" bestFit="1" customWidth="1"/>
    <col min="2" max="2" width="27.85546875" bestFit="1" customWidth="1"/>
  </cols>
  <sheetData>
    <row r="1" spans="1:2" ht="15.75" thickBot="1" x14ac:dyDescent="0.3">
      <c r="A1" s="58" t="s">
        <v>70</v>
      </c>
      <c r="B1" s="59" t="s">
        <v>71</v>
      </c>
    </row>
    <row r="2" spans="1:2" x14ac:dyDescent="0.25">
      <c r="A2" s="60">
        <v>4000000</v>
      </c>
      <c r="B2" s="54">
        <v>59951733.157718115</v>
      </c>
    </row>
    <row r="3" spans="1:2" x14ac:dyDescent="0.25">
      <c r="A3" s="60">
        <v>4050000</v>
      </c>
      <c r="B3" s="54">
        <v>59871010.322189592</v>
      </c>
    </row>
    <row r="4" spans="1:2" x14ac:dyDescent="0.25">
      <c r="A4" s="60">
        <v>4100000</v>
      </c>
      <c r="B4" s="54">
        <v>59790287.486661069</v>
      </c>
    </row>
    <row r="5" spans="1:2" x14ac:dyDescent="0.25">
      <c r="A5" s="60">
        <v>4150000</v>
      </c>
      <c r="B5" s="54">
        <v>59709564.651132546</v>
      </c>
    </row>
    <row r="6" spans="1:2" x14ac:dyDescent="0.25">
      <c r="A6" s="60">
        <v>4200000</v>
      </c>
      <c r="B6" s="54">
        <v>59628841.815604016</v>
      </c>
    </row>
    <row r="7" spans="1:2" x14ac:dyDescent="0.25">
      <c r="A7" s="60">
        <v>4250000</v>
      </c>
      <c r="B7" s="54">
        <v>59548118.980075501</v>
      </c>
    </row>
    <row r="8" spans="1:2" x14ac:dyDescent="0.25">
      <c r="A8" s="60">
        <v>4300000</v>
      </c>
      <c r="B8" s="54">
        <v>59467396.144546971</v>
      </c>
    </row>
    <row r="9" spans="1:2" x14ac:dyDescent="0.25">
      <c r="A9" s="60">
        <v>4350000</v>
      </c>
      <c r="B9" s="54">
        <v>59386673.309018455</v>
      </c>
    </row>
    <row r="10" spans="1:2" x14ac:dyDescent="0.25">
      <c r="A10" s="60">
        <v>4400000</v>
      </c>
      <c r="B10" s="54">
        <v>59305950.47348994</v>
      </c>
    </row>
    <row r="11" spans="1:2" x14ac:dyDescent="0.25">
      <c r="A11" s="60">
        <v>4450000</v>
      </c>
      <c r="B11" s="54">
        <v>59225227.637961403</v>
      </c>
    </row>
    <row r="12" spans="1:2" x14ac:dyDescent="0.25">
      <c r="A12" s="60">
        <v>4500000</v>
      </c>
      <c r="B12" s="54">
        <v>59144504.802432887</v>
      </c>
    </row>
    <row r="13" spans="1:2" x14ac:dyDescent="0.25">
      <c r="A13" s="60">
        <v>4550000</v>
      </c>
      <c r="B13" s="54">
        <v>59063781.966904372</v>
      </c>
    </row>
    <row r="14" spans="1:2" x14ac:dyDescent="0.25">
      <c r="A14" s="60">
        <v>4600000</v>
      </c>
      <c r="B14" s="54">
        <v>58983059.131375827</v>
      </c>
    </row>
    <row r="15" spans="1:2" x14ac:dyDescent="0.25">
      <c r="A15" s="60">
        <v>4650000</v>
      </c>
      <c r="B15" s="54">
        <v>58902336.295847304</v>
      </c>
    </row>
    <row r="16" spans="1:2" x14ac:dyDescent="0.25">
      <c r="A16" s="60">
        <v>4700000</v>
      </c>
      <c r="B16" s="54">
        <v>58821613.460318789</v>
      </c>
    </row>
    <row r="17" spans="1:2" x14ac:dyDescent="0.25">
      <c r="A17" s="60">
        <v>4750000</v>
      </c>
      <c r="B17" s="54">
        <v>58740890.624790259</v>
      </c>
    </row>
    <row r="18" spans="1:2" x14ac:dyDescent="0.25">
      <c r="A18" s="60">
        <v>4800000</v>
      </c>
      <c r="B18" s="54">
        <v>58660167.789261743</v>
      </c>
    </row>
    <row r="19" spans="1:2" x14ac:dyDescent="0.25">
      <c r="A19" s="60">
        <v>4850000</v>
      </c>
      <c r="B19" s="54">
        <v>58579444.953733221</v>
      </c>
    </row>
    <row r="20" spans="1:2" x14ac:dyDescent="0.25">
      <c r="A20" s="60">
        <v>4900000</v>
      </c>
      <c r="B20" s="54">
        <v>58498722.118204698</v>
      </c>
    </row>
    <row r="21" spans="1:2" x14ac:dyDescent="0.25">
      <c r="A21" s="60">
        <v>4950000</v>
      </c>
      <c r="B21" s="54">
        <v>58417999.282676168</v>
      </c>
    </row>
    <row r="22" spans="1:2" x14ac:dyDescent="0.25">
      <c r="A22" s="60">
        <v>5000000</v>
      </c>
      <c r="B22" s="54">
        <v>58337276.447147645</v>
      </c>
    </row>
    <row r="23" spans="1:2" x14ac:dyDescent="0.25">
      <c r="A23" s="60">
        <v>5050000</v>
      </c>
      <c r="B23" s="54">
        <v>58256553.611619137</v>
      </c>
    </row>
    <row r="24" spans="1:2" x14ac:dyDescent="0.25">
      <c r="A24" s="60">
        <v>5100000</v>
      </c>
      <c r="B24" s="54">
        <v>58175830.776090592</v>
      </c>
    </row>
    <row r="25" spans="1:2" x14ac:dyDescent="0.25">
      <c r="A25" s="60">
        <v>5150000</v>
      </c>
      <c r="B25" s="54">
        <v>58095107.940562084</v>
      </c>
    </row>
    <row r="26" spans="1:2" x14ac:dyDescent="0.25">
      <c r="A26" s="60">
        <v>5200000</v>
      </c>
      <c r="B26" s="54">
        <v>58014385.105033554</v>
      </c>
    </row>
    <row r="27" spans="1:2" x14ac:dyDescent="0.25">
      <c r="A27" s="60">
        <v>5250000</v>
      </c>
      <c r="B27" s="54">
        <v>57933662.269505039</v>
      </c>
    </row>
    <row r="28" spans="1:2" x14ac:dyDescent="0.25">
      <c r="A28" s="60">
        <v>5300000</v>
      </c>
      <c r="B28" s="54">
        <v>57852939.433976501</v>
      </c>
    </row>
    <row r="29" spans="1:2" x14ac:dyDescent="0.25">
      <c r="A29" s="60">
        <v>5350000</v>
      </c>
      <c r="B29" s="54">
        <v>57772216.598447993</v>
      </c>
    </row>
    <row r="30" spans="1:2" x14ac:dyDescent="0.25">
      <c r="A30" s="60">
        <v>5400000</v>
      </c>
      <c r="B30" s="54">
        <v>57691493.762919456</v>
      </c>
    </row>
    <row r="31" spans="1:2" x14ac:dyDescent="0.25">
      <c r="A31" s="60">
        <v>5450000</v>
      </c>
      <c r="B31" s="54">
        <v>57610770.92739094</v>
      </c>
    </row>
    <row r="32" spans="1:2" x14ac:dyDescent="0.25">
      <c r="A32" s="60">
        <v>5500000</v>
      </c>
      <c r="B32" s="54">
        <v>57530048.09186241</v>
      </c>
    </row>
    <row r="33" spans="1:2" x14ac:dyDescent="0.25">
      <c r="A33" s="60">
        <v>5550000</v>
      </c>
      <c r="B33" s="54">
        <v>57449325.256333895</v>
      </c>
    </row>
    <row r="34" spans="1:2" x14ac:dyDescent="0.25">
      <c r="A34" s="60">
        <v>5600000</v>
      </c>
      <c r="B34" s="54">
        <v>57368602.420805365</v>
      </c>
    </row>
    <row r="35" spans="1:2" x14ac:dyDescent="0.25">
      <c r="A35" s="60">
        <v>5650000</v>
      </c>
      <c r="B35" s="54">
        <v>57287879.585276842</v>
      </c>
    </row>
    <row r="36" spans="1:2" x14ac:dyDescent="0.25">
      <c r="A36" s="60">
        <v>5700000</v>
      </c>
      <c r="B36" s="54">
        <v>57207156.749748319</v>
      </c>
    </row>
    <row r="37" spans="1:2" x14ac:dyDescent="0.25">
      <c r="A37" s="60">
        <v>5750000</v>
      </c>
      <c r="B37" s="54">
        <v>57126433.914219797</v>
      </c>
    </row>
    <row r="38" spans="1:2" x14ac:dyDescent="0.25">
      <c r="A38" s="60">
        <v>5800000</v>
      </c>
      <c r="B38" s="54">
        <v>57045711.078691281</v>
      </c>
    </row>
    <row r="39" spans="1:2" x14ac:dyDescent="0.25">
      <c r="A39" s="60">
        <v>5850000</v>
      </c>
      <c r="B39" s="54">
        <v>56964988.243162751</v>
      </c>
    </row>
    <row r="40" spans="1:2" x14ac:dyDescent="0.25">
      <c r="A40" s="60">
        <v>5900000</v>
      </c>
      <c r="B40" s="54">
        <v>56884265.407634228</v>
      </c>
    </row>
    <row r="41" spans="1:2" x14ac:dyDescent="0.25">
      <c r="A41" s="60">
        <v>5950000</v>
      </c>
      <c r="B41" s="54">
        <v>56803542.572105706</v>
      </c>
    </row>
    <row r="42" spans="1:2" ht="15.75" thickBot="1" x14ac:dyDescent="0.3">
      <c r="A42" s="61">
        <v>6000000</v>
      </c>
      <c r="B42" s="56">
        <v>56722819.736577168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D4" workbookViewId="0">
      <selection activeCell="N22" sqref="N22"/>
    </sheetView>
  </sheetViews>
  <sheetFormatPr defaultRowHeight="15" x14ac:dyDescent="0.25"/>
  <cols>
    <col min="1" max="1" width="27.7109375" bestFit="1" customWidth="1"/>
    <col min="2" max="2" width="11.7109375" bestFit="1" customWidth="1"/>
    <col min="3" max="3" width="55.85546875" bestFit="1" customWidth="1"/>
    <col min="4" max="8" width="14.28515625" bestFit="1" customWidth="1"/>
    <col min="9" max="13" width="15.28515625" bestFit="1" customWidth="1"/>
    <col min="14" max="14" width="14.5703125" bestFit="1" customWidth="1"/>
    <col min="15" max="15" width="65.28515625" bestFit="1" customWidth="1"/>
  </cols>
  <sheetData>
    <row r="1" spans="1:9" x14ac:dyDescent="0.25">
      <c r="A1" s="20" t="s">
        <v>0</v>
      </c>
    </row>
    <row r="2" spans="1:9" x14ac:dyDescent="0.25">
      <c r="A2" s="1"/>
    </row>
    <row r="3" spans="1:9" x14ac:dyDescent="0.25">
      <c r="B3" s="42" t="s">
        <v>1</v>
      </c>
      <c r="C3" s="31"/>
      <c r="D3" s="34"/>
    </row>
    <row r="4" spans="1:9" x14ac:dyDescent="0.25">
      <c r="B4" s="43"/>
      <c r="C4" s="29" t="s">
        <v>2</v>
      </c>
      <c r="D4" s="35">
        <v>0.52</v>
      </c>
      <c r="F4" s="3"/>
    </row>
    <row r="5" spans="1:9" x14ac:dyDescent="0.25">
      <c r="B5" s="43"/>
      <c r="C5" s="29" t="s">
        <v>3</v>
      </c>
      <c r="D5" s="35">
        <v>0.95</v>
      </c>
      <c r="F5" s="3"/>
    </row>
    <row r="6" spans="1:9" x14ac:dyDescent="0.25">
      <c r="B6" s="43"/>
      <c r="C6" s="29" t="s">
        <v>4</v>
      </c>
      <c r="D6" s="35">
        <v>4000000</v>
      </c>
    </row>
    <row r="7" spans="1:9" x14ac:dyDescent="0.25">
      <c r="B7" s="43"/>
      <c r="C7" s="29"/>
      <c r="D7" s="35"/>
      <c r="E7" s="52" t="s">
        <v>61</v>
      </c>
      <c r="F7" s="52" t="s">
        <v>62</v>
      </c>
      <c r="G7" s="52" t="s">
        <v>63</v>
      </c>
    </row>
    <row r="8" spans="1:9" x14ac:dyDescent="0.25">
      <c r="B8" s="43"/>
      <c r="C8" s="29" t="s">
        <v>5</v>
      </c>
      <c r="D8" s="35">
        <v>2.5</v>
      </c>
      <c r="E8" s="35">
        <f>Variable_cost_competitor</f>
        <v>0.95</v>
      </c>
      <c r="F8" s="35">
        <f>Competitor_price</f>
        <v>2.5</v>
      </c>
      <c r="G8" s="35">
        <f>Competitor_price</f>
        <v>2.5</v>
      </c>
    </row>
    <row r="9" spans="1:9" ht="17.25" customHeight="1" thickBot="1" x14ac:dyDescent="0.3">
      <c r="B9" s="43"/>
      <c r="C9" s="32" t="s">
        <v>6</v>
      </c>
      <c r="D9" s="35" t="s">
        <v>64</v>
      </c>
    </row>
    <row r="10" spans="1:9" x14ac:dyDescent="0.25">
      <c r="B10" s="43"/>
      <c r="C10" s="29" t="s">
        <v>44</v>
      </c>
      <c r="D10" s="37">
        <v>0.1</v>
      </c>
      <c r="F10" s="121" t="s">
        <v>82</v>
      </c>
      <c r="G10" s="122"/>
      <c r="H10" s="122"/>
      <c r="I10" s="123"/>
    </row>
    <row r="11" spans="1:9" x14ac:dyDescent="0.25">
      <c r="B11" s="43"/>
      <c r="C11" s="29" t="s">
        <v>45</v>
      </c>
      <c r="D11" s="36">
        <v>10</v>
      </c>
      <c r="F11" s="124"/>
      <c r="G11" s="125"/>
      <c r="H11" s="125"/>
      <c r="I11" s="126"/>
    </row>
    <row r="12" spans="1:9" x14ac:dyDescent="0.25">
      <c r="B12" s="43"/>
      <c r="C12" s="29" t="s">
        <v>36</v>
      </c>
      <c r="D12" s="36">
        <f>VLOOKUP(D24-1,GivenValues!F2:G18,2)*1000</f>
        <v>1197000</v>
      </c>
      <c r="F12" s="124"/>
      <c r="G12" s="125"/>
      <c r="H12" s="125"/>
      <c r="I12" s="126"/>
    </row>
    <row r="13" spans="1:9" x14ac:dyDescent="0.25">
      <c r="B13" s="43"/>
      <c r="C13" s="29" t="s">
        <v>46</v>
      </c>
      <c r="D13" s="36">
        <f>GivenValues!I39</f>
        <v>10</v>
      </c>
      <c r="F13" s="124"/>
      <c r="G13" s="125"/>
      <c r="H13" s="125"/>
      <c r="I13" s="126"/>
    </row>
    <row r="14" spans="1:9" ht="15.75" thickBot="1" x14ac:dyDescent="0.3">
      <c r="B14" s="43"/>
      <c r="C14" s="29" t="s">
        <v>7</v>
      </c>
      <c r="D14" s="38">
        <v>0.1</v>
      </c>
      <c r="F14" s="127"/>
      <c r="G14" s="128"/>
      <c r="H14" s="128"/>
      <c r="I14" s="129"/>
    </row>
    <row r="15" spans="1:9" x14ac:dyDescent="0.25">
      <c r="B15" s="43"/>
      <c r="C15" s="33" t="s">
        <v>8</v>
      </c>
      <c r="D15" s="38">
        <v>0.1</v>
      </c>
    </row>
    <row r="16" spans="1:9" x14ac:dyDescent="0.25">
      <c r="B16" s="2"/>
      <c r="C16" s="26"/>
      <c r="D16" s="5"/>
    </row>
    <row r="17" spans="2:15" x14ac:dyDescent="0.25">
      <c r="B17" s="42" t="s">
        <v>9</v>
      </c>
      <c r="C17" s="49"/>
      <c r="D17" s="36"/>
      <c r="E17" s="36"/>
      <c r="F17" s="36"/>
      <c r="G17" s="7"/>
    </row>
    <row r="18" spans="2:15" x14ac:dyDescent="0.25">
      <c r="B18" s="43"/>
      <c r="C18" s="49" t="s">
        <v>47</v>
      </c>
      <c r="D18" s="36">
        <v>1.2499996419509756</v>
      </c>
      <c r="E18" s="36"/>
      <c r="F18" s="36"/>
    </row>
    <row r="19" spans="2:15" x14ac:dyDescent="0.25">
      <c r="C19" s="27"/>
    </row>
    <row r="20" spans="2:15" x14ac:dyDescent="0.25">
      <c r="B20" s="42" t="s">
        <v>10</v>
      </c>
      <c r="C20" s="29"/>
      <c r="D20" s="28">
        <v>2000</v>
      </c>
      <c r="E20" s="28">
        <f>D20+1</f>
        <v>2001</v>
      </c>
      <c r="F20" s="28">
        <f t="shared" ref="F20:N20" si="0">E20+1</f>
        <v>2002</v>
      </c>
      <c r="G20" s="28">
        <f t="shared" si="0"/>
        <v>2003</v>
      </c>
      <c r="H20" s="28">
        <f t="shared" si="0"/>
        <v>2004</v>
      </c>
      <c r="I20" s="28">
        <f>H20+1</f>
        <v>2005</v>
      </c>
      <c r="J20" s="28">
        <f t="shared" si="0"/>
        <v>2006</v>
      </c>
      <c r="K20" s="28">
        <f t="shared" si="0"/>
        <v>2007</v>
      </c>
      <c r="L20" s="28">
        <f>K20+1</f>
        <v>2008</v>
      </c>
      <c r="M20" s="28">
        <f t="shared" si="0"/>
        <v>2009</v>
      </c>
      <c r="N20" s="28">
        <f t="shared" si="0"/>
        <v>2010</v>
      </c>
      <c r="O20" s="44" t="s">
        <v>58</v>
      </c>
    </row>
    <row r="21" spans="2:15" x14ac:dyDescent="0.25">
      <c r="B21" s="43"/>
      <c r="C21" s="29" t="s">
        <v>11</v>
      </c>
      <c r="D21" s="30">
        <f ca="1">D25-D26</f>
        <v>3540881.1670830832</v>
      </c>
      <c r="E21" s="30">
        <f t="shared" ref="E21:M21" ca="1" si="1">E25-E26</f>
        <v>763040.53955378779</v>
      </c>
      <c r="F21" s="30">
        <f t="shared" ca="1" si="1"/>
        <v>4368466.212170531</v>
      </c>
      <c r="G21" s="30">
        <f t="shared" ca="1" si="1"/>
        <v>4845312.8333875844</v>
      </c>
      <c r="H21" s="30">
        <f t="shared" ca="1" si="1"/>
        <v>5369844.1167263407</v>
      </c>
      <c r="I21" s="30">
        <f t="shared" ca="1" si="1"/>
        <v>1302807.6539607008</v>
      </c>
      <c r="J21" s="30">
        <f t="shared" ca="1" si="1"/>
        <v>6581511.3812388731</v>
      </c>
      <c r="K21" s="30">
        <f t="shared" ca="1" si="1"/>
        <v>7279662.5193627598</v>
      </c>
      <c r="L21" s="30">
        <f t="shared" ca="1" si="1"/>
        <v>1866436.9874216921</v>
      </c>
      <c r="M21" s="30">
        <f t="shared" ca="1" si="1"/>
        <v>8892391.6484289393</v>
      </c>
      <c r="N21" s="30"/>
      <c r="O21" s="45" t="s">
        <v>12</v>
      </c>
    </row>
    <row r="22" spans="2:15" x14ac:dyDescent="0.25">
      <c r="B22" s="43"/>
      <c r="C22" s="29" t="s">
        <v>13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9">
        <f ca="1">NPV(D14,D39:M39) + _xll.PsiOutput()</f>
        <v>21504079.443008285</v>
      </c>
      <c r="O22" s="45" t="s">
        <v>14</v>
      </c>
    </row>
    <row r="23" spans="2:15" x14ac:dyDescent="0.25">
      <c r="C23" s="27"/>
      <c r="O23" s="45"/>
    </row>
    <row r="24" spans="2:15" x14ac:dyDescent="0.25">
      <c r="B24" s="42" t="s">
        <v>15</v>
      </c>
      <c r="C24" s="29"/>
      <c r="D24" s="28">
        <v>2000</v>
      </c>
      <c r="E24" s="28">
        <f>D24+1</f>
        <v>2001</v>
      </c>
      <c r="F24" s="28">
        <f t="shared" ref="F24:M24" si="2">E24+1</f>
        <v>2002</v>
      </c>
      <c r="G24" s="28">
        <f t="shared" si="2"/>
        <v>2003</v>
      </c>
      <c r="H24" s="28">
        <f t="shared" si="2"/>
        <v>2004</v>
      </c>
      <c r="I24" s="28">
        <f>H24+1</f>
        <v>2005</v>
      </c>
      <c r="J24" s="28">
        <f>I24+1</f>
        <v>2006</v>
      </c>
      <c r="K24" s="28">
        <f t="shared" si="2"/>
        <v>2007</v>
      </c>
      <c r="L24" s="28">
        <f>K24+1</f>
        <v>2008</v>
      </c>
      <c r="M24" s="28">
        <f t="shared" si="2"/>
        <v>2009</v>
      </c>
      <c r="N24" s="28"/>
      <c r="O24" s="45"/>
    </row>
    <row r="25" spans="2:15" x14ac:dyDescent="0.25">
      <c r="B25" s="43"/>
      <c r="C25" s="29" t="s">
        <v>16</v>
      </c>
      <c r="D25" s="30">
        <f ca="1">D29*$D$18</f>
        <v>6748085.5670830831</v>
      </c>
      <c r="E25" s="30">
        <f ca="1">E29*$D$18</f>
        <v>1991508.1795537879</v>
      </c>
      <c r="F25" s="30">
        <f t="shared" ref="F25:M25" ca="1" si="3">F29*$D$18</f>
        <v>8165183.5361705311</v>
      </c>
      <c r="G25" s="30">
        <f t="shared" ca="1" si="3"/>
        <v>8981701.8897875845</v>
      </c>
      <c r="H25" s="30">
        <f t="shared" ca="1" si="3"/>
        <v>9879872.0787663404</v>
      </c>
      <c r="I25" s="30">
        <f t="shared" ca="1" si="3"/>
        <v>2915767.1256847009</v>
      </c>
      <c r="J25" s="30">
        <f t="shared" ca="1" si="3"/>
        <v>11954645.215307273</v>
      </c>
      <c r="K25" s="30">
        <f t="shared" ca="1" si="3"/>
        <v>13150109.736838</v>
      </c>
      <c r="L25" s="30">
        <f t="shared" ca="1" si="3"/>
        <v>3880886.0442863358</v>
      </c>
      <c r="M25" s="30">
        <f t="shared" ca="1" si="3"/>
        <v>15911632.781573981</v>
      </c>
      <c r="N25" s="30"/>
      <c r="O25" s="45" t="s">
        <v>17</v>
      </c>
    </row>
    <row r="26" spans="2:15" x14ac:dyDescent="0.25">
      <c r="B26" s="43"/>
      <c r="C26" s="29" t="s">
        <v>18</v>
      </c>
      <c r="D26" s="40">
        <f ca="1">D27+D28</f>
        <v>3207204.4</v>
      </c>
      <c r="E26" s="40">
        <f ca="1">E27+E28</f>
        <v>1228467.6400000001</v>
      </c>
      <c r="F26" s="40">
        <f t="shared" ref="F26:M26" ca="1" si="4">F27+F28</f>
        <v>3796717.324</v>
      </c>
      <c r="G26" s="40">
        <f t="shared" ca="1" si="4"/>
        <v>4136389.0564000001</v>
      </c>
      <c r="H26" s="40">
        <f t="shared" ca="1" si="4"/>
        <v>4510027.9620399997</v>
      </c>
      <c r="I26" s="40">
        <f t="shared" ca="1" si="4"/>
        <v>1612959.4717240001</v>
      </c>
      <c r="J26" s="40">
        <f t="shared" ca="1" si="4"/>
        <v>5373133.8340683999</v>
      </c>
      <c r="K26" s="40">
        <f t="shared" ca="1" si="4"/>
        <v>5870447.2174752401</v>
      </c>
      <c r="L26" s="40">
        <f t="shared" ca="1" si="4"/>
        <v>2014449.0568646437</v>
      </c>
      <c r="M26" s="40">
        <f t="shared" ca="1" si="4"/>
        <v>7019241.1331450408</v>
      </c>
      <c r="N26" s="40"/>
      <c r="O26" s="45" t="s">
        <v>19</v>
      </c>
    </row>
    <row r="27" spans="2:15" x14ac:dyDescent="0.25">
      <c r="B27" s="43"/>
      <c r="C27" s="29" t="s">
        <v>20</v>
      </c>
      <c r="D27" s="40">
        <f ca="1">D29*$D$4</f>
        <v>2807204.4</v>
      </c>
      <c r="E27" s="40">
        <f t="shared" ref="E27:M27" ca="1" si="5">E29*$D$4</f>
        <v>828467.64</v>
      </c>
      <c r="F27" s="40">
        <f t="shared" ca="1" si="5"/>
        <v>3396717.324</v>
      </c>
      <c r="G27" s="40">
        <f t="shared" ca="1" si="5"/>
        <v>3736389.0564000001</v>
      </c>
      <c r="H27" s="40">
        <f t="shared" ca="1" si="5"/>
        <v>4110027.9620399997</v>
      </c>
      <c r="I27" s="40">
        <f t="shared" ca="1" si="5"/>
        <v>1212959.4717240001</v>
      </c>
      <c r="J27" s="40">
        <f t="shared" ca="1" si="5"/>
        <v>4973133.8340683999</v>
      </c>
      <c r="K27" s="40">
        <f t="shared" ca="1" si="5"/>
        <v>5470447.2174752401</v>
      </c>
      <c r="L27" s="40">
        <f t="shared" ca="1" si="5"/>
        <v>1614449.0568646437</v>
      </c>
      <c r="M27" s="40">
        <f t="shared" ca="1" si="5"/>
        <v>6619241.1331450408</v>
      </c>
      <c r="N27" s="40"/>
      <c r="O27" s="45" t="s">
        <v>21</v>
      </c>
    </row>
    <row r="28" spans="2:15" x14ac:dyDescent="0.25">
      <c r="B28" s="43"/>
      <c r="C28" s="29" t="s">
        <v>22</v>
      </c>
      <c r="D28" s="40">
        <f t="shared" ref="D28:M28" si="6">$D$15*$D$6</f>
        <v>400000</v>
      </c>
      <c r="E28" s="40">
        <f t="shared" si="6"/>
        <v>400000</v>
      </c>
      <c r="F28" s="40">
        <f t="shared" si="6"/>
        <v>400000</v>
      </c>
      <c r="G28" s="40">
        <f t="shared" si="6"/>
        <v>400000</v>
      </c>
      <c r="H28" s="40">
        <f t="shared" si="6"/>
        <v>400000</v>
      </c>
      <c r="I28" s="40">
        <f t="shared" si="6"/>
        <v>400000</v>
      </c>
      <c r="J28" s="40">
        <f t="shared" si="6"/>
        <v>400000</v>
      </c>
      <c r="K28" s="40">
        <f t="shared" si="6"/>
        <v>400000</v>
      </c>
      <c r="L28" s="40">
        <f t="shared" si="6"/>
        <v>400000</v>
      </c>
      <c r="M28" s="40">
        <f t="shared" si="6"/>
        <v>400000</v>
      </c>
      <c r="N28" s="40"/>
      <c r="O28" s="45" t="s">
        <v>23</v>
      </c>
    </row>
    <row r="29" spans="2:15" x14ac:dyDescent="0.25">
      <c r="B29" s="43"/>
      <c r="C29" s="29" t="s">
        <v>51</v>
      </c>
      <c r="D29" s="30">
        <f ca="1">D30*D32/100</f>
        <v>5398470</v>
      </c>
      <c r="E29" s="30">
        <f ca="1">E30*E32/100</f>
        <v>1593207</v>
      </c>
      <c r="F29" s="30">
        <f t="shared" ref="F29:M29" ca="1" si="7">F30*F32/100</f>
        <v>6532148.7000000002</v>
      </c>
      <c r="G29" s="30">
        <f t="shared" ca="1" si="7"/>
        <v>7185363.5700000003</v>
      </c>
      <c r="H29" s="30">
        <f t="shared" ca="1" si="7"/>
        <v>7903899.9269999992</v>
      </c>
      <c r="I29" s="30">
        <f t="shared" ca="1" si="7"/>
        <v>2332614.3687</v>
      </c>
      <c r="J29" s="30">
        <f t="shared" ca="1" si="7"/>
        <v>9563718.9116699994</v>
      </c>
      <c r="K29" s="30">
        <f t="shared" ca="1" si="7"/>
        <v>10520090.802836999</v>
      </c>
      <c r="L29" s="30">
        <f t="shared" ca="1" si="7"/>
        <v>3104709.7247396992</v>
      </c>
      <c r="M29" s="30">
        <f t="shared" ca="1" si="7"/>
        <v>12729309.87143277</v>
      </c>
      <c r="N29" s="30"/>
      <c r="O29" s="46" t="s">
        <v>24</v>
      </c>
    </row>
    <row r="30" spans="2:15" x14ac:dyDescent="0.25">
      <c r="B30" s="43"/>
      <c r="C30" s="29" t="s">
        <v>50</v>
      </c>
      <c r="D30" s="30">
        <f>D31*$D$13</f>
        <v>13167000</v>
      </c>
      <c r="E30" s="30">
        <f t="shared" ref="E30:M30" si="8">E31*$D$13</f>
        <v>14483700</v>
      </c>
      <c r="F30" s="30">
        <f t="shared" si="8"/>
        <v>15932070</v>
      </c>
      <c r="G30" s="30">
        <f t="shared" si="8"/>
        <v>17525277</v>
      </c>
      <c r="H30" s="30">
        <f t="shared" si="8"/>
        <v>19277804.699999999</v>
      </c>
      <c r="I30" s="30">
        <f t="shared" si="8"/>
        <v>21205585.170000002</v>
      </c>
      <c r="J30" s="30">
        <f t="shared" si="8"/>
        <v>23326143.686999999</v>
      </c>
      <c r="K30" s="30">
        <f t="shared" si="8"/>
        <v>25658758.055699997</v>
      </c>
      <c r="L30" s="30">
        <f t="shared" si="8"/>
        <v>28224633.861269996</v>
      </c>
      <c r="M30" s="30">
        <f t="shared" si="8"/>
        <v>31047097.247396998</v>
      </c>
      <c r="N30" s="30"/>
      <c r="O30" s="45" t="s">
        <v>25</v>
      </c>
    </row>
    <row r="31" spans="2:15" x14ac:dyDescent="0.25">
      <c r="B31" s="43"/>
      <c r="C31" s="29" t="s">
        <v>26</v>
      </c>
      <c r="D31" s="30">
        <f>(D10*D12)+D12</f>
        <v>1316700</v>
      </c>
      <c r="E31" s="41">
        <f>D31+(D31*$D$10)</f>
        <v>1448370</v>
      </c>
      <c r="F31" s="41">
        <f t="shared" ref="F31:M31" si="9">E31+(E31*$D$10)</f>
        <v>1593207</v>
      </c>
      <c r="G31" s="41">
        <f t="shared" si="9"/>
        <v>1752527.7</v>
      </c>
      <c r="H31" s="41">
        <f t="shared" si="9"/>
        <v>1927780.47</v>
      </c>
      <c r="I31" s="41">
        <f t="shared" si="9"/>
        <v>2120558.517</v>
      </c>
      <c r="J31" s="41">
        <f t="shared" si="9"/>
        <v>2332614.3687</v>
      </c>
      <c r="K31" s="41">
        <f t="shared" si="9"/>
        <v>2565875.8055699999</v>
      </c>
      <c r="L31" s="41">
        <f t="shared" si="9"/>
        <v>2822463.3861269997</v>
      </c>
      <c r="M31" s="41">
        <f t="shared" si="9"/>
        <v>3104709.7247396996</v>
      </c>
      <c r="N31" s="41"/>
      <c r="O31" s="45" t="s">
        <v>27</v>
      </c>
    </row>
    <row r="32" spans="2:15" x14ac:dyDescent="0.25">
      <c r="B32" s="43"/>
      <c r="C32" s="29" t="s">
        <v>57</v>
      </c>
      <c r="D32" s="30">
        <f ca="1">VLOOKUP(D33,GivenValues!$A$3:$B$8,2)</f>
        <v>41</v>
      </c>
      <c r="E32" s="30">
        <f ca="1">VLOOKUP(E33,GivenValues!$A$3:$B$8,2)</f>
        <v>11</v>
      </c>
      <c r="F32" s="30">
        <f ca="1">VLOOKUP(F33,GivenValues!$A$3:$B$8,2)</f>
        <v>41</v>
      </c>
      <c r="G32" s="30">
        <f ca="1">VLOOKUP(G33,GivenValues!$A$3:$B$8,2)</f>
        <v>41</v>
      </c>
      <c r="H32" s="30">
        <f ca="1">VLOOKUP(H33,GivenValues!$A$3:$B$8,2)</f>
        <v>41</v>
      </c>
      <c r="I32" s="30">
        <f ca="1">VLOOKUP(I33,GivenValues!$A$3:$B$8,2)</f>
        <v>11</v>
      </c>
      <c r="J32" s="30">
        <f ca="1">VLOOKUP(J33,GivenValues!$A$3:$B$8,2)</f>
        <v>41</v>
      </c>
      <c r="K32" s="30">
        <f ca="1">VLOOKUP(K33,GivenValues!$A$3:$B$8,2)</f>
        <v>41</v>
      </c>
      <c r="L32" s="30">
        <f ca="1">VLOOKUP(L33,GivenValues!$A$3:$B$8,2)</f>
        <v>11</v>
      </c>
      <c r="M32" s="30">
        <f ca="1">VLOOKUP(M33,GivenValues!$A$3:$B$8,2)</f>
        <v>41</v>
      </c>
      <c r="N32" s="30"/>
      <c r="O32" s="45" t="s">
        <v>28</v>
      </c>
    </row>
    <row r="33" spans="2:15" x14ac:dyDescent="0.25">
      <c r="B33" s="43"/>
      <c r="C33" s="29" t="s">
        <v>29</v>
      </c>
      <c r="D33" s="40">
        <f ca="1">D34/$D$18</f>
        <v>1.6881411323799458</v>
      </c>
      <c r="E33" s="40">
        <f t="shared" ref="E33:M33" ca="1" si="10">E34/$D$18</f>
        <v>1.0460693096233307</v>
      </c>
      <c r="F33" s="40">
        <f t="shared" ca="1" si="10"/>
        <v>1.8612471064335754</v>
      </c>
      <c r="G33" s="40">
        <f t="shared" ca="1" si="10"/>
        <v>1.6884923317593317</v>
      </c>
      <c r="H33" s="40">
        <f t="shared" ca="1" si="10"/>
        <v>1.9006029931228883</v>
      </c>
      <c r="I33" s="40">
        <f t="shared" ca="1" si="10"/>
        <v>1.4497490618944444</v>
      </c>
      <c r="J33" s="40">
        <f t="shared" ca="1" si="10"/>
        <v>1.9772467269542791</v>
      </c>
      <c r="K33" s="40">
        <f t="shared" ca="1" si="10"/>
        <v>1.717521542521691</v>
      </c>
      <c r="L33" s="40">
        <f t="shared" ca="1" si="10"/>
        <v>1.0493404545909868</v>
      </c>
      <c r="M33" s="40">
        <f t="shared" ca="1" si="10"/>
        <v>1.6151350238722606</v>
      </c>
      <c r="N33" s="30"/>
      <c r="O33" s="45" t="s">
        <v>30</v>
      </c>
    </row>
    <row r="34" spans="2:15" x14ac:dyDescent="0.25">
      <c r="B34" s="43"/>
      <c r="C34" s="29" t="s">
        <v>65</v>
      </c>
      <c r="D34" s="40">
        <f ca="1">_xll.PsiTriangular($E$8,$F$8,$G$8)</f>
        <v>2.1101758110376467</v>
      </c>
      <c r="E34" s="40">
        <f ca="1">_xll.PsiTriangular($E$8,$F$8,$G$8)</f>
        <v>1.3075862624850676</v>
      </c>
      <c r="F34" s="40">
        <f ca="1">_xll.PsiTriangular($E$8,$F$8,$G$8)</f>
        <v>2.3265582166242584</v>
      </c>
      <c r="G34" s="40">
        <f ca="1">_xll.PsiTriangular($E$8,$F$8,$G$8)</f>
        <v>2.1106148101361324</v>
      </c>
      <c r="H34" s="40">
        <f ca="1">_xll.PsiTriangular($E$8,$F$8,$G$8)</f>
        <v>2.3757530608945627</v>
      </c>
      <c r="I34" s="40">
        <f ca="1">_xll.PsiTriangular($E$8,$F$8,$G$8)</f>
        <v>1.8121858082868183</v>
      </c>
      <c r="J34" s="40">
        <f ca="1">_xll.PsiTriangular($E$8,$F$8,$G$8)</f>
        <v>2.4715577007415872</v>
      </c>
      <c r="K34" s="40">
        <f ca="1">_xll.PsiTriangular($E$8,$F$8,$G$8)</f>
        <v>2.1469013131952011</v>
      </c>
      <c r="L34" s="40">
        <f ca="1">_xll.PsiTriangular($E$8,$F$8,$G$8)</f>
        <v>1.3116751925234074</v>
      </c>
      <c r="M34" s="40">
        <f ca="1">_xll.PsiTriangular($E$8,$F$8,$G$8)</f>
        <v>2.0189182015428062</v>
      </c>
      <c r="N34" s="30"/>
      <c r="O34" s="45"/>
    </row>
    <row r="35" spans="2:15" x14ac:dyDescent="0.25">
      <c r="B35" s="43"/>
      <c r="C35" s="29" t="s">
        <v>31</v>
      </c>
      <c r="D35" s="39">
        <f>D14*D6</f>
        <v>400000</v>
      </c>
      <c r="E35" s="39">
        <f>D38*$D$14</f>
        <v>374901.84204699541</v>
      </c>
      <c r="F35" s="39">
        <f t="shared" ref="F35:L35" si="11">E38*$D$14</f>
        <v>347293.8682986903</v>
      </c>
      <c r="G35" s="39">
        <f t="shared" si="11"/>
        <v>316925.09717555478</v>
      </c>
      <c r="H35" s="39">
        <f t="shared" si="11"/>
        <v>283519.44894010562</v>
      </c>
      <c r="I35" s="39">
        <f t="shared" si="11"/>
        <v>246773.23588111156</v>
      </c>
      <c r="J35" s="39">
        <f t="shared" si="11"/>
        <v>206352.40151621809</v>
      </c>
      <c r="K35" s="39">
        <f t="shared" si="11"/>
        <v>161889.48371483531</v>
      </c>
      <c r="L35" s="39">
        <f t="shared" si="11"/>
        <v>112980.27413331422</v>
      </c>
      <c r="M35" s="39">
        <f>L38*$D$14</f>
        <v>59180.143593641034</v>
      </c>
      <c r="N35" s="39"/>
      <c r="O35" s="47" t="s">
        <v>53</v>
      </c>
    </row>
    <row r="36" spans="2:15" x14ac:dyDescent="0.25">
      <c r="B36" s="43"/>
      <c r="C36" s="29" t="s">
        <v>32</v>
      </c>
      <c r="D36" s="40">
        <f>D37-D35</f>
        <v>250981.57953004609</v>
      </c>
      <c r="E36" s="40">
        <f t="shared" ref="E36:L36" si="12">E37-E35</f>
        <v>276079.73748305067</v>
      </c>
      <c r="F36" s="40">
        <f t="shared" si="12"/>
        <v>303687.71123135579</v>
      </c>
      <c r="G36" s="40">
        <f t="shared" si="12"/>
        <v>334056.48235449131</v>
      </c>
      <c r="H36" s="40">
        <f t="shared" si="12"/>
        <v>367462.13058994047</v>
      </c>
      <c r="I36" s="40">
        <f t="shared" si="12"/>
        <v>404208.3436489345</v>
      </c>
      <c r="J36" s="40">
        <f t="shared" si="12"/>
        <v>444629.178013828</v>
      </c>
      <c r="K36" s="40">
        <f t="shared" si="12"/>
        <v>489092.09581521078</v>
      </c>
      <c r="L36" s="40">
        <f t="shared" si="12"/>
        <v>538001.30539673183</v>
      </c>
      <c r="M36" s="40">
        <f>M37-M35</f>
        <v>591801.43593640509</v>
      </c>
      <c r="N36" s="39"/>
      <c r="O36" s="47" t="s">
        <v>54</v>
      </c>
    </row>
    <row r="37" spans="2:15" x14ac:dyDescent="0.25">
      <c r="B37" s="43"/>
      <c r="C37" s="29" t="s">
        <v>33</v>
      </c>
      <c r="D37" s="40">
        <f t="shared" ref="D37:M37" si="13">($D$6*$D$14)/(1-(1+$D$14)^-$D$11)</f>
        <v>650981.57953004609</v>
      </c>
      <c r="E37" s="40">
        <f t="shared" si="13"/>
        <v>650981.57953004609</v>
      </c>
      <c r="F37" s="40">
        <f t="shared" si="13"/>
        <v>650981.57953004609</v>
      </c>
      <c r="G37" s="40">
        <f t="shared" si="13"/>
        <v>650981.57953004609</v>
      </c>
      <c r="H37" s="40">
        <f t="shared" si="13"/>
        <v>650981.57953004609</v>
      </c>
      <c r="I37" s="40">
        <f t="shared" si="13"/>
        <v>650981.57953004609</v>
      </c>
      <c r="J37" s="40">
        <f t="shared" si="13"/>
        <v>650981.57953004609</v>
      </c>
      <c r="K37" s="40">
        <f t="shared" si="13"/>
        <v>650981.57953004609</v>
      </c>
      <c r="L37" s="40">
        <f t="shared" si="13"/>
        <v>650981.57953004609</v>
      </c>
      <c r="M37" s="40">
        <f t="shared" si="13"/>
        <v>650981.57953004609</v>
      </c>
      <c r="N37" s="40"/>
      <c r="O37" s="48" t="s">
        <v>56</v>
      </c>
    </row>
    <row r="38" spans="2:15" x14ac:dyDescent="0.25">
      <c r="B38" s="43"/>
      <c r="C38" s="29" t="s">
        <v>34</v>
      </c>
      <c r="D38" s="40">
        <f>D6-D36</f>
        <v>3749018.4204699537</v>
      </c>
      <c r="E38" s="40">
        <f>D38-E36</f>
        <v>3472938.682986903</v>
      </c>
      <c r="F38" s="40">
        <f t="shared" ref="F38:M38" si="14">E38-F36</f>
        <v>3169250.9717555474</v>
      </c>
      <c r="G38" s="40">
        <f t="shared" si="14"/>
        <v>2835194.489401056</v>
      </c>
      <c r="H38" s="40">
        <f t="shared" si="14"/>
        <v>2467732.3588111154</v>
      </c>
      <c r="I38" s="40">
        <f t="shared" si="14"/>
        <v>2063524.0151621809</v>
      </c>
      <c r="J38" s="40">
        <f t="shared" si="14"/>
        <v>1618894.837148353</v>
      </c>
      <c r="K38" s="40">
        <f t="shared" si="14"/>
        <v>1129802.7413331422</v>
      </c>
      <c r="L38" s="40">
        <f t="shared" si="14"/>
        <v>591801.43593641033</v>
      </c>
      <c r="M38" s="40">
        <f t="shared" si="14"/>
        <v>5.2386894822120667E-9</v>
      </c>
      <c r="N38" s="39"/>
      <c r="O38" s="47" t="s">
        <v>52</v>
      </c>
    </row>
    <row r="39" spans="2:15" x14ac:dyDescent="0.25">
      <c r="B39" s="43"/>
      <c r="C39" s="29" t="s">
        <v>35</v>
      </c>
      <c r="D39" s="40">
        <f ca="1">D21-D37</f>
        <v>2889899.5875530373</v>
      </c>
      <c r="E39" s="40">
        <f t="shared" ref="E39:L39" ca="1" si="15">E21-E37</f>
        <v>112058.9600237417</v>
      </c>
      <c r="F39" s="40">
        <f t="shared" ca="1" si="15"/>
        <v>3717484.6326404847</v>
      </c>
      <c r="G39" s="40">
        <f t="shared" ca="1" si="15"/>
        <v>4194331.2538575381</v>
      </c>
      <c r="H39" s="40">
        <f t="shared" ca="1" si="15"/>
        <v>4718862.5371962944</v>
      </c>
      <c r="I39" s="40">
        <f t="shared" ca="1" si="15"/>
        <v>651826.07443065476</v>
      </c>
      <c r="J39" s="40">
        <f t="shared" ca="1" si="15"/>
        <v>5930529.8017088268</v>
      </c>
      <c r="K39" s="40">
        <f t="shared" ca="1" si="15"/>
        <v>6628680.9398327135</v>
      </c>
      <c r="L39" s="40">
        <f t="shared" ca="1" si="15"/>
        <v>1215455.407891646</v>
      </c>
      <c r="M39" s="40">
        <f ca="1">M21-M37</f>
        <v>8241410.068898893</v>
      </c>
      <c r="N39" s="30"/>
      <c r="O39" s="47" t="s">
        <v>55</v>
      </c>
    </row>
    <row r="40" spans="2:15" x14ac:dyDescent="0.25">
      <c r="D40" s="7"/>
    </row>
  </sheetData>
  <mergeCells count="1">
    <mergeCell ref="F10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5534"/>
  <sheetViews>
    <sheetView topLeftCell="C1" workbookViewId="0">
      <selection activeCell="F4" sqref="F4:I8"/>
    </sheetView>
  </sheetViews>
  <sheetFormatPr defaultRowHeight="15" x14ac:dyDescent="0.25"/>
  <cols>
    <col min="1" max="1" width="11.42578125" customWidth="1"/>
    <col min="2" max="2" width="27.7109375" bestFit="1" customWidth="1"/>
    <col min="3" max="3" width="55.5703125" bestFit="1" customWidth="1"/>
    <col min="4" max="4" width="25.140625" bestFit="1" customWidth="1"/>
    <col min="5" max="5" width="24.85546875" customWidth="1"/>
    <col min="6" max="13" width="14.28515625" bestFit="1" customWidth="1"/>
    <col min="14" max="14" width="19" customWidth="1"/>
    <col min="15" max="15" width="65.28515625" bestFit="1" customWidth="1"/>
  </cols>
  <sheetData>
    <row r="1" spans="1:9" x14ac:dyDescent="0.25">
      <c r="A1" s="20" t="s">
        <v>0</v>
      </c>
    </row>
    <row r="2" spans="1:9" x14ac:dyDescent="0.25">
      <c r="A2" s="1"/>
    </row>
    <row r="3" spans="1:9" ht="15.75" thickBot="1" x14ac:dyDescent="0.3">
      <c r="B3" s="42" t="s">
        <v>1</v>
      </c>
      <c r="C3" s="31"/>
      <c r="D3" s="34"/>
    </row>
    <row r="4" spans="1:9" x14ac:dyDescent="0.25">
      <c r="B4" s="43"/>
      <c r="C4" s="29" t="s">
        <v>2</v>
      </c>
      <c r="D4" s="35">
        <v>0.52</v>
      </c>
      <c r="F4" s="121" t="s">
        <v>84</v>
      </c>
      <c r="G4" s="122"/>
      <c r="H4" s="122"/>
      <c r="I4" s="123"/>
    </row>
    <row r="5" spans="1:9" x14ac:dyDescent="0.25">
      <c r="B5" s="43"/>
      <c r="C5" s="29" t="s">
        <v>3</v>
      </c>
      <c r="D5" s="35">
        <v>0.95</v>
      </c>
      <c r="F5" s="124"/>
      <c r="G5" s="125"/>
      <c r="H5" s="125"/>
      <c r="I5" s="126"/>
    </row>
    <row r="6" spans="1:9" x14ac:dyDescent="0.25">
      <c r="B6" s="43"/>
      <c r="C6" s="29" t="s">
        <v>4</v>
      </c>
      <c r="D6" s="35">
        <v>4000000</v>
      </c>
      <c r="F6" s="124"/>
      <c r="G6" s="125"/>
      <c r="H6" s="125"/>
      <c r="I6" s="126"/>
    </row>
    <row r="7" spans="1:9" x14ac:dyDescent="0.25">
      <c r="B7" s="43"/>
      <c r="C7" s="29" t="s">
        <v>5</v>
      </c>
      <c r="D7" s="35">
        <f ca="1">_xll.PsiSenParam(0.95,5)</f>
        <v>2.9750000000000001</v>
      </c>
      <c r="F7" s="124"/>
      <c r="G7" s="125"/>
      <c r="H7" s="125"/>
      <c r="I7" s="126"/>
    </row>
    <row r="8" spans="1:9" ht="17.25" customHeight="1" thickBot="1" x14ac:dyDescent="0.3">
      <c r="B8" s="43"/>
      <c r="C8" s="32" t="s">
        <v>6</v>
      </c>
      <c r="D8" s="35">
        <v>5</v>
      </c>
      <c r="F8" s="127"/>
      <c r="G8" s="128"/>
      <c r="H8" s="128"/>
      <c r="I8" s="129"/>
    </row>
    <row r="9" spans="1:9" x14ac:dyDescent="0.25">
      <c r="B9" s="43"/>
      <c r="C9" s="29" t="s">
        <v>44</v>
      </c>
      <c r="D9" s="37">
        <v>0.1</v>
      </c>
    </row>
    <row r="10" spans="1:9" x14ac:dyDescent="0.25">
      <c r="B10" s="43"/>
      <c r="C10" s="29" t="s">
        <v>45</v>
      </c>
      <c r="D10" s="36">
        <v>10</v>
      </c>
    </row>
    <row r="11" spans="1:9" x14ac:dyDescent="0.25">
      <c r="B11" s="43"/>
      <c r="C11" s="29" t="s">
        <v>36</v>
      </c>
      <c r="D11" s="36">
        <f>VLOOKUP(D23-1,GivenValues!F2:G18,2)*1000</f>
        <v>1197000</v>
      </c>
    </row>
    <row r="12" spans="1:9" x14ac:dyDescent="0.25">
      <c r="B12" s="43"/>
      <c r="C12" s="29" t="s">
        <v>46</v>
      </c>
      <c r="D12" s="36">
        <f>GivenValues!I39</f>
        <v>10</v>
      </c>
      <c r="E12" t="s">
        <v>48</v>
      </c>
    </row>
    <row r="13" spans="1:9" x14ac:dyDescent="0.25">
      <c r="B13" s="43"/>
      <c r="C13" s="29" t="s">
        <v>7</v>
      </c>
      <c r="D13" s="38">
        <v>0.1</v>
      </c>
    </row>
    <row r="14" spans="1:9" x14ac:dyDescent="0.25">
      <c r="B14" s="43"/>
      <c r="C14" s="33" t="s">
        <v>8</v>
      </c>
      <c r="D14" s="38">
        <v>0.1</v>
      </c>
    </row>
    <row r="15" spans="1:9" x14ac:dyDescent="0.25">
      <c r="B15" s="2"/>
      <c r="C15" s="26"/>
      <c r="D15" s="5"/>
    </row>
    <row r="16" spans="1:9" x14ac:dyDescent="0.25">
      <c r="B16" s="42" t="s">
        <v>9</v>
      </c>
      <c r="C16" s="29"/>
      <c r="D16" s="30"/>
      <c r="F16" s="7"/>
      <c r="G16" s="7"/>
    </row>
    <row r="17" spans="2:15" x14ac:dyDescent="0.25">
      <c r="B17" s="43"/>
      <c r="C17" s="29" t="s">
        <v>47</v>
      </c>
      <c r="D17" s="30">
        <f ca="1">_xll.PsiSenParam(0.52,5)</f>
        <v>2.76</v>
      </c>
      <c r="E17" t="s">
        <v>49</v>
      </c>
    </row>
    <row r="18" spans="2:15" x14ac:dyDescent="0.25">
      <c r="C18" s="27"/>
    </row>
    <row r="19" spans="2:15" x14ac:dyDescent="0.25">
      <c r="B19" s="42" t="s">
        <v>10</v>
      </c>
      <c r="C19" s="29"/>
      <c r="D19" s="28">
        <v>2000</v>
      </c>
      <c r="E19" s="28">
        <f>D19+1</f>
        <v>2001</v>
      </c>
      <c r="F19" s="28">
        <f t="shared" ref="F19:N19" si="0">E19+1</f>
        <v>2002</v>
      </c>
      <c r="G19" s="28">
        <f t="shared" si="0"/>
        <v>2003</v>
      </c>
      <c r="H19" s="28">
        <f t="shared" si="0"/>
        <v>2004</v>
      </c>
      <c r="I19" s="28">
        <f>H19+1</f>
        <v>2005</v>
      </c>
      <c r="J19" s="28">
        <f t="shared" si="0"/>
        <v>2006</v>
      </c>
      <c r="K19" s="28">
        <f t="shared" si="0"/>
        <v>2007</v>
      </c>
      <c r="L19" s="28">
        <f>K19+1</f>
        <v>2008</v>
      </c>
      <c r="M19" s="28">
        <f t="shared" si="0"/>
        <v>2009</v>
      </c>
      <c r="N19" s="28">
        <f t="shared" si="0"/>
        <v>2010</v>
      </c>
      <c r="O19" s="44" t="s">
        <v>58</v>
      </c>
    </row>
    <row r="20" spans="2:15" x14ac:dyDescent="0.25">
      <c r="B20" s="43"/>
      <c r="C20" s="29" t="s">
        <v>11</v>
      </c>
      <c r="D20" s="30">
        <f ca="1">D24-D25</f>
        <v>2844348.8</v>
      </c>
      <c r="E20" s="30">
        <f t="shared" ref="E20:M20" ca="1" si="1">E24-E25</f>
        <v>3168783.6799999992</v>
      </c>
      <c r="F20" s="30">
        <f t="shared" ca="1" si="1"/>
        <v>3525662.0479999995</v>
      </c>
      <c r="G20" s="30">
        <f t="shared" ca="1" si="1"/>
        <v>3918228.2527999999</v>
      </c>
      <c r="H20" s="30">
        <f t="shared" ca="1" si="1"/>
        <v>4350051.0780799994</v>
      </c>
      <c r="I20" s="30">
        <f t="shared" ca="1" si="1"/>
        <v>4825056.1858879998</v>
      </c>
      <c r="J20" s="30">
        <f t="shared" ca="1" si="1"/>
        <v>5347561.8044767994</v>
      </c>
      <c r="K20" s="30">
        <f t="shared" ca="1" si="1"/>
        <v>5922317.9849244785</v>
      </c>
      <c r="L20" s="30">
        <f t="shared" ca="1" si="1"/>
        <v>6554549.783416925</v>
      </c>
      <c r="M20" s="30">
        <f t="shared" ca="1" si="1"/>
        <v>7250004.7617586209</v>
      </c>
      <c r="N20" s="30"/>
      <c r="O20" s="45" t="s">
        <v>12</v>
      </c>
    </row>
    <row r="21" spans="2:15" x14ac:dyDescent="0.25">
      <c r="B21" s="43"/>
      <c r="C21" s="29" t="s">
        <v>13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9">
        <f ca="1">NPV(D13,D37:M37)</f>
        <v>23036253.157718111</v>
      </c>
      <c r="O21" s="45" t="s">
        <v>14</v>
      </c>
    </row>
    <row r="22" spans="2:15" x14ac:dyDescent="0.25">
      <c r="C22" s="27"/>
      <c r="O22" s="45"/>
    </row>
    <row r="23" spans="2:15" x14ac:dyDescent="0.25">
      <c r="B23" s="42" t="s">
        <v>15</v>
      </c>
      <c r="C23" s="29"/>
      <c r="D23" s="28">
        <v>2000</v>
      </c>
      <c r="E23" s="28">
        <f>D23+1</f>
        <v>2001</v>
      </c>
      <c r="F23" s="28">
        <f t="shared" ref="F23:M23" si="2">E23+1</f>
        <v>2002</v>
      </c>
      <c r="G23" s="28">
        <f t="shared" si="2"/>
        <v>2003</v>
      </c>
      <c r="H23" s="28">
        <f t="shared" si="2"/>
        <v>2004</v>
      </c>
      <c r="I23" s="28">
        <f>H23+1</f>
        <v>2005</v>
      </c>
      <c r="J23" s="28">
        <f t="shared" si="2"/>
        <v>2006</v>
      </c>
      <c r="K23" s="28">
        <f t="shared" si="2"/>
        <v>2007</v>
      </c>
      <c r="L23" s="28">
        <f>K23+1</f>
        <v>2008</v>
      </c>
      <c r="M23" s="28">
        <f t="shared" si="2"/>
        <v>2009</v>
      </c>
      <c r="N23" s="28"/>
      <c r="O23" s="45"/>
    </row>
    <row r="24" spans="2:15" x14ac:dyDescent="0.25">
      <c r="B24" s="43"/>
      <c r="C24" s="29" t="s">
        <v>16</v>
      </c>
      <c r="D24" s="30">
        <f ca="1">D28*$D$17</f>
        <v>3997501.1999999997</v>
      </c>
      <c r="E24" s="30">
        <f ca="1">E28*$D$17</f>
        <v>4397251.3199999994</v>
      </c>
      <c r="F24" s="30">
        <f t="shared" ref="F24:M24" ca="1" si="3">F28*$D$17</f>
        <v>4836976.4519999996</v>
      </c>
      <c r="G24" s="30">
        <f t="shared" ca="1" si="3"/>
        <v>5320674.0971999997</v>
      </c>
      <c r="H24" s="30">
        <f t="shared" ca="1" si="3"/>
        <v>5852741.5069199996</v>
      </c>
      <c r="I24" s="30">
        <f t="shared" ca="1" si="3"/>
        <v>6438015.6576119997</v>
      </c>
      <c r="J24" s="30">
        <f t="shared" ca="1" si="3"/>
        <v>7081817.2233731989</v>
      </c>
      <c r="K24" s="30">
        <f t="shared" ca="1" si="3"/>
        <v>7789998.9457105184</v>
      </c>
      <c r="L24" s="30">
        <f t="shared" ca="1" si="3"/>
        <v>8568998.8402815685</v>
      </c>
      <c r="M24" s="30">
        <f t="shared" ca="1" si="3"/>
        <v>9425898.7243097294</v>
      </c>
      <c r="N24" s="30"/>
      <c r="O24" s="45" t="s">
        <v>17</v>
      </c>
    </row>
    <row r="25" spans="2:15" x14ac:dyDescent="0.25">
      <c r="B25" s="43"/>
      <c r="C25" s="29" t="s">
        <v>18</v>
      </c>
      <c r="D25" s="40">
        <f ca="1">D26+D27</f>
        <v>1153152.3999999999</v>
      </c>
      <c r="E25" s="40">
        <f ca="1">E26+E27</f>
        <v>1228467.6400000001</v>
      </c>
      <c r="F25" s="40">
        <f t="shared" ref="F25:M25" ca="1" si="4">F26+F27</f>
        <v>1311314.4040000001</v>
      </c>
      <c r="G25" s="40">
        <f t="shared" ca="1" si="4"/>
        <v>1402445.8444000001</v>
      </c>
      <c r="H25" s="40">
        <f t="shared" ca="1" si="4"/>
        <v>1502690.4288399999</v>
      </c>
      <c r="I25" s="40">
        <f t="shared" ca="1" si="4"/>
        <v>1612959.4717240001</v>
      </c>
      <c r="J25" s="40">
        <f t="shared" ca="1" si="4"/>
        <v>1734255.4188963999</v>
      </c>
      <c r="K25" s="40">
        <f t="shared" ca="1" si="4"/>
        <v>1867680.9607860399</v>
      </c>
      <c r="L25" s="40">
        <f t="shared" ca="1" si="4"/>
        <v>2014449.0568646437</v>
      </c>
      <c r="M25" s="40">
        <f t="shared" ca="1" si="4"/>
        <v>2175893.9625511086</v>
      </c>
      <c r="N25" s="40"/>
      <c r="O25" s="45" t="s">
        <v>19</v>
      </c>
    </row>
    <row r="26" spans="2:15" x14ac:dyDescent="0.25">
      <c r="B26" s="43"/>
      <c r="C26" s="29" t="s">
        <v>20</v>
      </c>
      <c r="D26" s="40">
        <f ca="1">D28*$D$4</f>
        <v>753152.4</v>
      </c>
      <c r="E26" s="40">
        <f t="shared" ref="E26:M26" ca="1" si="5">E28*$D$4</f>
        <v>828467.64</v>
      </c>
      <c r="F26" s="40">
        <f t="shared" ca="1" si="5"/>
        <v>911314.40399999998</v>
      </c>
      <c r="G26" s="40">
        <f t="shared" ca="1" si="5"/>
        <v>1002445.8444000001</v>
      </c>
      <c r="H26" s="40">
        <f t="shared" ca="1" si="5"/>
        <v>1102690.4288399999</v>
      </c>
      <c r="I26" s="40">
        <f t="shared" ca="1" si="5"/>
        <v>1212959.4717240001</v>
      </c>
      <c r="J26" s="40">
        <f t="shared" ca="1" si="5"/>
        <v>1334255.4188963999</v>
      </c>
      <c r="K26" s="40">
        <f t="shared" ca="1" si="5"/>
        <v>1467680.9607860399</v>
      </c>
      <c r="L26" s="40">
        <f t="shared" ca="1" si="5"/>
        <v>1614449.0568646437</v>
      </c>
      <c r="M26" s="40">
        <f t="shared" ca="1" si="5"/>
        <v>1775893.9625511086</v>
      </c>
      <c r="N26" s="40"/>
      <c r="O26" s="45" t="s">
        <v>21</v>
      </c>
    </row>
    <row r="27" spans="2:15" x14ac:dyDescent="0.25">
      <c r="B27" s="43"/>
      <c r="C27" s="29" t="s">
        <v>22</v>
      </c>
      <c r="D27" s="40">
        <f t="shared" ref="D27:M27" si="6">$D$14*$D$6</f>
        <v>400000</v>
      </c>
      <c r="E27" s="40">
        <f t="shared" si="6"/>
        <v>400000</v>
      </c>
      <c r="F27" s="40">
        <f t="shared" si="6"/>
        <v>400000</v>
      </c>
      <c r="G27" s="40">
        <f t="shared" si="6"/>
        <v>400000</v>
      </c>
      <c r="H27" s="40">
        <f t="shared" si="6"/>
        <v>400000</v>
      </c>
      <c r="I27" s="40">
        <f t="shared" si="6"/>
        <v>400000</v>
      </c>
      <c r="J27" s="40">
        <f t="shared" si="6"/>
        <v>400000</v>
      </c>
      <c r="K27" s="40">
        <f t="shared" si="6"/>
        <v>400000</v>
      </c>
      <c r="L27" s="40">
        <f t="shared" si="6"/>
        <v>400000</v>
      </c>
      <c r="M27" s="40">
        <f t="shared" si="6"/>
        <v>400000</v>
      </c>
      <c r="N27" s="40"/>
      <c r="O27" s="45" t="s">
        <v>23</v>
      </c>
    </row>
    <row r="28" spans="2:15" x14ac:dyDescent="0.25">
      <c r="B28" s="43"/>
      <c r="C28" s="29" t="s">
        <v>51</v>
      </c>
      <c r="D28" s="30">
        <f ca="1">D29*D31/100</f>
        <v>1448370</v>
      </c>
      <c r="E28" s="30">
        <f ca="1">E29*E31/100</f>
        <v>1593207</v>
      </c>
      <c r="F28" s="30">
        <f t="shared" ref="F28:M28" ca="1" si="7">F29*F31/100</f>
        <v>1752527.7</v>
      </c>
      <c r="G28" s="30">
        <f t="shared" ca="1" si="7"/>
        <v>1927780.47</v>
      </c>
      <c r="H28" s="30">
        <f t="shared" ca="1" si="7"/>
        <v>2120558.517</v>
      </c>
      <c r="I28" s="30">
        <f t="shared" ca="1" si="7"/>
        <v>2332614.3687</v>
      </c>
      <c r="J28" s="30">
        <f t="shared" ca="1" si="7"/>
        <v>2565875.8055699999</v>
      </c>
      <c r="K28" s="30">
        <f t="shared" ca="1" si="7"/>
        <v>2822463.3861269997</v>
      </c>
      <c r="L28" s="30">
        <f t="shared" ca="1" si="7"/>
        <v>3104709.7247396992</v>
      </c>
      <c r="M28" s="30">
        <f t="shared" ca="1" si="7"/>
        <v>3415180.6972136702</v>
      </c>
      <c r="N28" s="30"/>
      <c r="O28" s="46" t="s">
        <v>24</v>
      </c>
    </row>
    <row r="29" spans="2:15" x14ac:dyDescent="0.25">
      <c r="B29" s="43"/>
      <c r="C29" s="29" t="s">
        <v>50</v>
      </c>
      <c r="D29" s="30">
        <f>D30*$D$12</f>
        <v>13167000</v>
      </c>
      <c r="E29" s="30">
        <f t="shared" ref="E29:M29" si="8">E30*$D$12</f>
        <v>14483700</v>
      </c>
      <c r="F29" s="30">
        <f t="shared" si="8"/>
        <v>15932070</v>
      </c>
      <c r="G29" s="30">
        <f t="shared" si="8"/>
        <v>17525277</v>
      </c>
      <c r="H29" s="30">
        <f t="shared" si="8"/>
        <v>19277804.699999999</v>
      </c>
      <c r="I29" s="30">
        <f t="shared" si="8"/>
        <v>21205585.170000002</v>
      </c>
      <c r="J29" s="30">
        <f t="shared" si="8"/>
        <v>23326143.686999999</v>
      </c>
      <c r="K29" s="30">
        <f t="shared" si="8"/>
        <v>25658758.055699997</v>
      </c>
      <c r="L29" s="30">
        <f t="shared" si="8"/>
        <v>28224633.861269996</v>
      </c>
      <c r="M29" s="30">
        <f t="shared" si="8"/>
        <v>31047097.247396998</v>
      </c>
      <c r="N29" s="30"/>
      <c r="O29" s="45" t="s">
        <v>25</v>
      </c>
    </row>
    <row r="30" spans="2:15" x14ac:dyDescent="0.25">
      <c r="B30" s="43"/>
      <c r="C30" s="29" t="s">
        <v>26</v>
      </c>
      <c r="D30" s="30">
        <f>(D9*D11)+D11</f>
        <v>1316700</v>
      </c>
      <c r="E30" s="41">
        <f>D30+(D30*$D$9)</f>
        <v>1448370</v>
      </c>
      <c r="F30" s="41">
        <f t="shared" ref="F30:M30" si="9">E30+(E30*$D$9)</f>
        <v>1593207</v>
      </c>
      <c r="G30" s="41">
        <f t="shared" si="9"/>
        <v>1752527.7</v>
      </c>
      <c r="H30" s="41">
        <f t="shared" si="9"/>
        <v>1927780.47</v>
      </c>
      <c r="I30" s="41">
        <f t="shared" si="9"/>
        <v>2120558.517</v>
      </c>
      <c r="J30" s="41">
        <f t="shared" si="9"/>
        <v>2332614.3687</v>
      </c>
      <c r="K30" s="41">
        <f t="shared" si="9"/>
        <v>2565875.8055699999</v>
      </c>
      <c r="L30" s="41">
        <f t="shared" si="9"/>
        <v>2822463.3861269997</v>
      </c>
      <c r="M30" s="41">
        <f t="shared" si="9"/>
        <v>3104709.7247396996</v>
      </c>
      <c r="N30" s="41"/>
      <c r="O30" s="45" t="s">
        <v>27</v>
      </c>
    </row>
    <row r="31" spans="2:15" x14ac:dyDescent="0.25">
      <c r="B31" s="43"/>
      <c r="C31" s="29" t="s">
        <v>57</v>
      </c>
      <c r="D31" s="30">
        <f ca="1">VLOOKUP(D32,GivenValues!$A$3:$B$8,2)</f>
        <v>11</v>
      </c>
      <c r="E31" s="30">
        <f ca="1">VLOOKUP(E32,GivenValues!$A$3:$B$8,2)</f>
        <v>11</v>
      </c>
      <c r="F31" s="30">
        <f ca="1">VLOOKUP(F32,GivenValues!$A$3:$B$8,2)</f>
        <v>11</v>
      </c>
      <c r="G31" s="30">
        <f ca="1">VLOOKUP(G32,GivenValues!$A$3:$B$8,2)</f>
        <v>11</v>
      </c>
      <c r="H31" s="30">
        <f ca="1">VLOOKUP(H32,GivenValues!$A$3:$B$8,2)</f>
        <v>11</v>
      </c>
      <c r="I31" s="30">
        <f ca="1">VLOOKUP(I32,GivenValues!$A$3:$B$8,2)</f>
        <v>11</v>
      </c>
      <c r="J31" s="30">
        <f ca="1">VLOOKUP(J32,GivenValues!$A$3:$B$8,2)</f>
        <v>11</v>
      </c>
      <c r="K31" s="30">
        <f ca="1">VLOOKUP(K32,GivenValues!$A$3:$B$8,2)</f>
        <v>11</v>
      </c>
      <c r="L31" s="30">
        <f ca="1">VLOOKUP(L32,GivenValues!$A$3:$B$8,2)</f>
        <v>11</v>
      </c>
      <c r="M31" s="30">
        <f ca="1">VLOOKUP(M32,GivenValues!$A$3:$B$8,2)</f>
        <v>11</v>
      </c>
      <c r="N31" s="30"/>
      <c r="O31" s="45" t="s">
        <v>28</v>
      </c>
    </row>
    <row r="32" spans="2:15" x14ac:dyDescent="0.25">
      <c r="B32" s="43"/>
      <c r="C32" s="29" t="s">
        <v>29</v>
      </c>
      <c r="D32" s="30">
        <f t="shared" ref="D32:M32" ca="1" si="10">$D$7/$D$17</f>
        <v>1.0778985507246377</v>
      </c>
      <c r="E32" s="30">
        <f t="shared" ca="1" si="10"/>
        <v>1.0778985507246377</v>
      </c>
      <c r="F32" s="30">
        <f t="shared" ca="1" si="10"/>
        <v>1.0778985507246377</v>
      </c>
      <c r="G32" s="30">
        <f t="shared" ca="1" si="10"/>
        <v>1.0778985507246377</v>
      </c>
      <c r="H32" s="30">
        <f t="shared" ca="1" si="10"/>
        <v>1.0778985507246377</v>
      </c>
      <c r="I32" s="30">
        <f t="shared" ca="1" si="10"/>
        <v>1.0778985507246377</v>
      </c>
      <c r="J32" s="30">
        <f t="shared" ca="1" si="10"/>
        <v>1.0778985507246377</v>
      </c>
      <c r="K32" s="30">
        <f t="shared" ca="1" si="10"/>
        <v>1.0778985507246377</v>
      </c>
      <c r="L32" s="30">
        <f t="shared" ca="1" si="10"/>
        <v>1.0778985507246377</v>
      </c>
      <c r="M32" s="30">
        <f t="shared" ca="1" si="10"/>
        <v>1.0778985507246377</v>
      </c>
      <c r="N32" s="30"/>
      <c r="O32" s="45" t="s">
        <v>30</v>
      </c>
    </row>
    <row r="33" spans="2:15" x14ac:dyDescent="0.25">
      <c r="B33" s="43"/>
      <c r="C33" s="29" t="s">
        <v>31</v>
      </c>
      <c r="D33" s="39">
        <f>D13*D6</f>
        <v>400000</v>
      </c>
      <c r="E33" s="39">
        <f>D36*$D$13</f>
        <v>374901.84204699541</v>
      </c>
      <c r="F33" s="39">
        <f t="shared" ref="F33:L33" si="11">E36*$D$13</f>
        <v>347293.8682986903</v>
      </c>
      <c r="G33" s="39">
        <f t="shared" si="11"/>
        <v>316925.09717555478</v>
      </c>
      <c r="H33" s="39">
        <f t="shared" si="11"/>
        <v>283519.44894010562</v>
      </c>
      <c r="I33" s="39">
        <f t="shared" si="11"/>
        <v>246773.23588111156</v>
      </c>
      <c r="J33" s="39">
        <f t="shared" si="11"/>
        <v>206352.40151621809</v>
      </c>
      <c r="K33" s="39">
        <f t="shared" si="11"/>
        <v>161889.48371483531</v>
      </c>
      <c r="L33" s="39">
        <f t="shared" si="11"/>
        <v>112980.27413331422</v>
      </c>
      <c r="M33" s="39">
        <f>L36*$D$13</f>
        <v>59180.143593641034</v>
      </c>
      <c r="N33" s="39"/>
      <c r="O33" s="47" t="s">
        <v>53</v>
      </c>
    </row>
    <row r="34" spans="2:15" x14ac:dyDescent="0.25">
      <c r="B34" s="43"/>
      <c r="C34" s="29" t="s">
        <v>32</v>
      </c>
      <c r="D34" s="40">
        <f>D35-D33</f>
        <v>250981.57953004609</v>
      </c>
      <c r="E34" s="40">
        <f t="shared" ref="E34:L34" si="12">E35-E33</f>
        <v>276079.73748305067</v>
      </c>
      <c r="F34" s="40">
        <f t="shared" si="12"/>
        <v>303687.71123135579</v>
      </c>
      <c r="G34" s="40">
        <f t="shared" si="12"/>
        <v>334056.48235449131</v>
      </c>
      <c r="H34" s="40">
        <f t="shared" si="12"/>
        <v>367462.13058994047</v>
      </c>
      <c r="I34" s="40">
        <f t="shared" si="12"/>
        <v>404208.3436489345</v>
      </c>
      <c r="J34" s="40">
        <f t="shared" si="12"/>
        <v>444629.178013828</v>
      </c>
      <c r="K34" s="40">
        <f t="shared" si="12"/>
        <v>489092.09581521078</v>
      </c>
      <c r="L34" s="40">
        <f t="shared" si="12"/>
        <v>538001.30539673183</v>
      </c>
      <c r="M34" s="40">
        <f>M35-M33</f>
        <v>591801.43593640509</v>
      </c>
      <c r="N34" s="39"/>
      <c r="O34" s="47" t="s">
        <v>54</v>
      </c>
    </row>
    <row r="35" spans="2:15" x14ac:dyDescent="0.25">
      <c r="B35" s="43"/>
      <c r="C35" s="29" t="s">
        <v>33</v>
      </c>
      <c r="D35" s="40">
        <f t="shared" ref="D35:M35" si="13">($D$6*$D$13)/(1-(1+$D$13)^-$D$10)</f>
        <v>650981.57953004609</v>
      </c>
      <c r="E35" s="40">
        <f t="shared" si="13"/>
        <v>650981.57953004609</v>
      </c>
      <c r="F35" s="40">
        <f t="shared" si="13"/>
        <v>650981.57953004609</v>
      </c>
      <c r="G35" s="40">
        <f t="shared" si="13"/>
        <v>650981.57953004609</v>
      </c>
      <c r="H35" s="40">
        <f t="shared" si="13"/>
        <v>650981.57953004609</v>
      </c>
      <c r="I35" s="40">
        <f t="shared" si="13"/>
        <v>650981.57953004609</v>
      </c>
      <c r="J35" s="40">
        <f t="shared" si="13"/>
        <v>650981.57953004609</v>
      </c>
      <c r="K35" s="40">
        <f t="shared" si="13"/>
        <v>650981.57953004609</v>
      </c>
      <c r="L35" s="40">
        <f t="shared" si="13"/>
        <v>650981.57953004609</v>
      </c>
      <c r="M35" s="40">
        <f t="shared" si="13"/>
        <v>650981.57953004609</v>
      </c>
      <c r="N35" s="40"/>
      <c r="O35" s="48" t="s">
        <v>56</v>
      </c>
    </row>
    <row r="36" spans="2:15" x14ac:dyDescent="0.25">
      <c r="B36" s="43"/>
      <c r="C36" s="29" t="s">
        <v>34</v>
      </c>
      <c r="D36" s="40">
        <f>D6-D34</f>
        <v>3749018.4204699537</v>
      </c>
      <c r="E36" s="40">
        <f>D36-E34</f>
        <v>3472938.682986903</v>
      </c>
      <c r="F36" s="40">
        <f t="shared" ref="F36:M36" si="14">E36-F34</f>
        <v>3169250.9717555474</v>
      </c>
      <c r="G36" s="40">
        <f t="shared" si="14"/>
        <v>2835194.489401056</v>
      </c>
      <c r="H36" s="40">
        <f t="shared" si="14"/>
        <v>2467732.3588111154</v>
      </c>
      <c r="I36" s="40">
        <f t="shared" si="14"/>
        <v>2063524.0151621809</v>
      </c>
      <c r="J36" s="40">
        <f t="shared" si="14"/>
        <v>1618894.837148353</v>
      </c>
      <c r="K36" s="40">
        <f t="shared" si="14"/>
        <v>1129802.7413331422</v>
      </c>
      <c r="L36" s="40">
        <f t="shared" si="14"/>
        <v>591801.43593641033</v>
      </c>
      <c r="M36" s="40">
        <f t="shared" si="14"/>
        <v>5.2386894822120667E-9</v>
      </c>
      <c r="N36" s="39"/>
      <c r="O36" s="47" t="s">
        <v>52</v>
      </c>
    </row>
    <row r="37" spans="2:15" x14ac:dyDescent="0.25">
      <c r="B37" s="43"/>
      <c r="C37" s="29" t="s">
        <v>35</v>
      </c>
      <c r="D37" s="40">
        <f ca="1">D20-D35</f>
        <v>2193367.2204699535</v>
      </c>
      <c r="E37" s="40">
        <f t="shared" ref="E37:L37" ca="1" si="15">E20-E35</f>
        <v>2517802.1004699534</v>
      </c>
      <c r="F37" s="40">
        <f t="shared" ca="1" si="15"/>
        <v>2874680.4684699532</v>
      </c>
      <c r="G37" s="40">
        <f t="shared" ca="1" si="15"/>
        <v>3267246.6732699536</v>
      </c>
      <c r="H37" s="40">
        <f t="shared" ca="1" si="15"/>
        <v>3699069.4985499531</v>
      </c>
      <c r="I37" s="40">
        <f t="shared" ca="1" si="15"/>
        <v>4174074.6063579535</v>
      </c>
      <c r="J37" s="40">
        <f t="shared" ca="1" si="15"/>
        <v>4696580.2249467531</v>
      </c>
      <c r="K37" s="40">
        <f t="shared" ca="1" si="15"/>
        <v>5271336.4053944321</v>
      </c>
      <c r="L37" s="40">
        <f t="shared" ca="1" si="15"/>
        <v>5903568.2038868787</v>
      </c>
      <c r="M37" s="40">
        <f ca="1">M20-M35</f>
        <v>6599023.1822285745</v>
      </c>
      <c r="N37" s="30"/>
      <c r="O37" s="47" t="s">
        <v>55</v>
      </c>
    </row>
    <row r="38" spans="2:15" x14ac:dyDescent="0.25">
      <c r="D38" s="7"/>
    </row>
    <row r="65534" spans="255:255" x14ac:dyDescent="0.25">
      <c r="IU65534">
        <v>0</v>
      </c>
    </row>
  </sheetData>
  <mergeCells count="1">
    <mergeCell ref="F4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89</vt:i4>
      </vt:variant>
    </vt:vector>
  </HeadingPairs>
  <TitlesOfParts>
    <vt:vector size="99" baseType="lpstr">
      <vt:lpstr>BaseCase</vt:lpstr>
      <vt:lpstr>GivenValues</vt:lpstr>
      <vt:lpstr>BestBallPrice</vt:lpstr>
      <vt:lpstr>Changingour price</vt:lpstr>
      <vt:lpstr>ChangingOurPrice Report</vt:lpstr>
      <vt:lpstr>Varying Investment</vt:lpstr>
      <vt:lpstr>Varying Investment report</vt:lpstr>
      <vt:lpstr>CompetitorAnalysis</vt:lpstr>
      <vt:lpstr>ChangingbothPrices</vt:lpstr>
      <vt:lpstr>ChangingbothPrices Report</vt:lpstr>
      <vt:lpstr>BestBallPrice!Ball_Price</vt:lpstr>
      <vt:lpstr>ChangingbothPrices!Ball_Price</vt:lpstr>
      <vt:lpstr>'Changingour price'!Ball_Price</vt:lpstr>
      <vt:lpstr>CompetitorAnalysis!Ball_Price</vt:lpstr>
      <vt:lpstr>'Varying Investment'!Ball_Price</vt:lpstr>
      <vt:lpstr>Ball_Price</vt:lpstr>
      <vt:lpstr>BestBallPrice!Bank_Interest_rate</vt:lpstr>
      <vt:lpstr>ChangingbothPrices!Bank_Interest_rate</vt:lpstr>
      <vt:lpstr>'Changingour price'!Bank_Interest_rate</vt:lpstr>
      <vt:lpstr>CompetitorAnalysis!Bank_Interest_rate</vt:lpstr>
      <vt:lpstr>'Varying Investment'!Bank_Interest_rate</vt:lpstr>
      <vt:lpstr>Bank_Interest_rate</vt:lpstr>
      <vt:lpstr>BestBallPrice!Competitoe_Selling_Price</vt:lpstr>
      <vt:lpstr>ChangingbothPrices!Competitoe_Selling_Price</vt:lpstr>
      <vt:lpstr>'Changingour price'!Competitoe_Selling_Price</vt:lpstr>
      <vt:lpstr>CompetitorAnalysis!Competitoe_Selling_Price</vt:lpstr>
      <vt:lpstr>'Varying Investment'!Competitoe_Selling_Price</vt:lpstr>
      <vt:lpstr>Competitoe_Selling_Price</vt:lpstr>
      <vt:lpstr>BestBallPrice!Competitor_price</vt:lpstr>
      <vt:lpstr>ChangingbothPrices!Competitor_price</vt:lpstr>
      <vt:lpstr>'Changingour price'!Competitor_price</vt:lpstr>
      <vt:lpstr>CompetitorAnalysis!Competitor_price</vt:lpstr>
      <vt:lpstr>'Varying Investment'!Competitor_price</vt:lpstr>
      <vt:lpstr>Competitor_price</vt:lpstr>
      <vt:lpstr>BestBallPrice!Competitor_retail_price</vt:lpstr>
      <vt:lpstr>ChangingbothPrices!Competitor_retail_price</vt:lpstr>
      <vt:lpstr>'Changingour price'!Competitor_retail_price</vt:lpstr>
      <vt:lpstr>CompetitorAnalysis!Competitor_retail_price</vt:lpstr>
      <vt:lpstr>'Varying Investment'!Competitor_retail_price</vt:lpstr>
      <vt:lpstr>Competitor_retail_price</vt:lpstr>
      <vt:lpstr>BestBallPrice!Competitor_Selling_Price</vt:lpstr>
      <vt:lpstr>ChangingbothPrices!Competitor_Selling_Price</vt:lpstr>
      <vt:lpstr>'Changingour price'!Competitor_Selling_Price</vt:lpstr>
      <vt:lpstr>CompetitorAnalysis!Competitor_Selling_Price</vt:lpstr>
      <vt:lpstr>'Varying Investment'!Competitor_Selling_Price</vt:lpstr>
      <vt:lpstr>Competitor_Selling_Price</vt:lpstr>
      <vt:lpstr>BestBallPrice!Growth_In_Players</vt:lpstr>
      <vt:lpstr>ChangingbothPrices!Growth_In_Players</vt:lpstr>
      <vt:lpstr>'Changingour price'!Growth_In_Players</vt:lpstr>
      <vt:lpstr>CompetitorAnalysis!Growth_In_Players</vt:lpstr>
      <vt:lpstr>'Varying Investment'!Growth_In_Players</vt:lpstr>
      <vt:lpstr>Growth_In_Players</vt:lpstr>
      <vt:lpstr>BestBallPrice!Initial_Investment</vt:lpstr>
      <vt:lpstr>ChangingbothPrices!Initial_Investment</vt:lpstr>
      <vt:lpstr>'Changingour price'!Initial_Investment</vt:lpstr>
      <vt:lpstr>CompetitorAnalysis!Initial_Investment</vt:lpstr>
      <vt:lpstr>'Varying Investment'!Initial_Investment</vt:lpstr>
      <vt:lpstr>Initial_Investment</vt:lpstr>
      <vt:lpstr>BestBallPrice!Loan_Tenure</vt:lpstr>
      <vt:lpstr>ChangingbothPrices!Loan_Tenure</vt:lpstr>
      <vt:lpstr>'Changingour price'!Loan_Tenure</vt:lpstr>
      <vt:lpstr>CompetitorAnalysis!Loan_Tenure</vt:lpstr>
      <vt:lpstr>'Varying Investment'!Loan_Tenure</vt:lpstr>
      <vt:lpstr>Loan_Tenure</vt:lpstr>
      <vt:lpstr>BestBallPrice!Maintainance_Cost_rate</vt:lpstr>
      <vt:lpstr>ChangingbothPrices!Maintainance_Cost_rate</vt:lpstr>
      <vt:lpstr>'Changingour price'!Maintainance_Cost_rate</vt:lpstr>
      <vt:lpstr>CompetitorAnalysis!Maintainance_Cost_rate</vt:lpstr>
      <vt:lpstr>'Varying Investment'!Maintainance_Cost_rate</vt:lpstr>
      <vt:lpstr>Maintainance_Cost_rate</vt:lpstr>
      <vt:lpstr>NPV</vt:lpstr>
      <vt:lpstr>NPV_2010</vt:lpstr>
      <vt:lpstr>NPV_for_2010</vt:lpstr>
      <vt:lpstr>'Varying Investment'!NPV_for_year_2010</vt:lpstr>
      <vt:lpstr>NPV_for_year_2010</vt:lpstr>
      <vt:lpstr>BestBallPrice!Number_of_balls_per_player</vt:lpstr>
      <vt:lpstr>ChangingbothPrices!Number_of_balls_per_player</vt:lpstr>
      <vt:lpstr>'Changingour price'!Number_of_balls_per_player</vt:lpstr>
      <vt:lpstr>CompetitorAnalysis!Number_of_balls_per_player</vt:lpstr>
      <vt:lpstr>'Varying Investment'!Number_of_balls_per_player</vt:lpstr>
      <vt:lpstr>Number_of_balls_per_player</vt:lpstr>
      <vt:lpstr>BestBallPrice!Players_in_1999</vt:lpstr>
      <vt:lpstr>ChangingbothPrices!Players_in_1999</vt:lpstr>
      <vt:lpstr>'Changingour price'!Players_in_1999</vt:lpstr>
      <vt:lpstr>CompetitorAnalysis!Players_in_1999</vt:lpstr>
      <vt:lpstr>'Varying Investment'!Players_in_1999</vt:lpstr>
      <vt:lpstr>Players_in_1999</vt:lpstr>
      <vt:lpstr>BestBallPrice!Variable_cost_ball</vt:lpstr>
      <vt:lpstr>ChangingbothPrices!Variable_cost_ball</vt:lpstr>
      <vt:lpstr>'Changingour price'!Variable_cost_ball</vt:lpstr>
      <vt:lpstr>CompetitorAnalysis!Variable_cost_ball</vt:lpstr>
      <vt:lpstr>'Varying Investment'!Variable_cost_ball</vt:lpstr>
      <vt:lpstr>Variable_cost_ball</vt:lpstr>
      <vt:lpstr>BestBallPrice!Variable_cost_competitor</vt:lpstr>
      <vt:lpstr>ChangingbothPrices!Variable_cost_competitor</vt:lpstr>
      <vt:lpstr>'Changingour price'!Variable_cost_competitor</vt:lpstr>
      <vt:lpstr>CompetitorAnalysis!Variable_cost_competitor</vt:lpstr>
      <vt:lpstr>'Varying Investment'!Variable_cost_competitor</vt:lpstr>
      <vt:lpstr>Variable_cost_competitor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2016-12-07T04:00:37Z</dcterms:created>
  <dcterms:modified xsi:type="dcterms:W3CDTF">2016-12-09T19:07:07Z</dcterms:modified>
</cp:coreProperties>
</file>